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tables/table3.xml" ContentType="application/vnd.openxmlformats-officedocument.spreadsheetml.table+xml"/>
  <Override PartName="/xl/charts/chart4.xml" ContentType="application/vnd.openxmlformats-officedocument.drawingml.chart+xml"/>
  <Override PartName="/xl/charts/chart5.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tables/table4.xml" ContentType="application/vnd.openxmlformats-officedocument.spreadsheetml.table+xml"/>
  <Override PartName="/xl/charts/chart6.xml" ContentType="application/vnd.openxmlformats-officedocument.drawingml.chart+xml"/>
  <Override PartName="/xl/charts/chart7.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tables/table5.xml" ContentType="application/vnd.openxmlformats-officedocument.spreadsheetml.table+xml"/>
  <Override PartName="/xl/charts/chart8.xml" ContentType="application/vnd.openxmlformats-officedocument.drawingml.chart+xml"/>
  <Override PartName="/xl/charts/chart9.xml" ContentType="application/vnd.openxmlformats-officedocument.drawingml.chart+xml"/>
  <Override PartName="/xl/drawings/drawing7.xml" ContentType="application/vnd.openxmlformats-officedocument.drawing+xml"/>
  <Override PartName="/xl/drawings/drawing8.xml" ContentType="application/vnd.openxmlformats-officedocument.drawing+xml"/>
  <Override PartName="/xl/tables/table6.xml" ContentType="application/vnd.openxmlformats-officedocument.spreadsheetml.table+xml"/>
  <Override PartName="/xl/comments3.xml" ContentType="application/vnd.openxmlformats-officedocument.spreadsheetml.comments+xml"/>
  <Override PartName="/xl/charts/chart10.xml" ContentType="application/vnd.openxmlformats-officedocument.drawingml.chart+xml"/>
  <Override PartName="/xl/charts/chart11.xml" ContentType="application/vnd.openxmlformats-officedocument.drawingml.chart+xml"/>
  <Override PartName="/xl/drawings/drawing9.xml" ContentType="application/vnd.openxmlformats-officedocument.drawing+xml"/>
  <Override PartName="/xl/drawings/drawing10.xml" ContentType="application/vnd.openxmlformats-officedocument.drawing+xml"/>
  <Override PartName="/xl/tables/table7.xml" ContentType="application/vnd.openxmlformats-officedocument.spreadsheetml.table+xml"/>
  <Override PartName="/xl/comments4.xml" ContentType="application/vnd.openxmlformats-officedocument.spreadsheetml.comments+xml"/>
  <Override PartName="/xl/threadedComments/threadedComment1.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omments5.xml" ContentType="application/vnd.openxmlformats-officedocument.spreadsheetml.comments+xml"/>
  <Override PartName="/xl/threadedComments/threadedComment2.xml" ContentType="application/vnd.ms-excel.threadedcomments+xml"/>
  <Override PartName="/xl/drawings/drawing11.xml" ContentType="application/vnd.openxmlformats-officedocument.drawing+xml"/>
  <Override PartName="/xl/tables/table8.xml" ContentType="application/vnd.openxmlformats-officedocument.spreadsheetml.table+xml"/>
  <Override PartName="/xl/comments6.xml" ContentType="application/vnd.openxmlformats-officedocument.spreadsheetml.comments+xml"/>
  <Override PartName="/xl/threadedComments/threadedComment3.xml" ContentType="application/vnd.ms-excel.threadedcomments+xml"/>
  <Override PartName="/xl/charts/chart14.xml" ContentType="application/vnd.openxmlformats-officedocument.drawingml.chart+xml"/>
  <Override PartName="/xl/charts/chart15.xml" ContentType="application/vnd.openxmlformats-officedocument.drawingml.chart+xml"/>
  <Override PartName="/xl/drawings/drawing12.xml" ContentType="application/vnd.openxmlformats-officedocument.drawing+xml"/>
  <Override PartName="/xl/tables/table9.xml" ContentType="application/vnd.openxmlformats-officedocument.spreadsheetml.table+xml"/>
  <Override PartName="/xl/drawings/drawing13.xml" ContentType="application/vnd.openxmlformats-officedocument.drawing+xml"/>
  <Override PartName="/xl/tables/table10.xml" ContentType="application/vnd.openxmlformats-officedocument.spreadsheetml.table+xml"/>
  <Override PartName="/xl/charts/chart16.xml" ContentType="application/vnd.openxmlformats-officedocument.drawingml.chart+xml"/>
  <Override PartName="/xl/charts/chart17.xml" ContentType="application/vnd.openxmlformats-officedocument.drawingml.chart+xml"/>
  <Override PartName="/xl/tables/table11.xml" ContentType="application/vnd.openxmlformats-officedocument.spreadsheetml.table+xml"/>
  <Override PartName="/xl/queryTables/queryTable1.xml" ContentType="application/vnd.openxmlformats-officedocument.spreadsheetml.query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7.xml" ContentType="application/vnd.openxmlformats-officedocument.spreadsheetml.comments+xml"/>
  <Override PartName="/xl/comments8.xml" ContentType="application/vnd.openxmlformats-officedocument.spreadsheetml.comments+xml"/>
  <Override PartName="/xl/tables/table15.xml" ContentType="application/vnd.openxmlformats-officedocument.spreadsheetml.table+xml"/>
  <Override PartName="/xl/tables/table16.xml" ContentType="application/vnd.openxmlformats-officedocument.spreadsheetml.table+xml"/>
  <Override PartName="/xl/comments9.xml" ContentType="application/vnd.openxmlformats-officedocument.spreadsheetml.comments+xml"/>
  <Override PartName="/xl/tables/table17.xml" ContentType="application/vnd.openxmlformats-officedocument.spreadsheetml.table+xml"/>
  <Override PartName="/xl/tables/table18.xml" ContentType="application/vnd.openxmlformats-officedocument.spreadsheetml.table+xml"/>
  <Override PartName="/xl/comments10.xml" ContentType="application/vnd.openxmlformats-officedocument.spreadsheetml.comments+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drawings/drawing14.xml" ContentType="application/vnd.openxmlformats-officedocument.drawing+xml"/>
  <Override PartName="/xl/charts/chart18.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628"/>
  <workbookPr defaultThemeVersion="124226"/>
  <mc:AlternateContent xmlns:mc="http://schemas.openxmlformats.org/markup-compatibility/2006">
    <mc:Choice Requires="x15">
      <x15ac:absPath xmlns:x15ac="http://schemas.microsoft.com/office/spreadsheetml/2010/11/ac" url="https://d.docs.live.net/02acceb45edb4b70/Dokumenty/Excely/Hokej/"/>
    </mc:Choice>
  </mc:AlternateContent>
  <xr:revisionPtr revIDLastSave="296" documentId="13_ncr:1_{F85E5085-74A0-46B5-829A-D8179B1EB8D6}" xr6:coauthVersionLast="47" xr6:coauthVersionMax="47" xr10:uidLastSave="{80B9D257-5850-41D4-8EA7-C71F85B9006D}"/>
  <bookViews>
    <workbookView xWindow="-108" yWindow="-108" windowWidth="23256" windowHeight="12456" tabRatio="656" firstSheet="14" activeTab="14" xr2:uid="{00000000-000D-0000-FFFF-FFFF00000000}"/>
  </bookViews>
  <sheets>
    <sheet name="Zápasy 17-18" sheetId="2" r:id="rId1"/>
    <sheet name="Statistiky 17-18" sheetId="4" r:id="rId2"/>
    <sheet name="Zápasy 18-19" sheetId="8" r:id="rId3"/>
    <sheet name="Výsledky a statistiky 18-19" sheetId="10" r:id="rId4"/>
    <sheet name="Statistiky 18-19" sheetId="22" r:id="rId5"/>
    <sheet name="Tabulky 18-19" sheetId="20" r:id="rId6"/>
    <sheet name="Zápasy 19-20" sheetId="23" r:id="rId7"/>
    <sheet name="Výsledky a statistiky 19-20" sheetId="25" r:id="rId8"/>
    <sheet name="Statistiky 19-20" sheetId="31" r:id="rId9"/>
    <sheet name="Tabulky 19-20" sheetId="30" r:id="rId10"/>
    <sheet name="Zápasy 20-21" sheetId="34" r:id="rId11"/>
    <sheet name="Výsledky a statistiky 20-21" sheetId="33" r:id="rId12"/>
    <sheet name="Statistiky 20-21" sheetId="39" r:id="rId13"/>
    <sheet name="Zápasy 21-22" sheetId="37" r:id="rId14"/>
    <sheet name="Výsledky a statistiky 21-22" sheetId="38" r:id="rId15"/>
    <sheet name="Tabulky 21-22" sheetId="35" r:id="rId16"/>
    <sheet name="Statistiky 21-22" sheetId="40" r:id="rId17"/>
    <sheet name="Srovnání trenérů" sheetId="41" r:id="rId18"/>
    <sheet name="Zápasy 22-23" sheetId="42" r:id="rId19"/>
    <sheet name="Výsledky a statistiky 22-23" sheetId="43" r:id="rId20"/>
    <sheet name="Tabulky 22-23" sheetId="44" r:id="rId21"/>
    <sheet name="Statistiky 22-23" sheetId="45" r:id="rId22"/>
    <sheet name="Výsledky sezóny 14-15" sheetId="50" r:id="rId23"/>
    <sheet name="Zápasy 23-24" sheetId="46" state="hidden" r:id="rId24"/>
    <sheet name="Výsledky a statistiky 23-24" sheetId="47" r:id="rId25"/>
    <sheet name="Tabulky 23-24" sheetId="48" r:id="rId26"/>
    <sheet name="Statistiky 23-24" sheetId="49" r:id="rId27"/>
    <sheet name="Zápasy 24-25" sheetId="52" state="hidden" r:id="rId28"/>
    <sheet name="Výsledky a statistiky 24-25" sheetId="51" r:id="rId29"/>
    <sheet name="Statistiky 24-25" sheetId="56" r:id="rId30"/>
    <sheet name="Tabulky 24-25" sheetId="55" r:id="rId31"/>
    <sheet name="Stažení zápasy z LIT webu" sheetId="61" r:id="rId32"/>
    <sheet name="Výsledky a statistiky 25-26" sheetId="57" r:id="rId33"/>
    <sheet name="ZapasyLIT" sheetId="67" r:id="rId34"/>
    <sheet name="Tabulky 25-26" sheetId="59" r:id="rId35"/>
    <sheet name="Aktuální soupiska" sheetId="1" r:id="rId36"/>
    <sheet name="Vzájemné zápasy" sheetId="14" r:id="rId37"/>
    <sheet name="Zápasy celkem" sheetId="16" r:id="rId38"/>
    <sheet name="Odchozí hráči" sheetId="7" r:id="rId39"/>
    <sheet name="LIT v playoff" sheetId="11" r:id="rId40"/>
    <sheet name="Umístění LIT" sheetId="12" r:id="rId41"/>
    <sheet name="umístění všech" sheetId="13" r:id="rId42"/>
    <sheet name="tabulky fiktivní" sheetId="15" r:id="rId43"/>
    <sheet name="Moje výjezdy a zápasy celkem" sheetId="21" r:id="rId44"/>
    <sheet name="Tabulky celkem" sheetId="26" r:id="rId45"/>
    <sheet name="Tabulky Cheza" sheetId="27" r:id="rId46"/>
    <sheet name="MOSTEČTÍ LVI" sheetId="28" r:id="rId47"/>
    <sheet name="Sestavy" sheetId="29" r:id="rId48"/>
  </sheets>
  <definedNames>
    <definedName name="_xlnm._FilterDatabase" localSheetId="35" hidden="1">'Aktuální soupiska'!$A$35:$I$50</definedName>
    <definedName name="_xlnm._FilterDatabase" localSheetId="39" hidden="1">'LIT v playoff'!$A$3:$F$18</definedName>
    <definedName name="_xlnm._FilterDatabase" localSheetId="38" hidden="1">'Odchozí hráči'!$K$3:$L$64</definedName>
    <definedName name="_xlnm._FilterDatabase" localSheetId="47" hidden="1">Sestavy!$G$4:$H$42</definedName>
    <definedName name="_xlnm._FilterDatabase" localSheetId="17" hidden="1">'Srovnání trenérů'!$B$1:$I$3</definedName>
    <definedName name="_xlnm._FilterDatabase" localSheetId="1" hidden="1">'Statistiky 17-18'!$A$5:$BD$47</definedName>
    <definedName name="_xlnm._FilterDatabase" localSheetId="4" hidden="1">'Statistiky 18-19'!$A$5:$AT$50</definedName>
    <definedName name="_xlnm._FilterDatabase" localSheetId="8" hidden="1">'Statistiky 19-20'!$A$5:$T$40</definedName>
    <definedName name="_xlnm._FilterDatabase" localSheetId="12" hidden="1">'Statistiky 20-21'!$A$4:$N$35</definedName>
    <definedName name="_xlnm._FilterDatabase" localSheetId="16" hidden="1">'Statistiky 21-22'!$B$75:$F$106</definedName>
    <definedName name="_xlnm._FilterDatabase" localSheetId="21" hidden="1">'Statistiky 22-23'!$U$39:$Y$68</definedName>
    <definedName name="_xlnm._FilterDatabase" localSheetId="26" hidden="1">'Statistiky 23-24'!$AE$37:$AJ$65</definedName>
    <definedName name="_xlnm._FilterDatabase" localSheetId="29" hidden="1">'Statistiky 24-25'!$N$46:$R$83</definedName>
    <definedName name="_xlnm._FilterDatabase" localSheetId="5" hidden="1">'Tabulky 18-19'!$D$22:$P$36</definedName>
    <definedName name="_xlnm._FilterDatabase" localSheetId="9" hidden="1">'Tabulky 19-20'!$D$22:$P$36</definedName>
    <definedName name="_xlnm._FilterDatabase" localSheetId="15" hidden="1">'Tabulky 21-22'!$D$151:$F$159</definedName>
    <definedName name="_xlnm._FilterDatabase" localSheetId="20" hidden="1">'Tabulky 22-23'!$B$149:$D$157</definedName>
    <definedName name="_xlnm._FilterDatabase" localSheetId="42" hidden="1">'tabulky fiktivní'!$A$3:$O$64</definedName>
    <definedName name="_xlnm._FilterDatabase" localSheetId="41" hidden="1">'umístění všech'!$A$35:$I$59</definedName>
    <definedName name="_xlnm._FilterDatabase" localSheetId="22" hidden="1">'Výsledky sezóny 14-15'!$Z$1:$AA$31</definedName>
    <definedName name="_xlnm._FilterDatabase" localSheetId="36" hidden="1">'Vzájemné zápasy'!$N$91:$O$114</definedName>
    <definedName name="_xlnm._FilterDatabase" localSheetId="0" hidden="1">'Zápasy 17-18'!$B$2:$M$72</definedName>
    <definedName name="_xlnm._FilterDatabase" localSheetId="2" hidden="1">'Zápasy 18-19'!$K$65:$N$79</definedName>
    <definedName name="_xlnm._FilterDatabase" localSheetId="6" hidden="1">'Zápasy 19-20'!$K$77:$N$81</definedName>
    <definedName name="_xlnm._FilterDatabase" localSheetId="10" hidden="1">'Zápasy 20-21'!$K$63:$N$77</definedName>
    <definedName name="_xlnm._FilterDatabase" localSheetId="13" hidden="1">'Zápasy 21-22'!$A$3:$I$59</definedName>
    <definedName name="_xlnm._FilterDatabase" localSheetId="18" hidden="1">'Zápasy 22-23'!$AK$5:$AL$28</definedName>
    <definedName name="_xlnm._FilterDatabase" localSheetId="23" hidden="1">'Zápasy 23-24'!$X$7:$Y$36</definedName>
    <definedName name="_xlnm._FilterDatabase" localSheetId="27" hidden="1">'Zápasy 24-25'!$X$7:$Y$36</definedName>
    <definedName name="_xlcn.WorksheetConnection_Statistiky.xlsxZapasy201720181" hidden="1">Zapasy20172018[]</definedName>
    <definedName name="_xlcn.WorksheetConnection_Statistiky.xlsxZapasy201820191" hidden="1">Zapasy20182019[]</definedName>
    <definedName name="_xlcn.WorksheetConnection_Statistiky.xlsxZapasy201920201" hidden="1">Zapasy20192020[]</definedName>
    <definedName name="_xlcn.WorksheetConnection_Statistiky.xlsxZapasy202020211" hidden="1">Zapasy20202021[]</definedName>
    <definedName name="_xlcn.WorksheetConnection_Statistiky.xlsxZapasy202120221" hidden="1">Zapasy20212022[]</definedName>
    <definedName name="_xlcn.WorksheetConnection_Statistiky.xlsxZapasy202220231" hidden="1">Zapasy20222023[]</definedName>
    <definedName name="_xlcn.WorksheetConnection_Statistiky.xlsxZapasy202320241" hidden="1">Zapasy20232024[]</definedName>
    <definedName name="_xlcn.WorksheetConnection_Statistiky.xlsxZapasy202420251" hidden="1">Zapasy20242025[]</definedName>
    <definedName name="_xlcn.WorksheetConnection_Statistiky.xlsxZapasy202520261" hidden="1">Zapasy20252026[]</definedName>
    <definedName name="ExternalData_1" localSheetId="31" hidden="1">'Stažení zápasy z LIT webu'!$A$1:$H$53</definedName>
    <definedName name="ExternalData_2" localSheetId="33" hidden="1">ZapasyLIT!$A$1:$AK$457</definedName>
    <definedName name="Statistiky_24_25_polovina_zc" localSheetId="32">'Výsledky a statistiky 25-26'!$B$2:$AK$28</definedName>
    <definedName name="Statistiky_24_25_polovina_zc">'Výsledky a statistiky 24-25'!$B$2:$AK$28</definedName>
  </definedNames>
  <calcPr calcId="191029"/>
  <extLst>
    <ext xmlns:x15="http://schemas.microsoft.com/office/spreadsheetml/2010/11/main" uri="{FCE2AD5D-F65C-4FA6-A056-5C36A1767C68}">
      <x15:dataModel>
        <x15:modelTables>
          <x15:modelTable id="Zapasy20252026" name="Zapasy20252026" connection="WorksheetConnection_Statistiky.xlsx!Zapasy20252026"/>
          <x15:modelTable id="Zapasy20242025" name="Zapasy20242025" connection="WorksheetConnection_Statistiky.xlsx!Zapasy20242025"/>
          <x15:modelTable id="Zapasy20232024" name="Zapasy20232024" connection="WorksheetConnection_Statistiky.xlsx!Zapasy20232024"/>
          <x15:modelTable id="Zapasy20222023" name="Zapasy20222023" connection="WorksheetConnection_Statistiky.xlsx!Zapasy20222023"/>
          <x15:modelTable id="Zapasy20212022" name="Zapasy20212022" connection="WorksheetConnection_Statistiky.xlsx!Zapasy20212022"/>
          <x15:modelTable id="Zapasy20202021" name="Zapasy20202021" connection="WorksheetConnection_Statistiky.xlsx!Zapasy20202021"/>
          <x15:modelTable id="Zapasy20192020" name="Zapasy20192020" connection="WorksheetConnection_Statistiky.xlsx!Zapasy20192020"/>
          <x15:modelTable id="Zapasy20182019" name="Zapasy20182019" connection="WorksheetConnection_Statistiky.xlsx!Zapasy20182019"/>
          <x15:modelTable id="Zapasy20172018" name="Zapasy20172018" connection="WorksheetConnection_Statistiky.xlsx!Zapasy201720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59" i="38" l="1"/>
  <c r="M58" i="33"/>
  <c r="D148" i="57"/>
  <c r="D149" i="57"/>
  <c r="AK61" i="10"/>
  <c r="AK55" i="25"/>
  <c r="AK58" i="33"/>
  <c r="AK59" i="38"/>
  <c r="AK58" i="43"/>
  <c r="L62" i="57"/>
  <c r="K62" i="57"/>
  <c r="J62" i="57"/>
  <c r="I62" i="57"/>
  <c r="V62" i="57"/>
  <c r="U62" i="57"/>
  <c r="T62" i="57"/>
  <c r="S62" i="57"/>
  <c r="R62" i="57"/>
  <c r="Q62" i="57"/>
  <c r="P62" i="57"/>
  <c r="O62" i="57"/>
  <c r="M62" i="57"/>
  <c r="AK62" i="57"/>
  <c r="M59" i="51"/>
  <c r="O68" i="47"/>
  <c r="M68" i="47"/>
  <c r="V59" i="51"/>
  <c r="U59" i="51"/>
  <c r="T59" i="51"/>
  <c r="S59" i="51"/>
  <c r="R59" i="51"/>
  <c r="Q59" i="51"/>
  <c r="P59" i="51"/>
  <c r="O59" i="51"/>
  <c r="L59" i="51"/>
  <c r="K59" i="51"/>
  <c r="J59" i="51"/>
  <c r="I59" i="51"/>
  <c r="AK59" i="51"/>
  <c r="V68" i="47"/>
  <c r="U68" i="47"/>
  <c r="T68" i="47"/>
  <c r="S68" i="47"/>
  <c r="R68" i="47"/>
  <c r="Q68" i="47"/>
  <c r="P68" i="47"/>
  <c r="L68" i="47"/>
  <c r="K68" i="47"/>
  <c r="J68" i="47"/>
  <c r="I68" i="47"/>
  <c r="AK68" i="47"/>
  <c r="E117" i="47"/>
  <c r="D117" i="47"/>
  <c r="C117" i="47"/>
  <c r="B117" i="47"/>
  <c r="F117" i="47" s="1"/>
  <c r="E116" i="47"/>
  <c r="D116" i="47"/>
  <c r="C116" i="47"/>
  <c r="B116" i="47"/>
  <c r="F116" i="47" s="1"/>
  <c r="F114" i="47"/>
  <c r="F113" i="47"/>
  <c r="F112" i="47" s="1"/>
  <c r="E112" i="47"/>
  <c r="D112" i="47"/>
  <c r="C112" i="47"/>
  <c r="B112" i="47"/>
  <c r="F111" i="47"/>
  <c r="F110" i="47"/>
  <c r="F109" i="47" s="1"/>
  <c r="E109" i="47"/>
  <c r="D109" i="47"/>
  <c r="C109" i="47"/>
  <c r="B109" i="47"/>
  <c r="F108" i="47"/>
  <c r="F107" i="47"/>
  <c r="F106" i="47" s="1"/>
  <c r="E106" i="47"/>
  <c r="D106" i="47"/>
  <c r="C106" i="47"/>
  <c r="B106" i="47"/>
  <c r="F105" i="47"/>
  <c r="F104" i="47"/>
  <c r="F103" i="47"/>
  <c r="E103" i="47"/>
  <c r="D103" i="47"/>
  <c r="D115" i="47" s="1"/>
  <c r="C103" i="47"/>
  <c r="B103" i="47"/>
  <c r="G103" i="47"/>
  <c r="G129" i="47"/>
  <c r="C121" i="47" a="1"/>
  <c r="E148" i="47" s="1"/>
  <c r="G115" i="47"/>
  <c r="G112" i="47"/>
  <c r="G109" i="47"/>
  <c r="G106" i="47"/>
  <c r="E112" i="51"/>
  <c r="D112" i="51"/>
  <c r="C112" i="51"/>
  <c r="B112" i="51"/>
  <c r="E109" i="51"/>
  <c r="D109" i="51"/>
  <c r="C109" i="51"/>
  <c r="B109" i="51"/>
  <c r="E106" i="51"/>
  <c r="D106" i="51"/>
  <c r="C106" i="51"/>
  <c r="B106" i="51"/>
  <c r="E103" i="51"/>
  <c r="D103" i="51"/>
  <c r="C103" i="51"/>
  <c r="B103" i="51"/>
  <c r="G103" i="51"/>
  <c r="G112" i="51"/>
  <c r="G109" i="51"/>
  <c r="G106" i="51"/>
  <c r="G115" i="51"/>
  <c r="C121" i="51" a="1"/>
  <c r="C121" i="51" s="1"/>
  <c r="E121" i="51" s="1"/>
  <c r="A61" i="2"/>
  <c r="A62" i="2" s="1"/>
  <c r="A63" i="2" s="1"/>
  <c r="A64" i="2" s="1"/>
  <c r="A65" i="2" s="1"/>
  <c r="A66" i="2" s="1"/>
  <c r="A67" i="2" s="1"/>
  <c r="A68" i="2" s="1"/>
  <c r="A69" i="2" s="1"/>
  <c r="A70" i="2" s="1"/>
  <c r="A71" i="2" s="1"/>
  <c r="A72" i="2" s="1"/>
  <c r="A4" i="2"/>
  <c r="A5" i="2" s="1"/>
  <c r="A6" i="2" s="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4" i="10"/>
  <c r="A5" i="10" s="1"/>
  <c r="A6" i="10" s="1"/>
  <c r="A7" i="10" s="1"/>
  <c r="A8" i="10" s="1"/>
  <c r="A9" i="10" s="1"/>
  <c r="A10" i="10" s="1"/>
  <c r="A11" i="10" s="1"/>
  <c r="A12" i="10" s="1"/>
  <c r="A13" i="10" s="1"/>
  <c r="A14" i="10" s="1"/>
  <c r="A15" i="10" s="1"/>
  <c r="A16" i="10" s="1"/>
  <c r="A17" i="10" s="1"/>
  <c r="A18" i="10" s="1"/>
  <c r="A19" i="10" s="1"/>
  <c r="A20" i="10" s="1"/>
  <c r="A21" i="10" s="1"/>
  <c r="A22" i="10" s="1"/>
  <c r="A23" i="10" s="1"/>
  <c r="A24" i="10" s="1"/>
  <c r="A25" i="10" s="1"/>
  <c r="A26" i="10" s="1"/>
  <c r="A27" i="10" s="1"/>
  <c r="A28" i="10" s="1"/>
  <c r="A29" i="10" s="1"/>
  <c r="A30" i="10" s="1"/>
  <c r="A31" i="10" s="1"/>
  <c r="A32" i="10" s="1"/>
  <c r="A33" i="10" s="1"/>
  <c r="A34" i="10" s="1"/>
  <c r="A35" i="10" s="1"/>
  <c r="A36" i="10" s="1"/>
  <c r="A37" i="10" s="1"/>
  <c r="A38" i="10" s="1"/>
  <c r="A39" i="10" s="1"/>
  <c r="A40" i="10" s="1"/>
  <c r="A41" i="10" s="1"/>
  <c r="A42" i="10" s="1"/>
  <c r="A43" i="10" s="1"/>
  <c r="A44" i="10" s="1"/>
  <c r="A45" i="10" s="1"/>
  <c r="A46" i="10" s="1"/>
  <c r="A47" i="10" s="1"/>
  <c r="A48" i="10" s="1"/>
  <c r="A49" i="10" s="1"/>
  <c r="A50" i="10" s="1"/>
  <c r="A51" i="10" s="1"/>
  <c r="A52" i="10" s="1"/>
  <c r="A53" i="10" s="1"/>
  <c r="A54" i="10" s="1"/>
  <c r="A55" i="10" s="1"/>
  <c r="A56" i="10" s="1"/>
  <c r="A57" i="10" s="1"/>
  <c r="A58" i="10" s="1"/>
  <c r="A59" i="10" s="1"/>
  <c r="A60" i="10" s="1"/>
  <c r="A4" i="25"/>
  <c r="A5" i="25" s="1"/>
  <c r="A6" i="25" s="1"/>
  <c r="A7" i="25" s="1"/>
  <c r="A8" i="25" s="1"/>
  <c r="A9" i="25" s="1"/>
  <c r="A10" i="25" s="1"/>
  <c r="A11" i="25" s="1"/>
  <c r="A12" i="25" s="1"/>
  <c r="A13" i="25" s="1"/>
  <c r="A14" i="25" s="1"/>
  <c r="A15" i="25" s="1"/>
  <c r="A16" i="25" s="1"/>
  <c r="A17" i="25" s="1"/>
  <c r="A18" i="25" s="1"/>
  <c r="A19" i="25" s="1"/>
  <c r="A20" i="25" s="1"/>
  <c r="A21" i="25" s="1"/>
  <c r="A22" i="25" s="1"/>
  <c r="A23" i="25" s="1"/>
  <c r="A24" i="25" s="1"/>
  <c r="A25" i="25" s="1"/>
  <c r="A26" i="25" s="1"/>
  <c r="A27" i="25" s="1"/>
  <c r="A28" i="25" s="1"/>
  <c r="A29" i="25" s="1"/>
  <c r="A30" i="25" s="1"/>
  <c r="A31" i="25" s="1"/>
  <c r="A32" i="25" s="1"/>
  <c r="A33" i="25" s="1"/>
  <c r="A34" i="25" s="1"/>
  <c r="A35" i="25" s="1"/>
  <c r="A36" i="25" s="1"/>
  <c r="A37" i="25" s="1"/>
  <c r="A38" i="25" s="1"/>
  <c r="A39" i="25" s="1"/>
  <c r="A40" i="25" s="1"/>
  <c r="A41" i="25" s="1"/>
  <c r="A42" i="25" s="1"/>
  <c r="A43" i="25" s="1"/>
  <c r="A44" i="25" s="1"/>
  <c r="A45" i="25" s="1"/>
  <c r="A46" i="25" s="1"/>
  <c r="A47" i="25" s="1"/>
  <c r="A48" i="25" s="1"/>
  <c r="A49" i="25" s="1"/>
  <c r="A50" i="25" s="1"/>
  <c r="A51" i="25" s="1"/>
  <c r="A52" i="25" s="1"/>
  <c r="A53" i="25" s="1"/>
  <c r="A54" i="25"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4" i="38"/>
  <c r="A5" i="38" s="1"/>
  <c r="A6" i="38" s="1"/>
  <c r="A7" i="38" s="1"/>
  <c r="A8" i="38" s="1"/>
  <c r="A9" i="38" s="1"/>
  <c r="A10" i="38" s="1"/>
  <c r="A11" i="38" s="1"/>
  <c r="A12" i="38" s="1"/>
  <c r="A13" i="38" s="1"/>
  <c r="A14" i="38" s="1"/>
  <c r="A15" i="38" s="1"/>
  <c r="A16" i="38" s="1"/>
  <c r="A17" i="38" s="1"/>
  <c r="A18" i="38" s="1"/>
  <c r="A19" i="38" s="1"/>
  <c r="A20" i="38" s="1"/>
  <c r="A21" i="38" s="1"/>
  <c r="A22" i="38" s="1"/>
  <c r="A23" i="38" s="1"/>
  <c r="A24" i="38" s="1"/>
  <c r="A25" i="38" s="1"/>
  <c r="A26" i="38" s="1"/>
  <c r="A27" i="38" s="1"/>
  <c r="A28" i="38" s="1"/>
  <c r="A29" i="38" s="1"/>
  <c r="A30" i="38" s="1"/>
  <c r="A31" i="38" s="1"/>
  <c r="A32" i="38" s="1"/>
  <c r="A33" i="38" s="1"/>
  <c r="A34" i="38" s="1"/>
  <c r="A35" i="38" s="1"/>
  <c r="A36" i="38" s="1"/>
  <c r="A37" i="38" s="1"/>
  <c r="A38" i="38" s="1"/>
  <c r="A39" i="38" s="1"/>
  <c r="A40" i="38" s="1"/>
  <c r="A41" i="38" s="1"/>
  <c r="A42" i="38" s="1"/>
  <c r="A43" i="38" s="1"/>
  <c r="A44" i="38" s="1"/>
  <c r="A45" i="38" s="1"/>
  <c r="A46" i="38" s="1"/>
  <c r="A47" i="38" s="1"/>
  <c r="A48" i="38" s="1"/>
  <c r="A49" i="38" s="1"/>
  <c r="A50" i="38" s="1"/>
  <c r="A51" i="38" s="1"/>
  <c r="A52" i="38" s="1"/>
  <c r="A53" i="38" s="1"/>
  <c r="A54" i="38" s="1"/>
  <c r="A55" i="38" s="1"/>
  <c r="A56" i="38" s="1"/>
  <c r="A57" i="38" s="1"/>
  <c r="A58" i="38" s="1"/>
  <c r="A4" i="43"/>
  <c r="A5" i="43" s="1"/>
  <c r="A6" i="43" s="1"/>
  <c r="A4" i="47"/>
  <c r="A5" i="47" s="1"/>
  <c r="A6" i="47" s="1"/>
  <c r="A7" i="47" s="1"/>
  <c r="A8" i="47" s="1"/>
  <c r="A9" i="47" s="1"/>
  <c r="A10" i="47" s="1"/>
  <c r="A11" i="47" s="1"/>
  <c r="A12" i="47" s="1"/>
  <c r="A13" i="47" s="1"/>
  <c r="A14" i="47" s="1"/>
  <c r="A15" i="47" s="1"/>
  <c r="A16" i="47" s="1"/>
  <c r="A17" i="47" s="1"/>
  <c r="A18" i="47" s="1"/>
  <c r="A19" i="47" s="1"/>
  <c r="A20" i="47" s="1"/>
  <c r="A21" i="47" s="1"/>
  <c r="A22" i="47" s="1"/>
  <c r="A23" i="47" s="1"/>
  <c r="A24" i="47" s="1"/>
  <c r="A25" i="47" s="1"/>
  <c r="A26" i="47" s="1"/>
  <c r="A27" i="47" s="1"/>
  <c r="A28" i="47" s="1"/>
  <c r="A29" i="47" s="1"/>
  <c r="A30" i="47" s="1"/>
  <c r="A31" i="47" s="1"/>
  <c r="A32" i="47" s="1"/>
  <c r="A33" i="47" s="1"/>
  <c r="A34" i="47" s="1"/>
  <c r="A35" i="47" s="1"/>
  <c r="A36" i="47" s="1"/>
  <c r="A37" i="47" s="1"/>
  <c r="A38" i="47" s="1"/>
  <c r="A39" i="47" s="1"/>
  <c r="A40" i="47" s="1"/>
  <c r="A41" i="47" s="1"/>
  <c r="A42" i="47" s="1"/>
  <c r="A43" i="47" s="1"/>
  <c r="A44" i="47" s="1"/>
  <c r="A45" i="47" s="1"/>
  <c r="A46" i="47" s="1"/>
  <c r="A47" i="47" s="1"/>
  <c r="A48" i="47" s="1"/>
  <c r="A49" i="47" s="1"/>
  <c r="A50" i="47" s="1"/>
  <c r="A51" i="47" s="1"/>
  <c r="A52" i="47" s="1"/>
  <c r="A53" i="47" s="1"/>
  <c r="A54" i="47" s="1"/>
  <c r="A55" i="47" s="1"/>
  <c r="A56" i="47" s="1"/>
  <c r="A57" i="47" s="1"/>
  <c r="A58" i="47" s="1"/>
  <c r="A59" i="47" s="1"/>
  <c r="A60" i="47" s="1"/>
  <c r="A61" i="47" s="1"/>
  <c r="A62" i="47" s="1"/>
  <c r="A63" i="47" s="1"/>
  <c r="A64" i="47" s="1"/>
  <c r="A65" i="47" s="1"/>
  <c r="A66" i="47" s="1"/>
  <c r="A67" i="47" s="1"/>
  <c r="G129" i="51"/>
  <c r="E117" i="51"/>
  <c r="D117" i="51"/>
  <c r="C117" i="51"/>
  <c r="B117" i="51"/>
  <c r="E116" i="51"/>
  <c r="D116" i="51"/>
  <c r="C116" i="51"/>
  <c r="B116" i="51"/>
  <c r="F114" i="51"/>
  <c r="F113" i="51"/>
  <c r="F112" i="51"/>
  <c r="F111" i="51"/>
  <c r="F110" i="51"/>
  <c r="F109" i="51" s="1"/>
  <c r="F108" i="51"/>
  <c r="F107" i="51"/>
  <c r="F106" i="51" s="1"/>
  <c r="F105" i="51"/>
  <c r="F104" i="51"/>
  <c r="F128" i="57"/>
  <c r="G127" i="57"/>
  <c r="G126" i="57"/>
  <c r="C120" i="57" a="1"/>
  <c r="D143" i="57" s="1"/>
  <c r="E115" i="47" l="1"/>
  <c r="C115" i="47"/>
  <c r="E127" i="47"/>
  <c r="E137" i="47"/>
  <c r="E138" i="47"/>
  <c r="E126" i="47"/>
  <c r="B115" i="47"/>
  <c r="E130" i="47"/>
  <c r="E142" i="47"/>
  <c r="C121" i="47"/>
  <c r="E121" i="47" s="1"/>
  <c r="E131" i="47"/>
  <c r="E143" i="47"/>
  <c r="E132" i="47"/>
  <c r="E144" i="47"/>
  <c r="E122" i="47"/>
  <c r="E133" i="47"/>
  <c r="E145" i="47"/>
  <c r="E123" i="47"/>
  <c r="E134" i="47"/>
  <c r="E146" i="47"/>
  <c r="E124" i="47"/>
  <c r="E135" i="47"/>
  <c r="E147" i="47"/>
  <c r="E128" i="47"/>
  <c r="E139" i="47"/>
  <c r="E129" i="47"/>
  <c r="E140" i="47"/>
  <c r="E141" i="47"/>
  <c r="E125" i="47"/>
  <c r="E136" i="47"/>
  <c r="E125" i="51"/>
  <c r="E123" i="51"/>
  <c r="E146" i="51"/>
  <c r="E122" i="51"/>
  <c r="E144" i="51"/>
  <c r="E132" i="51"/>
  <c r="E140" i="51"/>
  <c r="E127" i="51"/>
  <c r="E138" i="51"/>
  <c r="E137" i="51"/>
  <c r="E148" i="51"/>
  <c r="E136" i="51"/>
  <c r="E147" i="51"/>
  <c r="E134" i="51"/>
  <c r="B115" i="51"/>
  <c r="E145" i="51"/>
  <c r="E133" i="51"/>
  <c r="F116" i="51"/>
  <c r="E143" i="51"/>
  <c r="E131" i="51"/>
  <c r="E126" i="51"/>
  <c r="E128" i="51"/>
  <c r="E139" i="51"/>
  <c r="E124" i="51"/>
  <c r="E135" i="51"/>
  <c r="E142" i="51"/>
  <c r="E130" i="51"/>
  <c r="E141" i="51"/>
  <c r="E129" i="51"/>
  <c r="F103" i="51"/>
  <c r="A7" i="43"/>
  <c r="A8" i="43" s="1"/>
  <c r="A9" i="43" s="1"/>
  <c r="A10" i="43" s="1"/>
  <c r="A11" i="43" s="1"/>
  <c r="A12" i="43" s="1"/>
  <c r="A13" i="43" s="1"/>
  <c r="A14" i="43" s="1"/>
  <c r="A15" i="43" s="1"/>
  <c r="A16" i="43" s="1"/>
  <c r="A17" i="43" s="1"/>
  <c r="A18" i="43" s="1"/>
  <c r="A19" i="43" s="1"/>
  <c r="A20" i="43" s="1"/>
  <c r="A21" i="43" s="1"/>
  <c r="A22" i="43" s="1"/>
  <c r="A23" i="43" s="1"/>
  <c r="A24" i="43" s="1"/>
  <c r="A25" i="43" s="1"/>
  <c r="A26" i="43" s="1"/>
  <c r="A27" i="43" s="1"/>
  <c r="A28" i="43" s="1"/>
  <c r="A29" i="43" s="1"/>
  <c r="A30" i="43" s="1"/>
  <c r="A31" i="43" s="1"/>
  <c r="A32" i="43" s="1"/>
  <c r="A33" i="43" s="1"/>
  <c r="A34" i="43" s="1"/>
  <c r="A35" i="43" s="1"/>
  <c r="A36" i="43" s="1"/>
  <c r="A37" i="43" s="1"/>
  <c r="A38" i="43" s="1"/>
  <c r="A39" i="43" s="1"/>
  <c r="A40" i="43" s="1"/>
  <c r="A41" i="43" s="1"/>
  <c r="A42" i="43" s="1"/>
  <c r="A43" i="43" s="1"/>
  <c r="A44" i="43" s="1"/>
  <c r="A45" i="43" s="1"/>
  <c r="A46" i="43" s="1"/>
  <c r="A47" i="43" s="1"/>
  <c r="A48" i="43" s="1"/>
  <c r="A49" i="43" s="1"/>
  <c r="A50" i="43" s="1"/>
  <c r="A51" i="43" s="1"/>
  <c r="A52" i="43" s="1"/>
  <c r="A53" i="43" s="1"/>
  <c r="A54" i="43" s="1"/>
  <c r="A55" i="43" s="1"/>
  <c r="A56" i="43" s="1"/>
  <c r="A57" i="43" s="1"/>
  <c r="C115" i="51"/>
  <c r="D115" i="51"/>
  <c r="F117" i="51"/>
  <c r="E115" i="51"/>
  <c r="D131" i="57"/>
  <c r="C120" i="57"/>
  <c r="D120" i="57" s="1"/>
  <c r="D147" i="57"/>
  <c r="D132" i="57"/>
  <c r="D144" i="57"/>
  <c r="D121" i="57"/>
  <c r="D133" i="57"/>
  <c r="D145" i="57"/>
  <c r="D122" i="57"/>
  <c r="D134" i="57"/>
  <c r="D146" i="57"/>
  <c r="D123" i="57"/>
  <c r="D135" i="57"/>
  <c r="D124" i="57"/>
  <c r="D136" i="57"/>
  <c r="D125" i="57"/>
  <c r="D137" i="57"/>
  <c r="D126" i="57"/>
  <c r="D138" i="57"/>
  <c r="D127" i="57"/>
  <c r="D139" i="57"/>
  <c r="D128" i="57"/>
  <c r="D140" i="57"/>
  <c r="D129" i="57"/>
  <c r="D141" i="57"/>
  <c r="D130" i="57"/>
  <c r="D142" i="57"/>
  <c r="G111" i="57"/>
  <c r="G114" i="57"/>
  <c r="G108" i="57"/>
  <c r="G105" i="57"/>
  <c r="G102" i="57"/>
  <c r="E116" i="57"/>
  <c r="D116" i="57"/>
  <c r="C116" i="57"/>
  <c r="B116" i="57"/>
  <c r="E115" i="57"/>
  <c r="D115" i="57"/>
  <c r="C115" i="57"/>
  <c r="B115" i="57"/>
  <c r="F113" i="57"/>
  <c r="F112" i="57"/>
  <c r="E111" i="57"/>
  <c r="D111" i="57"/>
  <c r="C111" i="57"/>
  <c r="B111" i="57"/>
  <c r="F110" i="57"/>
  <c r="F109" i="57"/>
  <c r="E108" i="57"/>
  <c r="D108" i="57"/>
  <c r="C108" i="57"/>
  <c r="B108" i="57"/>
  <c r="F107" i="57"/>
  <c r="F106" i="57"/>
  <c r="F105" i="57" s="1"/>
  <c r="E105" i="57"/>
  <c r="D105" i="57"/>
  <c r="C105" i="57"/>
  <c r="B105" i="57"/>
  <c r="F104" i="57"/>
  <c r="F103" i="57"/>
  <c r="E102" i="57"/>
  <c r="D102" i="57"/>
  <c r="C102" i="57"/>
  <c r="B102" i="57"/>
  <c r="P36" i="59"/>
  <c r="M36" i="59"/>
  <c r="L36" i="59"/>
  <c r="J36" i="59"/>
  <c r="I36" i="59"/>
  <c r="G36" i="59"/>
  <c r="F36" i="59"/>
  <c r="D36" i="59"/>
  <c r="C36" i="59"/>
  <c r="P35" i="59"/>
  <c r="M35" i="59"/>
  <c r="L35" i="59"/>
  <c r="J35" i="59"/>
  <c r="I35" i="59"/>
  <c r="G35" i="59"/>
  <c r="F35" i="59"/>
  <c r="D35" i="59"/>
  <c r="C35" i="59"/>
  <c r="P34" i="59"/>
  <c r="M34" i="59"/>
  <c r="L34" i="59"/>
  <c r="J34" i="59"/>
  <c r="I34" i="59"/>
  <c r="G34" i="59"/>
  <c r="F34" i="59"/>
  <c r="D34" i="59"/>
  <c r="C34" i="59"/>
  <c r="P33" i="59"/>
  <c r="M33" i="59"/>
  <c r="L33" i="59"/>
  <c r="J33" i="59"/>
  <c r="I33" i="59"/>
  <c r="G33" i="59"/>
  <c r="F33" i="59"/>
  <c r="D33" i="59"/>
  <c r="E33" i="59" s="1"/>
  <c r="Q33" i="59" s="1"/>
  <c r="C33" i="59"/>
  <c r="P32" i="59"/>
  <c r="M32" i="59"/>
  <c r="L32" i="59"/>
  <c r="J32" i="59"/>
  <c r="I32" i="59"/>
  <c r="G32" i="59"/>
  <c r="F32" i="59"/>
  <c r="D32" i="59"/>
  <c r="C32" i="59"/>
  <c r="P31" i="59"/>
  <c r="M31" i="59"/>
  <c r="L31" i="59"/>
  <c r="J31" i="59"/>
  <c r="I31" i="59"/>
  <c r="G31" i="59"/>
  <c r="F31" i="59"/>
  <c r="D31" i="59"/>
  <c r="C31" i="59"/>
  <c r="P30" i="59"/>
  <c r="M30" i="59"/>
  <c r="L30" i="59"/>
  <c r="J30" i="59"/>
  <c r="I30" i="59"/>
  <c r="G30" i="59"/>
  <c r="F30" i="59"/>
  <c r="D30" i="59"/>
  <c r="C30" i="59"/>
  <c r="P29" i="59"/>
  <c r="M29" i="59"/>
  <c r="L29" i="59"/>
  <c r="J29" i="59"/>
  <c r="I29" i="59"/>
  <c r="G29" i="59"/>
  <c r="F29" i="59"/>
  <c r="D29" i="59"/>
  <c r="E29" i="59" s="1"/>
  <c r="Q29" i="59" s="1"/>
  <c r="C29" i="59"/>
  <c r="P28" i="59"/>
  <c r="M28" i="59"/>
  <c r="L28" i="59"/>
  <c r="J28" i="59"/>
  <c r="I28" i="59"/>
  <c r="G28" i="59"/>
  <c r="F28" i="59"/>
  <c r="D28" i="59"/>
  <c r="C28" i="59"/>
  <c r="P27" i="59"/>
  <c r="M27" i="59"/>
  <c r="L27" i="59"/>
  <c r="J27" i="59"/>
  <c r="I27" i="59"/>
  <c r="G27" i="59"/>
  <c r="F27" i="59"/>
  <c r="D27" i="59"/>
  <c r="C27" i="59"/>
  <c r="P26" i="59"/>
  <c r="M26" i="59"/>
  <c r="L26" i="59"/>
  <c r="J26" i="59"/>
  <c r="I26" i="59"/>
  <c r="G26" i="59"/>
  <c r="F26" i="59"/>
  <c r="D26" i="59"/>
  <c r="C26" i="59"/>
  <c r="P25" i="59"/>
  <c r="M25" i="59"/>
  <c r="L25" i="59"/>
  <c r="J25" i="59"/>
  <c r="I25" i="59"/>
  <c r="G25" i="59"/>
  <c r="F25" i="59"/>
  <c r="D25" i="59"/>
  <c r="C25" i="59"/>
  <c r="P24" i="59"/>
  <c r="M24" i="59"/>
  <c r="L24" i="59"/>
  <c r="J24" i="59"/>
  <c r="I24" i="59"/>
  <c r="G24" i="59"/>
  <c r="F24" i="59"/>
  <c r="D24" i="59"/>
  <c r="C24" i="59"/>
  <c r="P23" i="59"/>
  <c r="M23" i="59"/>
  <c r="L23" i="59"/>
  <c r="J23" i="59"/>
  <c r="I23" i="59"/>
  <c r="G23" i="59"/>
  <c r="F23" i="59"/>
  <c r="D23" i="59"/>
  <c r="C23" i="59"/>
  <c r="P17" i="59"/>
  <c r="N17" i="59"/>
  <c r="T17" i="59" s="1"/>
  <c r="K17" i="59"/>
  <c r="S17" i="59" s="1"/>
  <c r="H17" i="59"/>
  <c r="R17" i="59" s="1"/>
  <c r="E17" i="59"/>
  <c r="Q17" i="59" s="1"/>
  <c r="P16" i="59"/>
  <c r="N16" i="59"/>
  <c r="T16" i="59" s="1"/>
  <c r="K16" i="59"/>
  <c r="S16" i="59" s="1"/>
  <c r="H16" i="59"/>
  <c r="R16" i="59" s="1"/>
  <c r="E16" i="59"/>
  <c r="Q16" i="59" s="1"/>
  <c r="P15" i="59"/>
  <c r="N15" i="59"/>
  <c r="T15" i="59" s="1"/>
  <c r="K15" i="59"/>
  <c r="S15" i="59" s="1"/>
  <c r="H15" i="59"/>
  <c r="R15" i="59" s="1"/>
  <c r="E15" i="59"/>
  <c r="Q15" i="59" s="1"/>
  <c r="P14" i="59"/>
  <c r="N14" i="59"/>
  <c r="T14" i="59" s="1"/>
  <c r="K14" i="59"/>
  <c r="S14" i="59" s="1"/>
  <c r="H14" i="59"/>
  <c r="R14" i="59" s="1"/>
  <c r="E14" i="59"/>
  <c r="Q14" i="59" s="1"/>
  <c r="P13" i="59"/>
  <c r="N13" i="59"/>
  <c r="T13" i="59" s="1"/>
  <c r="K13" i="59"/>
  <c r="S13" i="59" s="1"/>
  <c r="H13" i="59"/>
  <c r="R13" i="59" s="1"/>
  <c r="E13" i="59"/>
  <c r="Q13" i="59" s="1"/>
  <c r="S12" i="59"/>
  <c r="R12" i="59"/>
  <c r="P12" i="59"/>
  <c r="N12" i="59"/>
  <c r="T12" i="59" s="1"/>
  <c r="K12" i="59"/>
  <c r="H12" i="59"/>
  <c r="E12" i="59"/>
  <c r="Q12" i="59" s="1"/>
  <c r="P11" i="59"/>
  <c r="N11" i="59"/>
  <c r="T11" i="59" s="1"/>
  <c r="K11" i="59"/>
  <c r="S11" i="59" s="1"/>
  <c r="H11" i="59"/>
  <c r="R11" i="59" s="1"/>
  <c r="E11" i="59"/>
  <c r="Q11" i="59" s="1"/>
  <c r="P10" i="59"/>
  <c r="N10" i="59"/>
  <c r="T10" i="59" s="1"/>
  <c r="K10" i="59"/>
  <c r="S10" i="59" s="1"/>
  <c r="H10" i="59"/>
  <c r="R10" i="59" s="1"/>
  <c r="E10" i="59"/>
  <c r="Q10" i="59" s="1"/>
  <c r="P9" i="59"/>
  <c r="N9" i="59"/>
  <c r="T9" i="59" s="1"/>
  <c r="K9" i="59"/>
  <c r="S9" i="59" s="1"/>
  <c r="H9" i="59"/>
  <c r="R9" i="59" s="1"/>
  <c r="E9" i="59"/>
  <c r="Q9" i="59" s="1"/>
  <c r="P8" i="59"/>
  <c r="N8" i="59"/>
  <c r="T8" i="59" s="1"/>
  <c r="K8" i="59"/>
  <c r="S8" i="59" s="1"/>
  <c r="H8" i="59"/>
  <c r="R8" i="59" s="1"/>
  <c r="E8" i="59"/>
  <c r="Q8" i="59" s="1"/>
  <c r="P7" i="59"/>
  <c r="N7" i="59"/>
  <c r="T7" i="59" s="1"/>
  <c r="K7" i="59"/>
  <c r="S7" i="59" s="1"/>
  <c r="H7" i="59"/>
  <c r="R7" i="59" s="1"/>
  <c r="E7" i="59"/>
  <c r="Q7" i="59" s="1"/>
  <c r="P6" i="59"/>
  <c r="N6" i="59"/>
  <c r="T6" i="59" s="1"/>
  <c r="K6" i="59"/>
  <c r="S6" i="59" s="1"/>
  <c r="H6" i="59"/>
  <c r="R6" i="59" s="1"/>
  <c r="E6" i="59"/>
  <c r="Q6" i="59" s="1"/>
  <c r="P5" i="59"/>
  <c r="N5" i="59"/>
  <c r="T5" i="59" s="1"/>
  <c r="K5" i="59"/>
  <c r="S5" i="59" s="1"/>
  <c r="H5" i="59"/>
  <c r="R5" i="59" s="1"/>
  <c r="E5" i="59"/>
  <c r="Q5" i="59" s="1"/>
  <c r="P4" i="59"/>
  <c r="N4" i="59"/>
  <c r="T4" i="59" s="1"/>
  <c r="K4" i="59"/>
  <c r="S4" i="59" s="1"/>
  <c r="H4" i="59"/>
  <c r="R4" i="59" s="1"/>
  <c r="E4" i="59"/>
  <c r="Q4" i="59" s="1"/>
  <c r="I67" i="52"/>
  <c r="E67" i="52"/>
  <c r="Q48" i="56"/>
  <c r="Q49" i="56"/>
  <c r="Q50" i="56"/>
  <c r="Q51" i="56"/>
  <c r="Q52" i="56"/>
  <c r="Q53" i="56"/>
  <c r="Q54" i="56"/>
  <c r="Q56" i="56"/>
  <c r="Q57" i="56"/>
  <c r="Q58" i="56"/>
  <c r="Q59" i="56"/>
  <c r="Q60" i="56"/>
  <c r="Q61" i="56"/>
  <c r="Q62" i="56"/>
  <c r="Q63" i="56"/>
  <c r="Q64" i="56"/>
  <c r="Q65" i="56"/>
  <c r="Q66" i="56"/>
  <c r="Q67" i="56"/>
  <c r="Q68" i="56"/>
  <c r="Q69" i="56"/>
  <c r="Q70" i="56"/>
  <c r="Q71" i="56"/>
  <c r="Q72" i="56"/>
  <c r="Q73" i="56"/>
  <c r="Q74" i="56"/>
  <c r="Q75" i="56"/>
  <c r="Q76" i="56"/>
  <c r="Q77" i="56"/>
  <c r="Q78" i="56"/>
  <c r="Q47" i="56"/>
  <c r="L48" i="56"/>
  <c r="L49" i="56"/>
  <c r="L50" i="56"/>
  <c r="L51" i="56"/>
  <c r="L52" i="56"/>
  <c r="L53" i="56"/>
  <c r="L55" i="56"/>
  <c r="L56" i="56"/>
  <c r="L57" i="56"/>
  <c r="L59" i="56"/>
  <c r="L61" i="56"/>
  <c r="L62" i="56"/>
  <c r="L63" i="56"/>
  <c r="L64" i="56"/>
  <c r="L65" i="56"/>
  <c r="L66" i="56"/>
  <c r="L67" i="56"/>
  <c r="L69" i="56"/>
  <c r="L70" i="56"/>
  <c r="L71" i="56"/>
  <c r="L72" i="56"/>
  <c r="L74" i="56"/>
  <c r="L75" i="56"/>
  <c r="L78" i="56"/>
  <c r="L80" i="56"/>
  <c r="L81" i="56"/>
  <c r="L82" i="56"/>
  <c r="L83" i="56"/>
  <c r="L47" i="56"/>
  <c r="H81" i="56"/>
  <c r="I81" i="56"/>
  <c r="J81" i="56"/>
  <c r="K81" i="56"/>
  <c r="H82" i="56"/>
  <c r="I82" i="56"/>
  <c r="J82" i="56"/>
  <c r="K82" i="56"/>
  <c r="H83" i="56"/>
  <c r="I83" i="56"/>
  <c r="J83" i="56"/>
  <c r="K83" i="56"/>
  <c r="K80" i="56"/>
  <c r="J80" i="56"/>
  <c r="I80" i="56"/>
  <c r="H80" i="56"/>
  <c r="H48" i="56"/>
  <c r="I48" i="56"/>
  <c r="J48" i="56"/>
  <c r="K48" i="56"/>
  <c r="H49" i="56"/>
  <c r="I49" i="56"/>
  <c r="J49" i="56"/>
  <c r="K49" i="56"/>
  <c r="H50" i="56"/>
  <c r="I50" i="56"/>
  <c r="J50" i="56"/>
  <c r="K50" i="56"/>
  <c r="H51" i="56"/>
  <c r="I51" i="56"/>
  <c r="J51" i="56"/>
  <c r="K51" i="56"/>
  <c r="H52" i="56"/>
  <c r="I52" i="56"/>
  <c r="J52" i="56"/>
  <c r="K52" i="56"/>
  <c r="H53" i="56"/>
  <c r="I53" i="56"/>
  <c r="J53" i="56"/>
  <c r="K53" i="56"/>
  <c r="H54" i="56"/>
  <c r="I54" i="56"/>
  <c r="J54" i="56"/>
  <c r="K54" i="56"/>
  <c r="H55" i="56"/>
  <c r="I55" i="56"/>
  <c r="J55" i="56"/>
  <c r="K55" i="56"/>
  <c r="H56" i="56"/>
  <c r="I56" i="56"/>
  <c r="J56" i="56"/>
  <c r="K56" i="56"/>
  <c r="H57" i="56"/>
  <c r="I57" i="56"/>
  <c r="J57" i="56"/>
  <c r="K57" i="56"/>
  <c r="H58" i="56"/>
  <c r="I58" i="56"/>
  <c r="J58" i="56"/>
  <c r="K58" i="56"/>
  <c r="H59" i="56"/>
  <c r="I59" i="56"/>
  <c r="J59" i="56"/>
  <c r="K59" i="56"/>
  <c r="H60" i="56"/>
  <c r="I60" i="56"/>
  <c r="J60" i="56"/>
  <c r="K60" i="56"/>
  <c r="H61" i="56"/>
  <c r="I61" i="56"/>
  <c r="J61" i="56"/>
  <c r="K61" i="56"/>
  <c r="H62" i="56"/>
  <c r="I62" i="56"/>
  <c r="J62" i="56"/>
  <c r="K62" i="56"/>
  <c r="H63" i="56"/>
  <c r="I63" i="56"/>
  <c r="J63" i="56"/>
  <c r="K63" i="56"/>
  <c r="H64" i="56"/>
  <c r="I64" i="56"/>
  <c r="J64" i="56"/>
  <c r="K64" i="56"/>
  <c r="H65" i="56"/>
  <c r="I65" i="56"/>
  <c r="J65" i="56"/>
  <c r="K65" i="56"/>
  <c r="H66" i="56"/>
  <c r="I66" i="56"/>
  <c r="J66" i="56"/>
  <c r="K66" i="56"/>
  <c r="H67" i="56"/>
  <c r="I67" i="56"/>
  <c r="J67" i="56"/>
  <c r="K67" i="56"/>
  <c r="H68" i="56"/>
  <c r="I68" i="56"/>
  <c r="J68" i="56"/>
  <c r="K68" i="56"/>
  <c r="H69" i="56"/>
  <c r="I69" i="56"/>
  <c r="J69" i="56"/>
  <c r="K69" i="56"/>
  <c r="H70" i="56"/>
  <c r="I70" i="56"/>
  <c r="J70" i="56"/>
  <c r="K70" i="56"/>
  <c r="H71" i="56"/>
  <c r="I71" i="56"/>
  <c r="J71" i="56"/>
  <c r="K71" i="56"/>
  <c r="H72" i="56"/>
  <c r="I72" i="56"/>
  <c r="J72" i="56"/>
  <c r="K72" i="56"/>
  <c r="H73" i="56"/>
  <c r="I73" i="56"/>
  <c r="J73" i="56"/>
  <c r="K73" i="56"/>
  <c r="H74" i="56"/>
  <c r="I74" i="56"/>
  <c r="J74" i="56"/>
  <c r="K74" i="56"/>
  <c r="H75" i="56"/>
  <c r="I75" i="56"/>
  <c r="J75" i="56"/>
  <c r="K75" i="56"/>
  <c r="H76" i="56"/>
  <c r="I76" i="56"/>
  <c r="J76" i="56"/>
  <c r="K76" i="56"/>
  <c r="H77" i="56"/>
  <c r="I77" i="56"/>
  <c r="J77" i="56"/>
  <c r="K77" i="56"/>
  <c r="H78" i="56"/>
  <c r="I78" i="56"/>
  <c r="J78" i="56"/>
  <c r="K78" i="56"/>
  <c r="H79" i="56"/>
  <c r="I79" i="56"/>
  <c r="J79" i="56"/>
  <c r="K79" i="56"/>
  <c r="K47" i="56"/>
  <c r="J47" i="56"/>
  <c r="I47" i="56"/>
  <c r="H47" i="56"/>
  <c r="G48" i="56"/>
  <c r="G49" i="56"/>
  <c r="G50" i="56"/>
  <c r="G51" i="56"/>
  <c r="G52" i="56"/>
  <c r="G53" i="56"/>
  <c r="G54" i="56"/>
  <c r="G55" i="56"/>
  <c r="G56" i="56"/>
  <c r="G57" i="56"/>
  <c r="G58" i="56"/>
  <c r="G59" i="56"/>
  <c r="G60" i="56"/>
  <c r="G61" i="56"/>
  <c r="G62" i="56"/>
  <c r="G63" i="56"/>
  <c r="G64" i="56"/>
  <c r="G65" i="56"/>
  <c r="G66" i="56"/>
  <c r="G67" i="56"/>
  <c r="G68" i="56"/>
  <c r="G69" i="56"/>
  <c r="G70" i="56"/>
  <c r="G71" i="56"/>
  <c r="G72" i="56"/>
  <c r="G73" i="56"/>
  <c r="G74" i="56"/>
  <c r="G75" i="56"/>
  <c r="G76" i="56"/>
  <c r="G77" i="56"/>
  <c r="G78" i="56"/>
  <c r="G79" i="56"/>
  <c r="G47" i="56"/>
  <c r="C63" i="56"/>
  <c r="D63" i="56"/>
  <c r="E63" i="56"/>
  <c r="F63" i="56"/>
  <c r="C64" i="56"/>
  <c r="D64" i="56"/>
  <c r="E64" i="56"/>
  <c r="F64" i="56"/>
  <c r="C65" i="56"/>
  <c r="D65" i="56"/>
  <c r="E65" i="56"/>
  <c r="F65" i="56"/>
  <c r="C66" i="56"/>
  <c r="D66" i="56"/>
  <c r="E66" i="56"/>
  <c r="F66" i="56"/>
  <c r="C67" i="56"/>
  <c r="D67" i="56"/>
  <c r="E67" i="56"/>
  <c r="F67" i="56"/>
  <c r="C68" i="56"/>
  <c r="D68" i="56"/>
  <c r="E68" i="56"/>
  <c r="F68" i="56"/>
  <c r="C69" i="56"/>
  <c r="D69" i="56"/>
  <c r="E69" i="56"/>
  <c r="F69" i="56"/>
  <c r="C70" i="56"/>
  <c r="D70" i="56"/>
  <c r="E70" i="56"/>
  <c r="F70" i="56"/>
  <c r="C71" i="56"/>
  <c r="D71" i="56"/>
  <c r="E71" i="56"/>
  <c r="F71" i="56"/>
  <c r="C72" i="56"/>
  <c r="D72" i="56"/>
  <c r="E72" i="56"/>
  <c r="F72" i="56"/>
  <c r="C73" i="56"/>
  <c r="D73" i="56"/>
  <c r="E73" i="56"/>
  <c r="F73" i="56"/>
  <c r="C74" i="56"/>
  <c r="D74" i="56"/>
  <c r="E74" i="56"/>
  <c r="F74" i="56"/>
  <c r="C75" i="56"/>
  <c r="D75" i="56"/>
  <c r="E75" i="56"/>
  <c r="F75" i="56"/>
  <c r="C76" i="56"/>
  <c r="D76" i="56"/>
  <c r="E76" i="56"/>
  <c r="F76" i="56"/>
  <c r="C77" i="56"/>
  <c r="D77" i="56"/>
  <c r="E77" i="56"/>
  <c r="F77" i="56"/>
  <c r="C78" i="56"/>
  <c r="D78" i="56"/>
  <c r="E78" i="56"/>
  <c r="F78" i="56"/>
  <c r="C79" i="56"/>
  <c r="D79" i="56"/>
  <c r="E79" i="56"/>
  <c r="F79" i="56"/>
  <c r="C48" i="56"/>
  <c r="D48" i="56"/>
  <c r="E48" i="56"/>
  <c r="F48" i="56"/>
  <c r="C49" i="56"/>
  <c r="D49" i="56"/>
  <c r="E49" i="56"/>
  <c r="F49" i="56"/>
  <c r="C50" i="56"/>
  <c r="D50" i="56"/>
  <c r="E50" i="56"/>
  <c r="F50" i="56"/>
  <c r="C51" i="56"/>
  <c r="D51" i="56"/>
  <c r="E51" i="56"/>
  <c r="F51" i="56"/>
  <c r="C52" i="56"/>
  <c r="D52" i="56"/>
  <c r="E52" i="56"/>
  <c r="F52" i="56"/>
  <c r="C53" i="56"/>
  <c r="D53" i="56"/>
  <c r="E53" i="56"/>
  <c r="F53" i="56"/>
  <c r="C54" i="56"/>
  <c r="D54" i="56"/>
  <c r="E54" i="56"/>
  <c r="F54" i="56"/>
  <c r="C55" i="56"/>
  <c r="D55" i="56"/>
  <c r="E55" i="56"/>
  <c r="F55" i="56"/>
  <c r="C56" i="56"/>
  <c r="D56" i="56"/>
  <c r="E56" i="56"/>
  <c r="F56" i="56"/>
  <c r="C57" i="56"/>
  <c r="D57" i="56"/>
  <c r="E57" i="56"/>
  <c r="F57" i="56"/>
  <c r="C58" i="56"/>
  <c r="D58" i="56"/>
  <c r="E58" i="56"/>
  <c r="F58" i="56"/>
  <c r="C59" i="56"/>
  <c r="D59" i="56"/>
  <c r="E59" i="56"/>
  <c r="F59" i="56"/>
  <c r="C60" i="56"/>
  <c r="D60" i="56"/>
  <c r="E60" i="56"/>
  <c r="F60" i="56"/>
  <c r="C61" i="56"/>
  <c r="D61" i="56"/>
  <c r="E61" i="56"/>
  <c r="F61" i="56"/>
  <c r="C62" i="56"/>
  <c r="D62" i="56"/>
  <c r="E62" i="56"/>
  <c r="F62" i="56"/>
  <c r="E47" i="56"/>
  <c r="F47" i="56"/>
  <c r="D47" i="56"/>
  <c r="C47" i="56"/>
  <c r="Q32" i="55"/>
  <c r="Q36" i="55"/>
  <c r="Q35" i="55"/>
  <c r="F108" i="57" l="1"/>
  <c r="F116" i="57"/>
  <c r="F115" i="47"/>
  <c r="F115" i="51"/>
  <c r="F115" i="57"/>
  <c r="F111" i="57"/>
  <c r="D114" i="57"/>
  <c r="E114" i="57"/>
  <c r="B114" i="57"/>
  <c r="F102" i="57"/>
  <c r="C114" i="57"/>
  <c r="E34" i="59"/>
  <c r="Q34" i="59" s="1"/>
  <c r="E32" i="59"/>
  <c r="Q32" i="59" s="1"/>
  <c r="E31" i="59"/>
  <c r="Q31" i="59" s="1"/>
  <c r="E30" i="59"/>
  <c r="Q30" i="59" s="1"/>
  <c r="E27" i="59"/>
  <c r="Q27" i="59" s="1"/>
  <c r="H31" i="59"/>
  <c r="R31" i="59" s="1"/>
  <c r="H24" i="59"/>
  <c r="R24" i="59" s="1"/>
  <c r="N35" i="59"/>
  <c r="T35" i="59" s="1"/>
  <c r="N25" i="59"/>
  <c r="T25" i="59" s="1"/>
  <c r="N32" i="59"/>
  <c r="T32" i="59" s="1"/>
  <c r="N29" i="59"/>
  <c r="T29" i="59" s="1"/>
  <c r="N34" i="59"/>
  <c r="T34" i="59" s="1"/>
  <c r="N24" i="59"/>
  <c r="T24" i="59" s="1"/>
  <c r="K28" i="59"/>
  <c r="S28" i="59" s="1"/>
  <c r="K23" i="59"/>
  <c r="S23" i="59" s="1"/>
  <c r="N28" i="59"/>
  <c r="T28" i="59" s="1"/>
  <c r="N23" i="59"/>
  <c r="T23" i="59" s="1"/>
  <c r="N27" i="59"/>
  <c r="T27" i="59" s="1"/>
  <c r="N31" i="59"/>
  <c r="T31" i="59" s="1"/>
  <c r="K35" i="59"/>
  <c r="S35" i="59" s="1"/>
  <c r="N36" i="59"/>
  <c r="T36" i="59" s="1"/>
  <c r="N30" i="59"/>
  <c r="T30" i="59" s="1"/>
  <c r="K26" i="59"/>
  <c r="S26" i="59" s="1"/>
  <c r="K31" i="59"/>
  <c r="S31" i="59" s="1"/>
  <c r="K25" i="59"/>
  <c r="S25" i="59" s="1"/>
  <c r="K30" i="59"/>
  <c r="S30" i="59" s="1"/>
  <c r="H34" i="59"/>
  <c r="R34" i="59" s="1"/>
  <c r="K24" i="59"/>
  <c r="S24" i="59" s="1"/>
  <c r="K34" i="59"/>
  <c r="S34" i="59" s="1"/>
  <c r="H27" i="59"/>
  <c r="R27" i="59" s="1"/>
  <c r="H33" i="59"/>
  <c r="R33" i="59" s="1"/>
  <c r="H26" i="59"/>
  <c r="R26" i="59" s="1"/>
  <c r="K27" i="59"/>
  <c r="S27" i="59" s="1"/>
  <c r="K32" i="59"/>
  <c r="S32" i="59" s="1"/>
  <c r="K33" i="59"/>
  <c r="S33" i="59" s="1"/>
  <c r="H29" i="59"/>
  <c r="R29" i="59" s="1"/>
  <c r="E36" i="59"/>
  <c r="Q36" i="59" s="1"/>
  <c r="H28" i="59"/>
  <c r="R28" i="59" s="1"/>
  <c r="E26" i="59"/>
  <c r="Q26" i="59" s="1"/>
  <c r="H35" i="59"/>
  <c r="R35" i="59" s="1"/>
  <c r="H36" i="59"/>
  <c r="R36" i="59" s="1"/>
  <c r="E25" i="59"/>
  <c r="Q25" i="59" s="1"/>
  <c r="H23" i="59"/>
  <c r="R23" i="59" s="1"/>
  <c r="H30" i="59"/>
  <c r="R30" i="59" s="1"/>
  <c r="E24" i="59"/>
  <c r="Q24" i="59" s="1"/>
  <c r="H25" i="59"/>
  <c r="R25" i="59" s="1"/>
  <c r="E28" i="59"/>
  <c r="Q28" i="59" s="1"/>
  <c r="H32" i="59"/>
  <c r="R32" i="59" s="1"/>
  <c r="E35" i="59"/>
  <c r="Q35" i="59" s="1"/>
  <c r="K29" i="59"/>
  <c r="S29" i="59" s="1"/>
  <c r="N26" i="59"/>
  <c r="T26" i="59" s="1"/>
  <c r="K36" i="59"/>
  <c r="S36" i="59" s="1"/>
  <c r="E23" i="59"/>
  <c r="Q23" i="59" s="1"/>
  <c r="N33" i="59"/>
  <c r="T33" i="59" s="1"/>
  <c r="L23" i="55"/>
  <c r="I23" i="55"/>
  <c r="F23" i="55"/>
  <c r="C23" i="55"/>
  <c r="P36" i="55"/>
  <c r="M36" i="55"/>
  <c r="L36" i="55"/>
  <c r="J36" i="55"/>
  <c r="I36" i="55"/>
  <c r="G36" i="55"/>
  <c r="F36" i="55"/>
  <c r="D36" i="55"/>
  <c r="E36" i="55" s="1"/>
  <c r="C36" i="55"/>
  <c r="P35" i="55"/>
  <c r="M35" i="55"/>
  <c r="L35" i="55"/>
  <c r="J35" i="55"/>
  <c r="I35" i="55"/>
  <c r="G35" i="55"/>
  <c r="F35" i="55"/>
  <c r="D35" i="55"/>
  <c r="C35" i="55"/>
  <c r="E35" i="55" s="1"/>
  <c r="P34" i="55"/>
  <c r="M34" i="55"/>
  <c r="L34" i="55"/>
  <c r="J34" i="55"/>
  <c r="I34" i="55"/>
  <c r="G34" i="55"/>
  <c r="F34" i="55"/>
  <c r="D34" i="55"/>
  <c r="C34" i="55"/>
  <c r="P33" i="55"/>
  <c r="M33" i="55"/>
  <c r="L33" i="55"/>
  <c r="J33" i="55"/>
  <c r="I33" i="55"/>
  <c r="G33" i="55"/>
  <c r="F33" i="55"/>
  <c r="D33" i="55"/>
  <c r="C33" i="55"/>
  <c r="P32" i="55"/>
  <c r="M32" i="55"/>
  <c r="L32" i="55"/>
  <c r="J32" i="55"/>
  <c r="I32" i="55"/>
  <c r="G32" i="55"/>
  <c r="F32" i="55"/>
  <c r="D32" i="55"/>
  <c r="C32" i="55"/>
  <c r="P31" i="55"/>
  <c r="M31" i="55"/>
  <c r="L31" i="55"/>
  <c r="J31" i="55"/>
  <c r="I31" i="55"/>
  <c r="G31" i="55"/>
  <c r="F31" i="55"/>
  <c r="D31" i="55"/>
  <c r="C31" i="55"/>
  <c r="P30" i="55"/>
  <c r="M30" i="55"/>
  <c r="L30" i="55"/>
  <c r="J30" i="55"/>
  <c r="I30" i="55"/>
  <c r="G30" i="55"/>
  <c r="F30" i="55"/>
  <c r="D30" i="55"/>
  <c r="C30" i="55"/>
  <c r="E30" i="55" s="1"/>
  <c r="Q30" i="55" s="1"/>
  <c r="P29" i="55"/>
  <c r="M29" i="55"/>
  <c r="N29" i="55" s="1"/>
  <c r="T29" i="55" s="1"/>
  <c r="L29" i="55"/>
  <c r="J29" i="55"/>
  <c r="I29" i="55"/>
  <c r="G29" i="55"/>
  <c r="F29" i="55"/>
  <c r="D29" i="55"/>
  <c r="C29" i="55"/>
  <c r="P28" i="55"/>
  <c r="M28" i="55"/>
  <c r="L28" i="55"/>
  <c r="J28" i="55"/>
  <c r="I28" i="55"/>
  <c r="K28" i="55" s="1"/>
  <c r="S28" i="55" s="1"/>
  <c r="G28" i="55"/>
  <c r="F28" i="55"/>
  <c r="D28" i="55"/>
  <c r="C28" i="55"/>
  <c r="P27" i="55"/>
  <c r="M27" i="55"/>
  <c r="L27" i="55"/>
  <c r="J27" i="55"/>
  <c r="I27" i="55"/>
  <c r="G27" i="55"/>
  <c r="F27" i="55"/>
  <c r="D27" i="55"/>
  <c r="C27" i="55"/>
  <c r="E27" i="55" s="1"/>
  <c r="Q27" i="55" s="1"/>
  <c r="P26" i="55"/>
  <c r="M26" i="55"/>
  <c r="N26" i="55" s="1"/>
  <c r="T26" i="55" s="1"/>
  <c r="L26" i="55"/>
  <c r="J26" i="55"/>
  <c r="I26" i="55"/>
  <c r="G26" i="55"/>
  <c r="F26" i="55"/>
  <c r="D26" i="55"/>
  <c r="C26" i="55"/>
  <c r="P25" i="55"/>
  <c r="M25" i="55"/>
  <c r="L25" i="55"/>
  <c r="J25" i="55"/>
  <c r="I25" i="55"/>
  <c r="G25" i="55"/>
  <c r="F25" i="55"/>
  <c r="D25" i="55"/>
  <c r="C25" i="55"/>
  <c r="P24" i="55"/>
  <c r="M24" i="55"/>
  <c r="L24" i="55"/>
  <c r="J24" i="55"/>
  <c r="I24" i="55"/>
  <c r="G24" i="55"/>
  <c r="F24" i="55"/>
  <c r="D24" i="55"/>
  <c r="C24" i="55"/>
  <c r="P23" i="55"/>
  <c r="M23" i="55"/>
  <c r="J23" i="55"/>
  <c r="G23" i="55"/>
  <c r="D23" i="55"/>
  <c r="E23" i="55" s="1"/>
  <c r="Q23" i="55" s="1"/>
  <c r="P17" i="55"/>
  <c r="N17" i="55"/>
  <c r="T17" i="55" s="1"/>
  <c r="K17" i="55"/>
  <c r="S17" i="55" s="1"/>
  <c r="H17" i="55"/>
  <c r="R17" i="55" s="1"/>
  <c r="E17" i="55"/>
  <c r="Q17" i="55" s="1"/>
  <c r="P16" i="55"/>
  <c r="N16" i="55"/>
  <c r="T16" i="55" s="1"/>
  <c r="K16" i="55"/>
  <c r="S16" i="55" s="1"/>
  <c r="H16" i="55"/>
  <c r="R16" i="55" s="1"/>
  <c r="E16" i="55"/>
  <c r="Q16" i="55" s="1"/>
  <c r="P15" i="55"/>
  <c r="N15" i="55"/>
  <c r="T15" i="55" s="1"/>
  <c r="K15" i="55"/>
  <c r="S15" i="55" s="1"/>
  <c r="H15" i="55"/>
  <c r="R15" i="55" s="1"/>
  <c r="E15" i="55"/>
  <c r="Q15" i="55" s="1"/>
  <c r="P14" i="55"/>
  <c r="N14" i="55"/>
  <c r="T14" i="55" s="1"/>
  <c r="K14" i="55"/>
  <c r="S14" i="55" s="1"/>
  <c r="H14" i="55"/>
  <c r="R14" i="55" s="1"/>
  <c r="E14" i="55"/>
  <c r="Q14" i="55" s="1"/>
  <c r="P13" i="55"/>
  <c r="N13" i="55"/>
  <c r="T13" i="55" s="1"/>
  <c r="K13" i="55"/>
  <c r="S13" i="55" s="1"/>
  <c r="H13" i="55"/>
  <c r="R13" i="55" s="1"/>
  <c r="E13" i="55"/>
  <c r="Q13" i="55" s="1"/>
  <c r="P12" i="55"/>
  <c r="N12" i="55"/>
  <c r="T12" i="55" s="1"/>
  <c r="K12" i="55"/>
  <c r="S12" i="55" s="1"/>
  <c r="H12" i="55"/>
  <c r="R12" i="55" s="1"/>
  <c r="E12" i="55"/>
  <c r="Q12" i="55" s="1"/>
  <c r="P11" i="55"/>
  <c r="N11" i="55"/>
  <c r="T11" i="55" s="1"/>
  <c r="K11" i="55"/>
  <c r="S11" i="55" s="1"/>
  <c r="H11" i="55"/>
  <c r="R11" i="55" s="1"/>
  <c r="E11" i="55"/>
  <c r="Q11" i="55" s="1"/>
  <c r="T10" i="55"/>
  <c r="P10" i="55"/>
  <c r="N10" i="55"/>
  <c r="K10" i="55"/>
  <c r="S10" i="55" s="1"/>
  <c r="H10" i="55"/>
  <c r="R10" i="55" s="1"/>
  <c r="E10" i="55"/>
  <c r="Q10" i="55" s="1"/>
  <c r="P9" i="55"/>
  <c r="N9" i="55"/>
  <c r="T9" i="55" s="1"/>
  <c r="K9" i="55"/>
  <c r="S9" i="55" s="1"/>
  <c r="H9" i="55"/>
  <c r="R9" i="55" s="1"/>
  <c r="E9" i="55"/>
  <c r="Q9" i="55" s="1"/>
  <c r="P8" i="55"/>
  <c r="N8" i="55"/>
  <c r="T8" i="55" s="1"/>
  <c r="K8" i="55"/>
  <c r="S8" i="55" s="1"/>
  <c r="H8" i="55"/>
  <c r="R8" i="55" s="1"/>
  <c r="E8" i="55"/>
  <c r="Q8" i="55" s="1"/>
  <c r="P7" i="55"/>
  <c r="N7" i="55"/>
  <c r="T7" i="55" s="1"/>
  <c r="K7" i="55"/>
  <c r="S7" i="55" s="1"/>
  <c r="H7" i="55"/>
  <c r="R7" i="55" s="1"/>
  <c r="E7" i="55"/>
  <c r="Q7" i="55" s="1"/>
  <c r="P6" i="55"/>
  <c r="N6" i="55"/>
  <c r="T6" i="55" s="1"/>
  <c r="K6" i="55"/>
  <c r="S6" i="55" s="1"/>
  <c r="H6" i="55"/>
  <c r="R6" i="55" s="1"/>
  <c r="E6" i="55"/>
  <c r="Q6" i="55" s="1"/>
  <c r="P5" i="55"/>
  <c r="N5" i="55"/>
  <c r="T5" i="55" s="1"/>
  <c r="K5" i="55"/>
  <c r="S5" i="55" s="1"/>
  <c r="H5" i="55"/>
  <c r="R5" i="55" s="1"/>
  <c r="E5" i="55"/>
  <c r="Q5" i="55" s="1"/>
  <c r="P4" i="55"/>
  <c r="N4" i="55"/>
  <c r="T4" i="55" s="1"/>
  <c r="K4" i="55"/>
  <c r="S4" i="55" s="1"/>
  <c r="H4" i="55"/>
  <c r="R4" i="55" s="1"/>
  <c r="E4" i="55"/>
  <c r="Q4" i="55" s="1"/>
  <c r="I71" i="46"/>
  <c r="V33" i="52"/>
  <c r="U33" i="52"/>
  <c r="C71" i="52"/>
  <c r="F85" i="52"/>
  <c r="E85" i="52"/>
  <c r="D85" i="52"/>
  <c r="C85" i="52"/>
  <c r="F84" i="52"/>
  <c r="E84" i="52"/>
  <c r="D84" i="52"/>
  <c r="C84" i="52"/>
  <c r="G82" i="52"/>
  <c r="G81" i="52"/>
  <c r="F80" i="52"/>
  <c r="E80" i="52"/>
  <c r="D80" i="52"/>
  <c r="C80" i="52"/>
  <c r="G79" i="52"/>
  <c r="G78" i="52"/>
  <c r="F77" i="52"/>
  <c r="E77" i="52"/>
  <c r="D77" i="52"/>
  <c r="C77" i="52"/>
  <c r="G76" i="52"/>
  <c r="G75" i="52"/>
  <c r="F74" i="52"/>
  <c r="E74" i="52"/>
  <c r="D74" i="52"/>
  <c r="C74" i="52"/>
  <c r="G73" i="52"/>
  <c r="G72" i="52"/>
  <c r="F71" i="52"/>
  <c r="E71" i="52"/>
  <c r="D71" i="52"/>
  <c r="L23" i="52"/>
  <c r="V21" i="52"/>
  <c r="U36" i="52" s="1"/>
  <c r="U21" i="52"/>
  <c r="I51" i="1"/>
  <c r="D51" i="1"/>
  <c r="I22" i="1"/>
  <c r="D22" i="1"/>
  <c r="D41" i="1"/>
  <c r="D59" i="1"/>
  <c r="F115" i="7"/>
  <c r="F113" i="7"/>
  <c r="D46" i="1"/>
  <c r="D39" i="1"/>
  <c r="I39" i="1"/>
  <c r="I47" i="1"/>
  <c r="D20" i="1"/>
  <c r="F114" i="7"/>
  <c r="F112" i="7"/>
  <c r="D17" i="1"/>
  <c r="D44" i="1"/>
  <c r="D47" i="1"/>
  <c r="D58" i="1"/>
  <c r="D16" i="1"/>
  <c r="I16" i="1"/>
  <c r="F111" i="7"/>
  <c r="F110" i="7"/>
  <c r="D29" i="1"/>
  <c r="F109" i="7"/>
  <c r="D84" i="1"/>
  <c r="D83" i="1"/>
  <c r="F108" i="7"/>
  <c r="Y39" i="49"/>
  <c r="Z39" i="49"/>
  <c r="AB38" i="49"/>
  <c r="AA38" i="49"/>
  <c r="Z38" i="49"/>
  <c r="Y38" i="49"/>
  <c r="Y61" i="49"/>
  <c r="Z61" i="49"/>
  <c r="AA61" i="49"/>
  <c r="AB61" i="49"/>
  <c r="Y62" i="49"/>
  <c r="Z62" i="49"/>
  <c r="AA62" i="49"/>
  <c r="AB62" i="49"/>
  <c r="Y63" i="49"/>
  <c r="Z63" i="49"/>
  <c r="AA63" i="49"/>
  <c r="AB63" i="49"/>
  <c r="Y64" i="49"/>
  <c r="Z64" i="49"/>
  <c r="AA64" i="49"/>
  <c r="AB64" i="49"/>
  <c r="Y65" i="49"/>
  <c r="Z65" i="49"/>
  <c r="AA65" i="49"/>
  <c r="AB65" i="49"/>
  <c r="AA39" i="49"/>
  <c r="Y40" i="49"/>
  <c r="AB40" i="49" s="1"/>
  <c r="Z40" i="49"/>
  <c r="AA40" i="49"/>
  <c r="Y41" i="49"/>
  <c r="Z41" i="49"/>
  <c r="AB41" i="49" s="1"/>
  <c r="AA41" i="49"/>
  <c r="Y42" i="49"/>
  <c r="Z42" i="49"/>
  <c r="AB42" i="49" s="1"/>
  <c r="AA42" i="49"/>
  <c r="Y43" i="49"/>
  <c r="Z43" i="49"/>
  <c r="AA43" i="49"/>
  <c r="AB43" i="49" s="1"/>
  <c r="Y44" i="49"/>
  <c r="AB44" i="49" s="1"/>
  <c r="Z44" i="49"/>
  <c r="AA44" i="49"/>
  <c r="Y45" i="49"/>
  <c r="Z45" i="49"/>
  <c r="AA45" i="49"/>
  <c r="Y46" i="49"/>
  <c r="AB46" i="49" s="1"/>
  <c r="Z46" i="49"/>
  <c r="AA46" i="49"/>
  <c r="Y47" i="49"/>
  <c r="Z47" i="49"/>
  <c r="AA47" i="49"/>
  <c r="Y48" i="49"/>
  <c r="AB48" i="49" s="1"/>
  <c r="Z48" i="49"/>
  <c r="AA48" i="49"/>
  <c r="Y49" i="49"/>
  <c r="Z49" i="49"/>
  <c r="AB49" i="49" s="1"/>
  <c r="AA49" i="49"/>
  <c r="Y50" i="49"/>
  <c r="Z50" i="49"/>
  <c r="AB50" i="49" s="1"/>
  <c r="AA50" i="49"/>
  <c r="Y51" i="49"/>
  <c r="Z51" i="49"/>
  <c r="AA51" i="49"/>
  <c r="Y52" i="49"/>
  <c r="Z52" i="49"/>
  <c r="AA52" i="49"/>
  <c r="Y53" i="49"/>
  <c r="Z53" i="49"/>
  <c r="AB53" i="49" s="1"/>
  <c r="AA53" i="49"/>
  <c r="Y54" i="49"/>
  <c r="Z54" i="49"/>
  <c r="AB54" i="49" s="1"/>
  <c r="AA54" i="49"/>
  <c r="Y55" i="49"/>
  <c r="Z55" i="49"/>
  <c r="AA55" i="49"/>
  <c r="AB55" i="49" s="1"/>
  <c r="Y56" i="49"/>
  <c r="AB56" i="49" s="1"/>
  <c r="Z56" i="49"/>
  <c r="AA56" i="49"/>
  <c r="Y57" i="49"/>
  <c r="Z57" i="49"/>
  <c r="AA57" i="49"/>
  <c r="AB57" i="49" s="1"/>
  <c r="Y58" i="49"/>
  <c r="Z58" i="49"/>
  <c r="AA58" i="49"/>
  <c r="Y59" i="49"/>
  <c r="Z59" i="49"/>
  <c r="AA59" i="49"/>
  <c r="Y60" i="49"/>
  <c r="Z60" i="49"/>
  <c r="AA60" i="49"/>
  <c r="W60" i="49"/>
  <c r="T39" i="49"/>
  <c r="U39" i="49"/>
  <c r="V39" i="49"/>
  <c r="T40" i="49"/>
  <c r="U40" i="49"/>
  <c r="V40" i="49"/>
  <c r="T41" i="49"/>
  <c r="U41" i="49"/>
  <c r="W41" i="49" s="1"/>
  <c r="V41" i="49"/>
  <c r="T42" i="49"/>
  <c r="U42" i="49"/>
  <c r="W42" i="49" s="1"/>
  <c r="V42" i="49"/>
  <c r="T43" i="49"/>
  <c r="U43" i="49"/>
  <c r="V43" i="49"/>
  <c r="T44" i="49"/>
  <c r="U44" i="49"/>
  <c r="W44" i="49" s="1"/>
  <c r="V44" i="49"/>
  <c r="T45" i="49"/>
  <c r="U45" i="49"/>
  <c r="V45" i="49"/>
  <c r="W45" i="49" s="1"/>
  <c r="T46" i="49"/>
  <c r="U46" i="49"/>
  <c r="W46" i="49" s="1"/>
  <c r="V46" i="49"/>
  <c r="T47" i="49"/>
  <c r="U47" i="49"/>
  <c r="V47" i="49"/>
  <c r="T48" i="49"/>
  <c r="U48" i="49"/>
  <c r="V48" i="49"/>
  <c r="T49" i="49"/>
  <c r="U49" i="49"/>
  <c r="V49" i="49"/>
  <c r="T50" i="49"/>
  <c r="U50" i="49"/>
  <c r="V50" i="49"/>
  <c r="W50" i="49" s="1"/>
  <c r="T51" i="49"/>
  <c r="U51" i="49"/>
  <c r="W51" i="49" s="1"/>
  <c r="V51" i="49"/>
  <c r="T52" i="49"/>
  <c r="U52" i="49"/>
  <c r="W52" i="49" s="1"/>
  <c r="V52" i="49"/>
  <c r="T53" i="49"/>
  <c r="U53" i="49"/>
  <c r="W53" i="49" s="1"/>
  <c r="V53" i="49"/>
  <c r="T54" i="49"/>
  <c r="U54" i="49"/>
  <c r="W54" i="49" s="1"/>
  <c r="V54" i="49"/>
  <c r="T55" i="49"/>
  <c r="U55" i="49"/>
  <c r="V55" i="49"/>
  <c r="T56" i="49"/>
  <c r="U56" i="49"/>
  <c r="W56" i="49" s="1"/>
  <c r="V56" i="49"/>
  <c r="T57" i="49"/>
  <c r="U57" i="49"/>
  <c r="W57" i="49" s="1"/>
  <c r="V57" i="49"/>
  <c r="T58" i="49"/>
  <c r="U58" i="49"/>
  <c r="W58" i="49" s="1"/>
  <c r="V58" i="49"/>
  <c r="T59" i="49"/>
  <c r="U59" i="49"/>
  <c r="V59" i="49"/>
  <c r="V38" i="49"/>
  <c r="W38" i="49" s="1"/>
  <c r="U38" i="49"/>
  <c r="T38" i="49"/>
  <c r="AB45" i="49"/>
  <c r="AB47" i="49"/>
  <c r="AB51" i="49"/>
  <c r="AB52" i="49"/>
  <c r="AB58" i="49"/>
  <c r="AB59" i="49"/>
  <c r="AB60" i="49"/>
  <c r="W43" i="49"/>
  <c r="W47" i="49"/>
  <c r="W48" i="49"/>
  <c r="W49" i="49"/>
  <c r="W55" i="49"/>
  <c r="W59" i="49"/>
  <c r="O62" i="49"/>
  <c r="O63" i="49"/>
  <c r="P63" i="49"/>
  <c r="Q63" i="49"/>
  <c r="O64" i="49"/>
  <c r="P64" i="49"/>
  <c r="Q64" i="49"/>
  <c r="O65" i="49"/>
  <c r="Q60" i="49"/>
  <c r="P60" i="49"/>
  <c r="O60" i="49"/>
  <c r="O39" i="49"/>
  <c r="P39" i="49"/>
  <c r="Q39" i="49"/>
  <c r="O40" i="49"/>
  <c r="P40" i="49"/>
  <c r="R40" i="49" s="1"/>
  <c r="Q40" i="49"/>
  <c r="O41" i="49"/>
  <c r="O42" i="49"/>
  <c r="P42" i="49"/>
  <c r="Q42" i="49"/>
  <c r="O43" i="49"/>
  <c r="P43" i="49"/>
  <c r="Q43" i="49"/>
  <c r="O44" i="49"/>
  <c r="P44" i="49"/>
  <c r="Q44" i="49"/>
  <c r="O45" i="49"/>
  <c r="P45" i="49"/>
  <c r="Q45" i="49"/>
  <c r="O46" i="49"/>
  <c r="P46" i="49"/>
  <c r="Q46" i="49"/>
  <c r="O47" i="49"/>
  <c r="O48" i="49"/>
  <c r="P48" i="49"/>
  <c r="R48" i="49" s="1"/>
  <c r="Q48" i="49"/>
  <c r="O49" i="49"/>
  <c r="P49" i="49"/>
  <c r="Q49" i="49"/>
  <c r="R49" i="49" s="1"/>
  <c r="O50" i="49"/>
  <c r="P50" i="49"/>
  <c r="Q50" i="49"/>
  <c r="O51" i="49"/>
  <c r="P51" i="49"/>
  <c r="Q51" i="49"/>
  <c r="O52" i="49"/>
  <c r="P52" i="49"/>
  <c r="R52" i="49" s="1"/>
  <c r="Q52" i="49"/>
  <c r="O53" i="49"/>
  <c r="P53" i="49"/>
  <c r="Q53" i="49"/>
  <c r="O54" i="49"/>
  <c r="P54" i="49"/>
  <c r="Q54" i="49"/>
  <c r="O55" i="49"/>
  <c r="P55" i="49"/>
  <c r="Q55" i="49"/>
  <c r="O56" i="49"/>
  <c r="P56" i="49"/>
  <c r="R56" i="49" s="1"/>
  <c r="Q56" i="49"/>
  <c r="O57" i="49"/>
  <c r="P57" i="49"/>
  <c r="Q57" i="49"/>
  <c r="O58" i="49"/>
  <c r="P58" i="49"/>
  <c r="Q58" i="49"/>
  <c r="O59" i="49"/>
  <c r="P59" i="49"/>
  <c r="Q59" i="49"/>
  <c r="Q38" i="49"/>
  <c r="P38" i="49"/>
  <c r="R38" i="49" s="1"/>
  <c r="O38" i="49"/>
  <c r="AB39" i="49"/>
  <c r="W40" i="49"/>
  <c r="W39" i="49"/>
  <c r="R53" i="49"/>
  <c r="R44" i="49"/>
  <c r="D37" i="1"/>
  <c r="I37" i="1"/>
  <c r="N64" i="49"/>
  <c r="N65" i="49"/>
  <c r="K62" i="49"/>
  <c r="L62" i="49"/>
  <c r="M62" i="49"/>
  <c r="K63" i="49"/>
  <c r="L63" i="49"/>
  <c r="N63" i="49" s="1"/>
  <c r="M63" i="49"/>
  <c r="M60" i="49"/>
  <c r="L60" i="49"/>
  <c r="K60" i="49"/>
  <c r="G61" i="49"/>
  <c r="K39" i="49"/>
  <c r="L39" i="49"/>
  <c r="M39" i="49"/>
  <c r="K40" i="49"/>
  <c r="L40" i="49"/>
  <c r="N40" i="49" s="1"/>
  <c r="M40" i="49"/>
  <c r="K41" i="49"/>
  <c r="K42" i="49"/>
  <c r="L42" i="49"/>
  <c r="M42" i="49"/>
  <c r="K43" i="49"/>
  <c r="L43" i="49"/>
  <c r="M43" i="49"/>
  <c r="K44" i="49"/>
  <c r="L44" i="49"/>
  <c r="M44" i="49"/>
  <c r="N44" i="49" s="1"/>
  <c r="K45" i="49"/>
  <c r="L45" i="49"/>
  <c r="M45" i="49"/>
  <c r="K46" i="49"/>
  <c r="L46" i="49"/>
  <c r="M46" i="49"/>
  <c r="K47" i="49"/>
  <c r="N47" i="49" s="1"/>
  <c r="L47" i="49"/>
  <c r="M47" i="49"/>
  <c r="K48" i="49"/>
  <c r="L48" i="49"/>
  <c r="N48" i="49" s="1"/>
  <c r="M48" i="49"/>
  <c r="K49" i="49"/>
  <c r="L49" i="49"/>
  <c r="M49" i="49"/>
  <c r="K50" i="49"/>
  <c r="L50" i="49"/>
  <c r="N50" i="49" s="1"/>
  <c r="M50" i="49"/>
  <c r="K51" i="49"/>
  <c r="L51" i="49"/>
  <c r="M51" i="49"/>
  <c r="K52" i="49"/>
  <c r="L52" i="49"/>
  <c r="M52" i="49"/>
  <c r="K53" i="49"/>
  <c r="L53" i="49"/>
  <c r="M53" i="49"/>
  <c r="K54" i="49"/>
  <c r="N54" i="49" s="1"/>
  <c r="L54" i="49"/>
  <c r="M54" i="49"/>
  <c r="K55" i="49"/>
  <c r="L55" i="49"/>
  <c r="M55" i="49"/>
  <c r="K56" i="49"/>
  <c r="L56" i="49"/>
  <c r="M56" i="49"/>
  <c r="K57" i="49"/>
  <c r="L57" i="49"/>
  <c r="M57" i="49"/>
  <c r="K58" i="49"/>
  <c r="L58" i="49"/>
  <c r="M58" i="49"/>
  <c r="K59" i="49"/>
  <c r="L59" i="49"/>
  <c r="M59" i="49"/>
  <c r="M38" i="49"/>
  <c r="L38" i="49"/>
  <c r="K38" i="49"/>
  <c r="I19" i="1"/>
  <c r="I20" i="1"/>
  <c r="I18" i="1"/>
  <c r="I17" i="1"/>
  <c r="I15" i="1"/>
  <c r="I21" i="1"/>
  <c r="I41" i="1"/>
  <c r="I42" i="1"/>
  <c r="I44" i="1"/>
  <c r="I43" i="1"/>
  <c r="I46" i="1"/>
  <c r="I45" i="1"/>
  <c r="I48" i="1"/>
  <c r="I49" i="1"/>
  <c r="I50" i="1"/>
  <c r="I40" i="1"/>
  <c r="I38" i="1"/>
  <c r="F114" i="57" l="1"/>
  <c r="K33" i="55"/>
  <c r="S33" i="55" s="1"/>
  <c r="N31" i="55"/>
  <c r="T31" i="55" s="1"/>
  <c r="N35" i="55"/>
  <c r="T35" i="55" s="1"/>
  <c r="N27" i="55"/>
  <c r="T27" i="55" s="1"/>
  <c r="G80" i="52"/>
  <c r="G77" i="52"/>
  <c r="H24" i="55"/>
  <c r="R24" i="55" s="1"/>
  <c r="K29" i="55"/>
  <c r="S29" i="55" s="1"/>
  <c r="V36" i="52"/>
  <c r="G74" i="52"/>
  <c r="E83" i="52"/>
  <c r="C83" i="52"/>
  <c r="H33" i="55"/>
  <c r="R33" i="55" s="1"/>
  <c r="H34" i="55"/>
  <c r="R34" i="55" s="1"/>
  <c r="E29" i="55"/>
  <c r="Q29" i="55" s="1"/>
  <c r="E26" i="55"/>
  <c r="Q26" i="55" s="1"/>
  <c r="H31" i="55"/>
  <c r="R31" i="55" s="1"/>
  <c r="H26" i="55"/>
  <c r="R26" i="55" s="1"/>
  <c r="E34" i="55"/>
  <c r="Q34" i="55" s="1"/>
  <c r="E25" i="55"/>
  <c r="Q25" i="55" s="1"/>
  <c r="E24" i="55"/>
  <c r="Q24" i="55" s="1"/>
  <c r="H25" i="55"/>
  <c r="R25" i="55" s="1"/>
  <c r="E33" i="55"/>
  <c r="Q33" i="55" s="1"/>
  <c r="E28" i="55"/>
  <c r="Q28" i="55" s="1"/>
  <c r="H29" i="55"/>
  <c r="R29" i="55" s="1"/>
  <c r="E32" i="55"/>
  <c r="H32" i="55"/>
  <c r="R32" i="55" s="1"/>
  <c r="E31" i="55"/>
  <c r="Q31" i="55" s="1"/>
  <c r="H36" i="55"/>
  <c r="R36" i="55" s="1"/>
  <c r="N30" i="55"/>
  <c r="T30" i="55" s="1"/>
  <c r="N33" i="55"/>
  <c r="T33" i="55" s="1"/>
  <c r="N32" i="55"/>
  <c r="T32" i="55" s="1"/>
  <c r="K23" i="55"/>
  <c r="S23" i="55" s="1"/>
  <c r="N24" i="55"/>
  <c r="T24" i="55" s="1"/>
  <c r="N34" i="55"/>
  <c r="T34" i="55" s="1"/>
  <c r="N23" i="55"/>
  <c r="T23" i="55" s="1"/>
  <c r="N28" i="55"/>
  <c r="T28" i="55" s="1"/>
  <c r="K26" i="55"/>
  <c r="S26" i="55" s="1"/>
  <c r="K36" i="55"/>
  <c r="S36" i="55" s="1"/>
  <c r="N36" i="55"/>
  <c r="T36" i="55" s="1"/>
  <c r="K35" i="55"/>
  <c r="S35" i="55" s="1"/>
  <c r="N25" i="55"/>
  <c r="T25" i="55" s="1"/>
  <c r="K25" i="55"/>
  <c r="S25" i="55" s="1"/>
  <c r="K32" i="55"/>
  <c r="S32" i="55" s="1"/>
  <c r="H30" i="55"/>
  <c r="R30" i="55" s="1"/>
  <c r="H23" i="55"/>
  <c r="R23" i="55" s="1"/>
  <c r="K24" i="55"/>
  <c r="S24" i="55" s="1"/>
  <c r="K30" i="55"/>
  <c r="S30" i="55" s="1"/>
  <c r="K31" i="55"/>
  <c r="S31" i="55" s="1"/>
  <c r="H28" i="55"/>
  <c r="R28" i="55" s="1"/>
  <c r="H35" i="55"/>
  <c r="R35" i="55" s="1"/>
  <c r="H27" i="55"/>
  <c r="R27" i="55" s="1"/>
  <c r="K34" i="55"/>
  <c r="S34" i="55" s="1"/>
  <c r="K27" i="55"/>
  <c r="S27" i="55" s="1"/>
  <c r="G71" i="52"/>
  <c r="D83" i="52"/>
  <c r="G85" i="52"/>
  <c r="G84" i="52"/>
  <c r="F83" i="52"/>
  <c r="N57" i="49"/>
  <c r="R55" i="49"/>
  <c r="R46" i="49"/>
  <c r="R42" i="49"/>
  <c r="N56" i="49"/>
  <c r="N52" i="49"/>
  <c r="N45" i="49"/>
  <c r="R50" i="49"/>
  <c r="N42" i="49"/>
  <c r="N60" i="49"/>
  <c r="N62" i="49"/>
  <c r="N39" i="49"/>
  <c r="R60" i="49"/>
  <c r="R59" i="49"/>
  <c r="R43" i="49"/>
  <c r="N59" i="49"/>
  <c r="N46" i="49"/>
  <c r="N55" i="49"/>
  <c r="N58" i="49"/>
  <c r="N38" i="49"/>
  <c r="N53" i="49"/>
  <c r="N49" i="49"/>
  <c r="R39" i="49"/>
  <c r="R58" i="49"/>
  <c r="R54" i="49"/>
  <c r="R45" i="49"/>
  <c r="R64" i="49"/>
  <c r="R57" i="49"/>
  <c r="R63" i="49"/>
  <c r="N43" i="49"/>
  <c r="C39" i="49"/>
  <c r="D39" i="49"/>
  <c r="E39" i="49"/>
  <c r="G39" i="49"/>
  <c r="H39" i="49"/>
  <c r="I39" i="49"/>
  <c r="C40" i="49"/>
  <c r="D40" i="49"/>
  <c r="E40" i="49"/>
  <c r="G40" i="49"/>
  <c r="H40" i="49"/>
  <c r="I40" i="49"/>
  <c r="C41" i="49"/>
  <c r="D41" i="49"/>
  <c r="E41" i="49"/>
  <c r="G41" i="49"/>
  <c r="H41" i="49"/>
  <c r="I41" i="49"/>
  <c r="C42" i="49"/>
  <c r="D42" i="49"/>
  <c r="E42" i="49"/>
  <c r="G42" i="49"/>
  <c r="H42" i="49"/>
  <c r="I42" i="49"/>
  <c r="C43" i="49"/>
  <c r="D43" i="49"/>
  <c r="E43" i="49"/>
  <c r="G43" i="49"/>
  <c r="H43" i="49"/>
  <c r="I43" i="49"/>
  <c r="C44" i="49"/>
  <c r="D44" i="49"/>
  <c r="E44" i="49"/>
  <c r="G44" i="49"/>
  <c r="H44" i="49"/>
  <c r="I44" i="49"/>
  <c r="C45" i="49"/>
  <c r="D45" i="49"/>
  <c r="E45" i="49"/>
  <c r="G45" i="49"/>
  <c r="H45" i="49"/>
  <c r="I45" i="49"/>
  <c r="C46" i="49"/>
  <c r="D46" i="49"/>
  <c r="E46" i="49"/>
  <c r="G46" i="49"/>
  <c r="H46" i="49"/>
  <c r="I46" i="49"/>
  <c r="C47" i="49"/>
  <c r="D47" i="49"/>
  <c r="E47" i="49"/>
  <c r="G47" i="49"/>
  <c r="H47" i="49"/>
  <c r="I47" i="49"/>
  <c r="C48" i="49"/>
  <c r="D48" i="49"/>
  <c r="E48" i="49"/>
  <c r="G48" i="49"/>
  <c r="H48" i="49"/>
  <c r="I48" i="49"/>
  <c r="C49" i="49"/>
  <c r="D49" i="49"/>
  <c r="E49" i="49"/>
  <c r="G49" i="49"/>
  <c r="H49" i="49"/>
  <c r="I49" i="49"/>
  <c r="C50" i="49"/>
  <c r="D50" i="49"/>
  <c r="E50" i="49"/>
  <c r="G50" i="49"/>
  <c r="H50" i="49"/>
  <c r="I50" i="49"/>
  <c r="C51" i="49"/>
  <c r="D51" i="49"/>
  <c r="E51" i="49"/>
  <c r="C52" i="49"/>
  <c r="D52" i="49"/>
  <c r="E52" i="49"/>
  <c r="G52" i="49"/>
  <c r="H52" i="49"/>
  <c r="I52" i="49"/>
  <c r="C53" i="49"/>
  <c r="D53" i="49"/>
  <c r="E53" i="49"/>
  <c r="G53" i="49"/>
  <c r="H53" i="49"/>
  <c r="I53" i="49"/>
  <c r="C54" i="49"/>
  <c r="D54" i="49"/>
  <c r="E54" i="49"/>
  <c r="G54" i="49"/>
  <c r="H54" i="49"/>
  <c r="I54" i="49"/>
  <c r="C55" i="49"/>
  <c r="D55" i="49"/>
  <c r="E55" i="49"/>
  <c r="G55" i="49"/>
  <c r="H55" i="49"/>
  <c r="I55" i="49"/>
  <c r="C56" i="49"/>
  <c r="D56" i="49"/>
  <c r="E56" i="49"/>
  <c r="G56" i="49"/>
  <c r="H56" i="49"/>
  <c r="I56" i="49"/>
  <c r="C57" i="49"/>
  <c r="D57" i="49"/>
  <c r="E57" i="49"/>
  <c r="G57" i="49"/>
  <c r="H57" i="49"/>
  <c r="I57" i="49"/>
  <c r="C58" i="49"/>
  <c r="D58" i="49"/>
  <c r="E58" i="49"/>
  <c r="G58" i="49"/>
  <c r="H58" i="49"/>
  <c r="I58" i="49"/>
  <c r="C59" i="49"/>
  <c r="D59" i="49"/>
  <c r="E59" i="49"/>
  <c r="G59" i="49"/>
  <c r="H59" i="49"/>
  <c r="I59" i="49"/>
  <c r="I62" i="49"/>
  <c r="H62" i="49"/>
  <c r="G62" i="49"/>
  <c r="I63" i="49"/>
  <c r="H63" i="49"/>
  <c r="G63" i="49"/>
  <c r="G60" i="49"/>
  <c r="H60" i="49"/>
  <c r="I60" i="49"/>
  <c r="I61" i="49"/>
  <c r="H61" i="49"/>
  <c r="J61" i="49" s="1"/>
  <c r="J41" i="45"/>
  <c r="I38" i="49"/>
  <c r="H38" i="49"/>
  <c r="G38" i="49"/>
  <c r="E38" i="49"/>
  <c r="D38" i="49"/>
  <c r="C38" i="49"/>
  <c r="G83" i="52" l="1"/>
  <c r="J43" i="49"/>
  <c r="J55" i="49"/>
  <c r="J39" i="49"/>
  <c r="F51" i="49"/>
  <c r="J41" i="49"/>
  <c r="J57" i="49"/>
  <c r="J49" i="49"/>
  <c r="J44" i="49"/>
  <c r="J46" i="49"/>
  <c r="J54" i="49"/>
  <c r="J50" i="49"/>
  <c r="J58" i="49"/>
  <c r="J52" i="49"/>
  <c r="F57" i="49"/>
  <c r="F39" i="49"/>
  <c r="J38" i="49"/>
  <c r="J48" i="49"/>
  <c r="J62" i="49"/>
  <c r="J59" i="49"/>
  <c r="F53" i="49"/>
  <c r="J40" i="49"/>
  <c r="J45" i="49"/>
  <c r="F38" i="49"/>
  <c r="J53" i="49"/>
  <c r="J47" i="49"/>
  <c r="F55" i="49"/>
  <c r="F49" i="49"/>
  <c r="J63" i="49"/>
  <c r="J56" i="49"/>
  <c r="F41" i="49"/>
  <c r="J42" i="49"/>
  <c r="F47" i="49"/>
  <c r="F45" i="49"/>
  <c r="F43" i="49"/>
  <c r="F56" i="49"/>
  <c r="F54" i="49"/>
  <c r="F52" i="49"/>
  <c r="F48" i="49"/>
  <c r="F59" i="49"/>
  <c r="F42" i="49"/>
  <c r="F46" i="49"/>
  <c r="F58" i="49"/>
  <c r="F40" i="49"/>
  <c r="F50" i="49"/>
  <c r="J60" i="49"/>
  <c r="F44" i="49"/>
  <c r="U51" i="46"/>
  <c r="V51" i="46"/>
  <c r="AB35" i="50"/>
  <c r="AB34" i="50"/>
  <c r="P36" i="48" l="1"/>
  <c r="M36" i="48"/>
  <c r="L36" i="48"/>
  <c r="J36" i="48"/>
  <c r="I36" i="48"/>
  <c r="G36" i="48"/>
  <c r="F36" i="48"/>
  <c r="D36" i="48"/>
  <c r="C36" i="48"/>
  <c r="P35" i="48"/>
  <c r="M35" i="48"/>
  <c r="L35" i="48"/>
  <c r="J35" i="48"/>
  <c r="I35" i="48"/>
  <c r="G35" i="48"/>
  <c r="F35" i="48"/>
  <c r="D35" i="48"/>
  <c r="C35" i="48"/>
  <c r="P34" i="48"/>
  <c r="M34" i="48"/>
  <c r="L34" i="48"/>
  <c r="J34" i="48"/>
  <c r="I34" i="48"/>
  <c r="G34" i="48"/>
  <c r="F34" i="48"/>
  <c r="D34" i="48"/>
  <c r="C34" i="48"/>
  <c r="P33" i="48"/>
  <c r="M33" i="48"/>
  <c r="L33" i="48"/>
  <c r="J33" i="48"/>
  <c r="I33" i="48"/>
  <c r="G33" i="48"/>
  <c r="F33" i="48"/>
  <c r="D33" i="48"/>
  <c r="C33" i="48"/>
  <c r="P32" i="48"/>
  <c r="M32" i="48"/>
  <c r="L32" i="48"/>
  <c r="J32" i="48"/>
  <c r="I32" i="48"/>
  <c r="G32" i="48"/>
  <c r="F32" i="48"/>
  <c r="D32" i="48"/>
  <c r="C32" i="48"/>
  <c r="P31" i="48"/>
  <c r="M31" i="48"/>
  <c r="L31" i="48"/>
  <c r="J31" i="48"/>
  <c r="I31" i="48"/>
  <c r="G31" i="48"/>
  <c r="F31" i="48"/>
  <c r="D31" i="48"/>
  <c r="C31" i="48"/>
  <c r="P30" i="48"/>
  <c r="M30" i="48"/>
  <c r="L30" i="48"/>
  <c r="J30" i="48"/>
  <c r="I30" i="48"/>
  <c r="G30" i="48"/>
  <c r="F30" i="48"/>
  <c r="D30" i="48"/>
  <c r="C30" i="48"/>
  <c r="P29" i="48"/>
  <c r="M29" i="48"/>
  <c r="L29" i="48"/>
  <c r="J29" i="48"/>
  <c r="I29" i="48"/>
  <c r="G29" i="48"/>
  <c r="F29" i="48"/>
  <c r="H29" i="48" s="1"/>
  <c r="R29" i="48" s="1"/>
  <c r="D29" i="48"/>
  <c r="C29" i="48"/>
  <c r="P28" i="48"/>
  <c r="M28" i="48"/>
  <c r="L28" i="48"/>
  <c r="J28" i="48"/>
  <c r="I28" i="48"/>
  <c r="G28" i="48"/>
  <c r="F28" i="48"/>
  <c r="D28" i="48"/>
  <c r="C28" i="48"/>
  <c r="P27" i="48"/>
  <c r="M27" i="48"/>
  <c r="L27" i="48"/>
  <c r="J27" i="48"/>
  <c r="I27" i="48"/>
  <c r="G27" i="48"/>
  <c r="F27" i="48"/>
  <c r="D27" i="48"/>
  <c r="C27" i="48"/>
  <c r="P26" i="48"/>
  <c r="M26" i="48"/>
  <c r="L26" i="48"/>
  <c r="J26" i="48"/>
  <c r="I26" i="48"/>
  <c r="G26" i="48"/>
  <c r="F26" i="48"/>
  <c r="D26" i="48"/>
  <c r="C26" i="48"/>
  <c r="P25" i="48"/>
  <c r="M25" i="48"/>
  <c r="L25" i="48"/>
  <c r="J25" i="48"/>
  <c r="I25" i="48"/>
  <c r="G25" i="48"/>
  <c r="F25" i="48"/>
  <c r="D25" i="48"/>
  <c r="C25" i="48"/>
  <c r="P24" i="48"/>
  <c r="M24" i="48"/>
  <c r="L24" i="48"/>
  <c r="J24" i="48"/>
  <c r="I24" i="48"/>
  <c r="G24" i="48"/>
  <c r="F24" i="48"/>
  <c r="D24" i="48"/>
  <c r="C24" i="48"/>
  <c r="P23" i="48"/>
  <c r="M23" i="48"/>
  <c r="L23" i="48"/>
  <c r="J23" i="48"/>
  <c r="I23" i="48"/>
  <c r="G23" i="48"/>
  <c r="F23" i="48"/>
  <c r="D23" i="48"/>
  <c r="C23" i="48"/>
  <c r="P17" i="48"/>
  <c r="N17" i="48"/>
  <c r="T17" i="48" s="1"/>
  <c r="K17" i="48"/>
  <c r="S17" i="48" s="1"/>
  <c r="H17" i="48"/>
  <c r="R17" i="48" s="1"/>
  <c r="E17" i="48"/>
  <c r="Q17" i="48" s="1"/>
  <c r="P16" i="48"/>
  <c r="N16" i="48"/>
  <c r="T16" i="48" s="1"/>
  <c r="K16" i="48"/>
  <c r="S16" i="48" s="1"/>
  <c r="H16" i="48"/>
  <c r="R16" i="48" s="1"/>
  <c r="E16" i="48"/>
  <c r="Q16" i="48" s="1"/>
  <c r="P15" i="48"/>
  <c r="N15" i="48"/>
  <c r="T15" i="48" s="1"/>
  <c r="K15" i="48"/>
  <c r="S15" i="48" s="1"/>
  <c r="H15" i="48"/>
  <c r="R15" i="48" s="1"/>
  <c r="E15" i="48"/>
  <c r="Q15" i="48" s="1"/>
  <c r="P14" i="48"/>
  <c r="N14" i="48"/>
  <c r="T14" i="48" s="1"/>
  <c r="K14" i="48"/>
  <c r="S14" i="48" s="1"/>
  <c r="H14" i="48"/>
  <c r="R14" i="48" s="1"/>
  <c r="E14" i="48"/>
  <c r="Q14" i="48" s="1"/>
  <c r="P13" i="48"/>
  <c r="N13" i="48"/>
  <c r="T13" i="48" s="1"/>
  <c r="K13" i="48"/>
  <c r="S13" i="48" s="1"/>
  <c r="H13" i="48"/>
  <c r="R13" i="48" s="1"/>
  <c r="E13" i="48"/>
  <c r="Q13" i="48" s="1"/>
  <c r="P12" i="48"/>
  <c r="N12" i="48"/>
  <c r="T12" i="48" s="1"/>
  <c r="K12" i="48"/>
  <c r="S12" i="48" s="1"/>
  <c r="H12" i="48"/>
  <c r="R12" i="48" s="1"/>
  <c r="E12" i="48"/>
  <c r="Q12" i="48" s="1"/>
  <c r="P11" i="48"/>
  <c r="N11" i="48"/>
  <c r="T11" i="48" s="1"/>
  <c r="K11" i="48"/>
  <c r="S11" i="48" s="1"/>
  <c r="H11" i="48"/>
  <c r="R11" i="48" s="1"/>
  <c r="E11" i="48"/>
  <c r="Q11" i="48" s="1"/>
  <c r="P10" i="48"/>
  <c r="N10" i="48"/>
  <c r="T10" i="48" s="1"/>
  <c r="K10" i="48"/>
  <c r="S10" i="48" s="1"/>
  <c r="H10" i="48"/>
  <c r="R10" i="48" s="1"/>
  <c r="E10" i="48"/>
  <c r="Q10" i="48" s="1"/>
  <c r="P9" i="48"/>
  <c r="N9" i="48"/>
  <c r="T9" i="48" s="1"/>
  <c r="K9" i="48"/>
  <c r="S9" i="48" s="1"/>
  <c r="H9" i="48"/>
  <c r="R9" i="48" s="1"/>
  <c r="E9" i="48"/>
  <c r="Q9" i="48" s="1"/>
  <c r="P8" i="48"/>
  <c r="N8" i="48"/>
  <c r="T8" i="48" s="1"/>
  <c r="K8" i="48"/>
  <c r="S8" i="48" s="1"/>
  <c r="H8" i="48"/>
  <c r="R8" i="48" s="1"/>
  <c r="E8" i="48"/>
  <c r="Q8" i="48" s="1"/>
  <c r="P7" i="48"/>
  <c r="N7" i="48"/>
  <c r="T7" i="48" s="1"/>
  <c r="K7" i="48"/>
  <c r="S7" i="48" s="1"/>
  <c r="H7" i="48"/>
  <c r="R7" i="48" s="1"/>
  <c r="E7" i="48"/>
  <c r="Q7" i="48" s="1"/>
  <c r="P6" i="48"/>
  <c r="N6" i="48"/>
  <c r="T6" i="48" s="1"/>
  <c r="K6" i="48"/>
  <c r="S6" i="48" s="1"/>
  <c r="H6" i="48"/>
  <c r="R6" i="48" s="1"/>
  <c r="E6" i="48"/>
  <c r="Q6" i="48" s="1"/>
  <c r="P5" i="48"/>
  <c r="N5" i="48"/>
  <c r="T5" i="48" s="1"/>
  <c r="K5" i="48"/>
  <c r="S5" i="48" s="1"/>
  <c r="H5" i="48"/>
  <c r="R5" i="48" s="1"/>
  <c r="E5" i="48"/>
  <c r="Q5" i="48" s="1"/>
  <c r="P4" i="48"/>
  <c r="N4" i="48"/>
  <c r="T4" i="48" s="1"/>
  <c r="K4" i="48"/>
  <c r="S4" i="48" s="1"/>
  <c r="H4" i="48"/>
  <c r="R4" i="48" s="1"/>
  <c r="E4" i="48"/>
  <c r="Q4" i="48" s="1"/>
  <c r="N23" i="48" l="1"/>
  <c r="T23" i="48" s="1"/>
  <c r="N32" i="48"/>
  <c r="T32" i="48" s="1"/>
  <c r="N28" i="48"/>
  <c r="T28" i="48" s="1"/>
  <c r="N25" i="48"/>
  <c r="T25" i="48" s="1"/>
  <c r="N24" i="48"/>
  <c r="T24" i="48" s="1"/>
  <c r="K23" i="48"/>
  <c r="S23" i="48" s="1"/>
  <c r="E29" i="48"/>
  <c r="Q29" i="48" s="1"/>
  <c r="N30" i="48"/>
  <c r="T30" i="48" s="1"/>
  <c r="N34" i="48"/>
  <c r="T34" i="48" s="1"/>
  <c r="N35" i="48"/>
  <c r="T35" i="48" s="1"/>
  <c r="N31" i="48"/>
  <c r="T31" i="48" s="1"/>
  <c r="N36" i="48"/>
  <c r="T36" i="48" s="1"/>
  <c r="K36" i="48"/>
  <c r="S36" i="48" s="1"/>
  <c r="K25" i="48"/>
  <c r="S25" i="48" s="1"/>
  <c r="E24" i="48"/>
  <c r="Q24" i="48" s="1"/>
  <c r="E35" i="48"/>
  <c r="Q35" i="48" s="1"/>
  <c r="E31" i="48"/>
  <c r="Q31" i="48" s="1"/>
  <c r="E30" i="48"/>
  <c r="Q30" i="48" s="1"/>
  <c r="E27" i="48"/>
  <c r="Q27" i="48" s="1"/>
  <c r="E26" i="48"/>
  <c r="Q26" i="48" s="1"/>
  <c r="E23" i="48"/>
  <c r="Q23" i="48" s="1"/>
  <c r="E34" i="48"/>
  <c r="Q34" i="48" s="1"/>
  <c r="H34" i="48"/>
  <c r="R34" i="48" s="1"/>
  <c r="E25" i="48"/>
  <c r="Q25" i="48" s="1"/>
  <c r="E33" i="48"/>
  <c r="Q33" i="48" s="1"/>
  <c r="N27" i="48"/>
  <c r="T27" i="48" s="1"/>
  <c r="N33" i="48"/>
  <c r="T33" i="48" s="1"/>
  <c r="K35" i="48"/>
  <c r="S35" i="48" s="1"/>
  <c r="N26" i="48"/>
  <c r="T26" i="48" s="1"/>
  <c r="N29" i="48"/>
  <c r="T29" i="48" s="1"/>
  <c r="K31" i="48"/>
  <c r="S31" i="48" s="1"/>
  <c r="K26" i="48"/>
  <c r="S26" i="48" s="1"/>
  <c r="K27" i="48"/>
  <c r="S27" i="48" s="1"/>
  <c r="K28" i="48"/>
  <c r="S28" i="48" s="1"/>
  <c r="H30" i="48"/>
  <c r="R30" i="48" s="1"/>
  <c r="K34" i="48"/>
  <c r="S34" i="48" s="1"/>
  <c r="K29" i="48"/>
  <c r="S29" i="48" s="1"/>
  <c r="K33" i="48"/>
  <c r="S33" i="48" s="1"/>
  <c r="K24" i="48"/>
  <c r="S24" i="48" s="1"/>
  <c r="H26" i="48"/>
  <c r="R26" i="48" s="1"/>
  <c r="K30" i="48"/>
  <c r="S30" i="48" s="1"/>
  <c r="K32" i="48"/>
  <c r="S32" i="48" s="1"/>
  <c r="H28" i="48"/>
  <c r="R28" i="48" s="1"/>
  <c r="H32" i="48"/>
  <c r="R32" i="48" s="1"/>
  <c r="H36" i="48"/>
  <c r="R36" i="48" s="1"/>
  <c r="H27" i="48"/>
  <c r="R27" i="48" s="1"/>
  <c r="E28" i="48"/>
  <c r="Q28" i="48" s="1"/>
  <c r="H31" i="48"/>
  <c r="R31" i="48" s="1"/>
  <c r="E32" i="48"/>
  <c r="Q32" i="48" s="1"/>
  <c r="H35" i="48"/>
  <c r="R35" i="48" s="1"/>
  <c r="E36" i="48"/>
  <c r="Q36" i="48" s="1"/>
  <c r="H24" i="48"/>
  <c r="R24" i="48" s="1"/>
  <c r="H23" i="48"/>
  <c r="R23" i="48" s="1"/>
  <c r="H25" i="48"/>
  <c r="R25" i="48" s="1"/>
  <c r="H33" i="48"/>
  <c r="R33" i="48" s="1"/>
  <c r="F89" i="46"/>
  <c r="E89" i="46"/>
  <c r="D89" i="46"/>
  <c r="C89" i="46"/>
  <c r="F88" i="46"/>
  <c r="E88" i="46"/>
  <c r="D88" i="46"/>
  <c r="C88" i="46"/>
  <c r="G86" i="46"/>
  <c r="G85" i="46"/>
  <c r="F84" i="46"/>
  <c r="E84" i="46"/>
  <c r="D84" i="46"/>
  <c r="C84" i="46"/>
  <c r="G83" i="46"/>
  <c r="G82" i="46"/>
  <c r="F81" i="46"/>
  <c r="E81" i="46"/>
  <c r="D81" i="46"/>
  <c r="C81" i="46"/>
  <c r="G80" i="46"/>
  <c r="G79" i="46"/>
  <c r="F78" i="46"/>
  <c r="E78" i="46"/>
  <c r="D78" i="46"/>
  <c r="C78" i="46"/>
  <c r="G77" i="46"/>
  <c r="G76" i="46"/>
  <c r="F75" i="46"/>
  <c r="E75" i="46"/>
  <c r="D75" i="46"/>
  <c r="C75" i="46"/>
  <c r="V33" i="46"/>
  <c r="V36" i="46" s="1"/>
  <c r="V44" i="46" s="1"/>
  <c r="U33" i="46"/>
  <c r="L23" i="46"/>
  <c r="V21" i="46"/>
  <c r="U36" i="46" s="1"/>
  <c r="U44" i="46" s="1"/>
  <c r="U21" i="46"/>
  <c r="G81" i="46" l="1"/>
  <c r="G78" i="46"/>
  <c r="G75" i="46"/>
  <c r="G84" i="46"/>
  <c r="E87" i="46"/>
  <c r="F87" i="46"/>
  <c r="G88" i="46"/>
  <c r="C87" i="46"/>
  <c r="D87" i="46"/>
  <c r="G89" i="46"/>
  <c r="H157" i="45"/>
  <c r="H158" i="45"/>
  <c r="H156" i="45"/>
  <c r="H150" i="45"/>
  <c r="H152" i="45"/>
  <c r="H153" i="45"/>
  <c r="H151" i="45"/>
  <c r="H149" i="45"/>
  <c r="E90" i="46" l="1"/>
  <c r="E71" i="46" s="1"/>
  <c r="G87" i="46"/>
  <c r="D40" i="1"/>
  <c r="D72" i="1"/>
  <c r="D21" i="1" l="1"/>
  <c r="D6" i="1" l="1"/>
  <c r="F107" i="7" l="1"/>
  <c r="F106" i="7"/>
  <c r="F105" i="7"/>
  <c r="F104" i="7"/>
  <c r="F103" i="7"/>
  <c r="F102" i="7"/>
  <c r="F101" i="7"/>
  <c r="F100" i="7"/>
  <c r="F99" i="7"/>
  <c r="F98" i="7"/>
  <c r="F97" i="7"/>
  <c r="F96" i="7"/>
  <c r="F95" i="7"/>
  <c r="F94" i="7"/>
  <c r="F93" i="7"/>
  <c r="F92" i="7"/>
  <c r="F91" i="7"/>
  <c r="F90" i="7"/>
  <c r="F89" i="7"/>
  <c r="F88" i="7"/>
  <c r="F87" i="7"/>
  <c r="F86" i="7"/>
  <c r="F84" i="7"/>
  <c r="F83" i="7"/>
  <c r="F81" i="7"/>
  <c r="F80" i="7"/>
  <c r="F79" i="7"/>
  <c r="F78" i="7"/>
  <c r="F77" i="7"/>
  <c r="F76" i="7"/>
  <c r="F75" i="7"/>
  <c r="T26" i="21" l="1"/>
  <c r="D19" i="1"/>
  <c r="D43" i="1"/>
  <c r="D49" i="1"/>
  <c r="B20" i="11" l="1"/>
  <c r="I67" i="42" l="1"/>
  <c r="R69" i="45" l="1"/>
  <c r="O65" i="45"/>
  <c r="O43" i="45"/>
  <c r="P43" i="45"/>
  <c r="Q43" i="45"/>
  <c r="O44" i="45"/>
  <c r="P44" i="45"/>
  <c r="Q44" i="45"/>
  <c r="O45" i="45"/>
  <c r="P45" i="45"/>
  <c r="Q45" i="45"/>
  <c r="O46" i="45"/>
  <c r="P46" i="45"/>
  <c r="Q46" i="45"/>
  <c r="O47" i="45"/>
  <c r="P47" i="45"/>
  <c r="Q47" i="45"/>
  <c r="O48" i="45"/>
  <c r="P48" i="45"/>
  <c r="Q48" i="45"/>
  <c r="O49" i="45"/>
  <c r="P49" i="45"/>
  <c r="Q49" i="45"/>
  <c r="O50" i="45"/>
  <c r="P50" i="45"/>
  <c r="Q50" i="45"/>
  <c r="O51" i="45"/>
  <c r="P51" i="45"/>
  <c r="Q51" i="45"/>
  <c r="O52" i="45"/>
  <c r="P52" i="45"/>
  <c r="Q52" i="45"/>
  <c r="O53" i="45"/>
  <c r="P53" i="45"/>
  <c r="Q53" i="45"/>
  <c r="O55" i="45"/>
  <c r="P55" i="45"/>
  <c r="Q55" i="45"/>
  <c r="O56" i="45"/>
  <c r="P56" i="45"/>
  <c r="Q56" i="45"/>
  <c r="O57" i="45"/>
  <c r="P57" i="45"/>
  <c r="Q57" i="45"/>
  <c r="O58" i="45"/>
  <c r="P58" i="45"/>
  <c r="Q58" i="45"/>
  <c r="O59" i="45"/>
  <c r="P59" i="45"/>
  <c r="Q59" i="45"/>
  <c r="O60" i="45"/>
  <c r="P60" i="45"/>
  <c r="Q60" i="45"/>
  <c r="O61" i="45"/>
  <c r="P61" i="45"/>
  <c r="Q61" i="45"/>
  <c r="O62" i="45"/>
  <c r="P62" i="45"/>
  <c r="Q62" i="45"/>
  <c r="O63" i="45"/>
  <c r="P63" i="45"/>
  <c r="Q63" i="45"/>
  <c r="O64" i="45"/>
  <c r="P64" i="45"/>
  <c r="Q64" i="45"/>
  <c r="Q41" i="45"/>
  <c r="P41" i="45"/>
  <c r="O41" i="45"/>
  <c r="AF38" i="42" l="1"/>
  <c r="AL38" i="42"/>
  <c r="AL40" i="42"/>
  <c r="AM40" i="42" s="1"/>
  <c r="AL39" i="42"/>
  <c r="AM39" i="42"/>
  <c r="AM38" i="42"/>
  <c r="AF40" i="42"/>
  <c r="AG40" i="42"/>
  <c r="AF39" i="42"/>
  <c r="AG39" i="42" s="1"/>
  <c r="AG38" i="42"/>
  <c r="D6" i="41" l="1"/>
  <c r="C6" i="41"/>
  <c r="D11" i="41" l="1"/>
  <c r="C11" i="41"/>
  <c r="E6" i="41"/>
  <c r="D5" i="41"/>
  <c r="C5" i="41"/>
  <c r="D4" i="41"/>
  <c r="C4" i="41"/>
  <c r="E4" i="41" s="1"/>
  <c r="D3" i="41"/>
  <c r="C3" i="41"/>
  <c r="D2" i="41"/>
  <c r="C2" i="41"/>
  <c r="E3" i="41" l="1"/>
  <c r="C10" i="41"/>
  <c r="C9" i="41"/>
  <c r="E2" i="41"/>
  <c r="D9" i="41"/>
  <c r="E5" i="41"/>
  <c r="E11" i="41"/>
  <c r="D10" i="41"/>
  <c r="E10" i="41" l="1"/>
  <c r="E9" i="41"/>
  <c r="R66" i="45"/>
  <c r="R67" i="45"/>
  <c r="R68" i="45"/>
  <c r="N67" i="45"/>
  <c r="N68" i="45"/>
  <c r="N66" i="45"/>
  <c r="U21" i="42" l="1"/>
  <c r="V21" i="42"/>
  <c r="U36" i="42" s="1"/>
  <c r="H13" i="44" l="1"/>
  <c r="K13" i="44"/>
  <c r="P4" i="44"/>
  <c r="P36" i="44"/>
  <c r="P35" i="44"/>
  <c r="P34" i="44"/>
  <c r="P33" i="44"/>
  <c r="P32" i="44"/>
  <c r="P31" i="44"/>
  <c r="P30" i="44"/>
  <c r="P29" i="44"/>
  <c r="P28" i="44"/>
  <c r="P27" i="44"/>
  <c r="P26" i="44"/>
  <c r="P25" i="44"/>
  <c r="P24" i="44"/>
  <c r="P23" i="44"/>
  <c r="P5" i="44"/>
  <c r="P6" i="44"/>
  <c r="P7" i="44"/>
  <c r="P8" i="44"/>
  <c r="P9" i="44"/>
  <c r="P10" i="44"/>
  <c r="P11" i="44"/>
  <c r="P12" i="44"/>
  <c r="P13" i="44"/>
  <c r="P14" i="44"/>
  <c r="P15" i="44"/>
  <c r="P16" i="44"/>
  <c r="P17" i="44"/>
  <c r="D50" i="1" l="1"/>
  <c r="R44" i="45" l="1"/>
  <c r="R50" i="45"/>
  <c r="R51" i="45"/>
  <c r="R52" i="45"/>
  <c r="R53" i="45"/>
  <c r="R55" i="45"/>
  <c r="R56" i="45"/>
  <c r="R57" i="45"/>
  <c r="R58" i="45"/>
  <c r="R59" i="45"/>
  <c r="R60" i="45"/>
  <c r="N50" i="45"/>
  <c r="N51" i="45"/>
  <c r="N52" i="45"/>
  <c r="N53" i="45"/>
  <c r="N54" i="45"/>
  <c r="N55" i="45"/>
  <c r="N56" i="45"/>
  <c r="N57" i="45"/>
  <c r="N58" i="45"/>
  <c r="N59" i="45"/>
  <c r="N60" i="45"/>
  <c r="J45" i="45"/>
  <c r="J46" i="45"/>
  <c r="J47" i="45"/>
  <c r="J48" i="45"/>
  <c r="J50" i="45"/>
  <c r="J51" i="45"/>
  <c r="J52" i="45"/>
  <c r="J53" i="45"/>
  <c r="J54" i="45"/>
  <c r="J55" i="45"/>
  <c r="J42" i="45"/>
  <c r="J43" i="45"/>
  <c r="J44" i="45"/>
  <c r="J57" i="45"/>
  <c r="J58" i="45"/>
  <c r="J59" i="45"/>
  <c r="J60" i="45"/>
  <c r="J61" i="45"/>
  <c r="J63" i="45"/>
  <c r="F60" i="45"/>
  <c r="F61" i="45"/>
  <c r="F62" i="45"/>
  <c r="F63" i="45"/>
  <c r="R65" i="45"/>
  <c r="N65" i="45"/>
  <c r="J65" i="45"/>
  <c r="R64" i="45"/>
  <c r="N64" i="45"/>
  <c r="J64" i="45"/>
  <c r="F64" i="45"/>
  <c r="R63" i="45"/>
  <c r="N63" i="45"/>
  <c r="R62" i="45"/>
  <c r="N62" i="45"/>
  <c r="J62" i="45"/>
  <c r="R61" i="45"/>
  <c r="N61" i="45"/>
  <c r="F59" i="45"/>
  <c r="F58" i="45"/>
  <c r="F41" i="45"/>
  <c r="N41" i="45"/>
  <c r="R41" i="45"/>
  <c r="H292" i="45"/>
  <c r="G292" i="45"/>
  <c r="F292" i="45"/>
  <c r="E292" i="45"/>
  <c r="D292" i="45"/>
  <c r="C292" i="45"/>
  <c r="H291" i="45"/>
  <c r="G291" i="45"/>
  <c r="F291" i="45"/>
  <c r="E291" i="45"/>
  <c r="D291" i="45"/>
  <c r="C291" i="45"/>
  <c r="I290" i="45"/>
  <c r="I289" i="45"/>
  <c r="I288" i="45"/>
  <c r="I287" i="45"/>
  <c r="I286" i="45"/>
  <c r="I285" i="45"/>
  <c r="I284" i="45"/>
  <c r="G269" i="45"/>
  <c r="F269" i="45"/>
  <c r="E269" i="45"/>
  <c r="D269" i="45"/>
  <c r="I200" i="45"/>
  <c r="H200" i="45"/>
  <c r="G200" i="45"/>
  <c r="F200" i="45"/>
  <c r="E200" i="45"/>
  <c r="D200" i="45"/>
  <c r="Q195" i="45"/>
  <c r="P195" i="45"/>
  <c r="O195" i="45"/>
  <c r="N195" i="45"/>
  <c r="M195" i="45"/>
  <c r="L195" i="45"/>
  <c r="K195" i="45"/>
  <c r="I195" i="45"/>
  <c r="H195" i="45"/>
  <c r="G195" i="45"/>
  <c r="F195" i="45"/>
  <c r="E195" i="45"/>
  <c r="D195" i="45"/>
  <c r="J188" i="45"/>
  <c r="J186" i="45"/>
  <c r="J184" i="45"/>
  <c r="J176" i="45"/>
  <c r="J175" i="45"/>
  <c r="J173" i="45"/>
  <c r="J171" i="45"/>
  <c r="J167" i="45"/>
  <c r="J166" i="45"/>
  <c r="J165" i="45"/>
  <c r="J164" i="45"/>
  <c r="N42" i="45"/>
  <c r="F42" i="45"/>
  <c r="F54" i="45"/>
  <c r="R49" i="45"/>
  <c r="N49" i="45"/>
  <c r="F49" i="45"/>
  <c r="R46" i="45"/>
  <c r="N46" i="45"/>
  <c r="F46" i="45"/>
  <c r="F52" i="45"/>
  <c r="F53" i="45"/>
  <c r="R43" i="45"/>
  <c r="N43" i="45"/>
  <c r="F43" i="45"/>
  <c r="R48" i="45"/>
  <c r="N48" i="45"/>
  <c r="F48" i="45"/>
  <c r="F50" i="45"/>
  <c r="F44" i="45"/>
  <c r="F51" i="45"/>
  <c r="R47" i="45"/>
  <c r="N47" i="45"/>
  <c r="F47" i="45"/>
  <c r="J56" i="45"/>
  <c r="F56" i="45"/>
  <c r="F57" i="45"/>
  <c r="F55" i="45"/>
  <c r="R45" i="45"/>
  <c r="N45" i="45"/>
  <c r="F45" i="45"/>
  <c r="I291" i="45" l="1"/>
  <c r="I292" i="45"/>
  <c r="T25" i="21"/>
  <c r="D23" i="44" l="1"/>
  <c r="C36" i="44"/>
  <c r="D36" i="44"/>
  <c r="C24" i="44"/>
  <c r="D24" i="44"/>
  <c r="C25" i="44"/>
  <c r="D25" i="44"/>
  <c r="C26" i="44"/>
  <c r="D26" i="44"/>
  <c r="C27" i="44"/>
  <c r="D27" i="44"/>
  <c r="C28" i="44"/>
  <c r="E28" i="44" s="1"/>
  <c r="Q28" i="44" s="1"/>
  <c r="D28" i="44"/>
  <c r="C29" i="44"/>
  <c r="D29" i="44"/>
  <c r="C30" i="44"/>
  <c r="D30" i="44"/>
  <c r="C31" i="44"/>
  <c r="D31" i="44"/>
  <c r="C32" i="44"/>
  <c r="D32" i="44"/>
  <c r="C33" i="44"/>
  <c r="D33" i="44"/>
  <c r="E33" i="44" s="1"/>
  <c r="Q33" i="44" s="1"/>
  <c r="C34" i="44"/>
  <c r="E34" i="44" s="1"/>
  <c r="Q34" i="44" s="1"/>
  <c r="D34" i="44"/>
  <c r="C35" i="44"/>
  <c r="D35" i="44"/>
  <c r="E35" i="44" s="1"/>
  <c r="Q35" i="44" s="1"/>
  <c r="C23" i="44"/>
  <c r="E4" i="44"/>
  <c r="Q4" i="44" s="1"/>
  <c r="M36" i="44"/>
  <c r="L36" i="44"/>
  <c r="J36" i="44"/>
  <c r="I36" i="44"/>
  <c r="G36" i="44"/>
  <c r="F36" i="44"/>
  <c r="M35" i="44"/>
  <c r="L35" i="44"/>
  <c r="J35" i="44"/>
  <c r="I35" i="44"/>
  <c r="G35" i="44"/>
  <c r="F35" i="44"/>
  <c r="M34" i="44"/>
  <c r="L34" i="44"/>
  <c r="J34" i="44"/>
  <c r="I34" i="44"/>
  <c r="G34" i="44"/>
  <c r="F34" i="44"/>
  <c r="M33" i="44"/>
  <c r="L33" i="44"/>
  <c r="J33" i="44"/>
  <c r="I33" i="44"/>
  <c r="G33" i="44"/>
  <c r="F33" i="44"/>
  <c r="M32" i="44"/>
  <c r="L32" i="44"/>
  <c r="J32" i="44"/>
  <c r="I32" i="44"/>
  <c r="K32" i="44" s="1"/>
  <c r="G32" i="44"/>
  <c r="H32" i="44" s="1"/>
  <c r="F32" i="44"/>
  <c r="M31" i="44"/>
  <c r="L31" i="44"/>
  <c r="J31" i="44"/>
  <c r="I31" i="44"/>
  <c r="G31" i="44"/>
  <c r="F31" i="44"/>
  <c r="M30" i="44"/>
  <c r="L30" i="44"/>
  <c r="J30" i="44"/>
  <c r="I30" i="44"/>
  <c r="G30" i="44"/>
  <c r="F30" i="44"/>
  <c r="M29" i="44"/>
  <c r="L29" i="44"/>
  <c r="J29" i="44"/>
  <c r="I29" i="44"/>
  <c r="G29" i="44"/>
  <c r="F29" i="44"/>
  <c r="M28" i="44"/>
  <c r="L28" i="44"/>
  <c r="J28" i="44"/>
  <c r="I28" i="44"/>
  <c r="G28" i="44"/>
  <c r="F28" i="44"/>
  <c r="M27" i="44"/>
  <c r="L27" i="44"/>
  <c r="J27" i="44"/>
  <c r="I27" i="44"/>
  <c r="G27" i="44"/>
  <c r="F27" i="44"/>
  <c r="M26" i="44"/>
  <c r="L26" i="44"/>
  <c r="J26" i="44"/>
  <c r="I26" i="44"/>
  <c r="G26" i="44"/>
  <c r="F26" i="44"/>
  <c r="M25" i="44"/>
  <c r="L25" i="44"/>
  <c r="J25" i="44"/>
  <c r="I25" i="44"/>
  <c r="G25" i="44"/>
  <c r="F25" i="44"/>
  <c r="M24" i="44"/>
  <c r="L24" i="44"/>
  <c r="J24" i="44"/>
  <c r="I24" i="44"/>
  <c r="G24" i="44"/>
  <c r="F24" i="44"/>
  <c r="M23" i="44"/>
  <c r="L23" i="44"/>
  <c r="J23" i="44"/>
  <c r="I23" i="44"/>
  <c r="G23" i="44"/>
  <c r="F23" i="44"/>
  <c r="N17" i="44"/>
  <c r="T17" i="44" s="1"/>
  <c r="K17" i="44"/>
  <c r="S17" i="44" s="1"/>
  <c r="H17" i="44"/>
  <c r="R17" i="44" s="1"/>
  <c r="E17" i="44"/>
  <c r="Q17" i="44" s="1"/>
  <c r="N16" i="44"/>
  <c r="T16" i="44" s="1"/>
  <c r="K16" i="44"/>
  <c r="S16" i="44" s="1"/>
  <c r="H16" i="44"/>
  <c r="R16" i="44" s="1"/>
  <c r="E16" i="44"/>
  <c r="Q16" i="44" s="1"/>
  <c r="N15" i="44"/>
  <c r="T15" i="44" s="1"/>
  <c r="K15" i="44"/>
  <c r="S15" i="44" s="1"/>
  <c r="H15" i="44"/>
  <c r="R15" i="44" s="1"/>
  <c r="E15" i="44"/>
  <c r="Q15" i="44" s="1"/>
  <c r="N14" i="44"/>
  <c r="T14" i="44" s="1"/>
  <c r="K14" i="44"/>
  <c r="S14" i="44" s="1"/>
  <c r="H14" i="44"/>
  <c r="R14" i="44" s="1"/>
  <c r="E14" i="44"/>
  <c r="Q14" i="44" s="1"/>
  <c r="N13" i="44"/>
  <c r="T13" i="44" s="1"/>
  <c r="S13" i="44"/>
  <c r="R13" i="44"/>
  <c r="E13" i="44"/>
  <c r="Q13" i="44" s="1"/>
  <c r="N12" i="44"/>
  <c r="T12" i="44" s="1"/>
  <c r="K12" i="44"/>
  <c r="S12" i="44" s="1"/>
  <c r="H12" i="44"/>
  <c r="R12" i="44" s="1"/>
  <c r="E12" i="44"/>
  <c r="Q12" i="44" s="1"/>
  <c r="N11" i="44"/>
  <c r="T11" i="44" s="1"/>
  <c r="K11" i="44"/>
  <c r="S11" i="44" s="1"/>
  <c r="H11" i="44"/>
  <c r="R11" i="44" s="1"/>
  <c r="E11" i="44"/>
  <c r="Q11" i="44" s="1"/>
  <c r="N10" i="44"/>
  <c r="T10" i="44" s="1"/>
  <c r="K10" i="44"/>
  <c r="S10" i="44" s="1"/>
  <c r="H10" i="44"/>
  <c r="R10" i="44" s="1"/>
  <c r="E10" i="44"/>
  <c r="Q10" i="44" s="1"/>
  <c r="N9" i="44"/>
  <c r="T9" i="44" s="1"/>
  <c r="K9" i="44"/>
  <c r="S9" i="44" s="1"/>
  <c r="H9" i="44"/>
  <c r="R9" i="44" s="1"/>
  <c r="E9" i="44"/>
  <c r="Q9" i="44" s="1"/>
  <c r="N8" i="44"/>
  <c r="T8" i="44" s="1"/>
  <c r="K8" i="44"/>
  <c r="S8" i="44" s="1"/>
  <c r="H8" i="44"/>
  <c r="R8" i="44" s="1"/>
  <c r="E8" i="44"/>
  <c r="Q8" i="44" s="1"/>
  <c r="N7" i="44"/>
  <c r="T7" i="44" s="1"/>
  <c r="K7" i="44"/>
  <c r="S7" i="44" s="1"/>
  <c r="H7" i="44"/>
  <c r="R7" i="44" s="1"/>
  <c r="E7" i="44"/>
  <c r="Q7" i="44" s="1"/>
  <c r="N6" i="44"/>
  <c r="T6" i="44" s="1"/>
  <c r="K6" i="44"/>
  <c r="S6" i="44" s="1"/>
  <c r="H6" i="44"/>
  <c r="R6" i="44" s="1"/>
  <c r="E6" i="44"/>
  <c r="Q6" i="44" s="1"/>
  <c r="N5" i="44"/>
  <c r="T5" i="44" s="1"/>
  <c r="K5" i="44"/>
  <c r="S5" i="44" s="1"/>
  <c r="H5" i="44"/>
  <c r="R5" i="44" s="1"/>
  <c r="E5" i="44"/>
  <c r="Q5" i="44" s="1"/>
  <c r="N4" i="44"/>
  <c r="T4" i="44" s="1"/>
  <c r="K4" i="44"/>
  <c r="S4" i="44" s="1"/>
  <c r="H4" i="44"/>
  <c r="R4" i="44" s="1"/>
  <c r="E32" i="44" l="1"/>
  <c r="Q32" i="44" s="1"/>
  <c r="E24" i="44"/>
  <c r="Q24" i="44" s="1"/>
  <c r="E27" i="44"/>
  <c r="Q27" i="44" s="1"/>
  <c r="E30" i="44"/>
  <c r="Q30" i="44" s="1"/>
  <c r="E31" i="44"/>
  <c r="Q31" i="44" s="1"/>
  <c r="E29" i="44"/>
  <c r="Q29" i="44" s="1"/>
  <c r="E26" i="44"/>
  <c r="Q26" i="44" s="1"/>
  <c r="E25" i="44"/>
  <c r="Q25" i="44" s="1"/>
  <c r="E23" i="44"/>
  <c r="Q23" i="44" s="1"/>
  <c r="E36" i="44"/>
  <c r="Q36" i="44" s="1"/>
  <c r="N33" i="44"/>
  <c r="T33" i="44" s="1"/>
  <c r="K31" i="44"/>
  <c r="S31" i="44" s="1"/>
  <c r="H25" i="44"/>
  <c r="R25" i="44" s="1"/>
  <c r="K35" i="44"/>
  <c r="S35" i="44" s="1"/>
  <c r="H29" i="44"/>
  <c r="R29" i="44" s="1"/>
  <c r="R32" i="44"/>
  <c r="H23" i="44"/>
  <c r="R23" i="44" s="1"/>
  <c r="K33" i="44"/>
  <c r="S33" i="44" s="1"/>
  <c r="N35" i="44"/>
  <c r="T35" i="44" s="1"/>
  <c r="K24" i="44"/>
  <c r="S24" i="44" s="1"/>
  <c r="N26" i="44"/>
  <c r="T26" i="44" s="1"/>
  <c r="K26" i="44"/>
  <c r="S26" i="44" s="1"/>
  <c r="N24" i="44"/>
  <c r="T24" i="44" s="1"/>
  <c r="H36" i="44"/>
  <c r="R36" i="44" s="1"/>
  <c r="H27" i="44"/>
  <c r="R27" i="44" s="1"/>
  <c r="N31" i="44"/>
  <c r="T31" i="44" s="1"/>
  <c r="N28" i="44"/>
  <c r="T28" i="44" s="1"/>
  <c r="K30" i="44"/>
  <c r="S30" i="44" s="1"/>
  <c r="K28" i="44"/>
  <c r="S28" i="44" s="1"/>
  <c r="N30" i="44"/>
  <c r="T30" i="44" s="1"/>
  <c r="H34" i="44"/>
  <c r="R34" i="44" s="1"/>
  <c r="H30" i="44"/>
  <c r="R30" i="44" s="1"/>
  <c r="H31" i="44"/>
  <c r="R31" i="44" s="1"/>
  <c r="H33" i="44"/>
  <c r="R33" i="44" s="1"/>
  <c r="H35" i="44"/>
  <c r="R35" i="44" s="1"/>
  <c r="H24" i="44"/>
  <c r="R24" i="44" s="1"/>
  <c r="H26" i="44"/>
  <c r="R26" i="44" s="1"/>
  <c r="H28" i="44"/>
  <c r="R28" i="44" s="1"/>
  <c r="K23" i="44"/>
  <c r="S23" i="44" s="1"/>
  <c r="K25" i="44"/>
  <c r="S25" i="44" s="1"/>
  <c r="K27" i="44"/>
  <c r="S27" i="44" s="1"/>
  <c r="K29" i="44"/>
  <c r="S29" i="44" s="1"/>
  <c r="S32" i="44"/>
  <c r="K34" i="44"/>
  <c r="S34" i="44" s="1"/>
  <c r="K36" i="44"/>
  <c r="S36" i="44" s="1"/>
  <c r="N23" i="44"/>
  <c r="T23" i="44" s="1"/>
  <c r="N25" i="44"/>
  <c r="T25" i="44" s="1"/>
  <c r="N27" i="44"/>
  <c r="T27" i="44" s="1"/>
  <c r="N29" i="44"/>
  <c r="T29" i="44" s="1"/>
  <c r="N32" i="44"/>
  <c r="T32" i="44" s="1"/>
  <c r="N34" i="44"/>
  <c r="T34" i="44" s="1"/>
  <c r="N36" i="44"/>
  <c r="T36" i="44" s="1"/>
  <c r="G81" i="42" l="1"/>
  <c r="G79" i="42"/>
  <c r="G78" i="42"/>
  <c r="G76" i="42"/>
  <c r="G75" i="42"/>
  <c r="G73" i="42"/>
  <c r="G72" i="42"/>
  <c r="G82" i="42"/>
  <c r="G80" i="42" l="1"/>
  <c r="G77" i="42"/>
  <c r="G74" i="42"/>
  <c r="G71" i="42"/>
  <c r="D71" i="1"/>
  <c r="D88" i="1" l="1"/>
  <c r="F85" i="42" l="1"/>
  <c r="E85" i="42"/>
  <c r="D85" i="42"/>
  <c r="C85" i="42"/>
  <c r="F84" i="42"/>
  <c r="E84" i="42"/>
  <c r="D84" i="42"/>
  <c r="C84" i="42"/>
  <c r="F80" i="42"/>
  <c r="E80" i="42"/>
  <c r="D80" i="42"/>
  <c r="C80" i="42"/>
  <c r="F77" i="42"/>
  <c r="E77" i="42"/>
  <c r="D77" i="42"/>
  <c r="C77" i="42"/>
  <c r="F74" i="42"/>
  <c r="E74" i="42"/>
  <c r="D74" i="42"/>
  <c r="C74" i="42"/>
  <c r="F71" i="42"/>
  <c r="E71" i="42"/>
  <c r="D71" i="42"/>
  <c r="C71" i="42"/>
  <c r="V33" i="42"/>
  <c r="V36" i="42" s="1"/>
  <c r="V44" i="42" s="1"/>
  <c r="U33" i="42"/>
  <c r="L23" i="42"/>
  <c r="U44" i="42"/>
  <c r="G85" i="42" l="1"/>
  <c r="G84" i="42"/>
  <c r="F83" i="42"/>
  <c r="C83" i="42"/>
  <c r="E83" i="42"/>
  <c r="D83" i="42"/>
  <c r="G83" i="42" l="1"/>
  <c r="E86" i="42"/>
  <c r="E67" i="42" s="1"/>
  <c r="E292" i="40" l="1"/>
  <c r="F292" i="40"/>
  <c r="G292" i="40"/>
  <c r="D292" i="40"/>
  <c r="D69" i="1" l="1"/>
  <c r="D38" i="1" l="1"/>
  <c r="D18" i="1" l="1"/>
  <c r="D315" i="40" l="1"/>
  <c r="F315" i="40"/>
  <c r="G315" i="40"/>
  <c r="G314" i="40"/>
  <c r="H315" i="40"/>
  <c r="E315" i="40"/>
  <c r="C315" i="40"/>
  <c r="I313" i="40"/>
  <c r="I308" i="40"/>
  <c r="I309" i="40"/>
  <c r="I310" i="40"/>
  <c r="I311" i="40"/>
  <c r="I312" i="40"/>
  <c r="I307" i="40"/>
  <c r="H314" i="40"/>
  <c r="D314" i="40"/>
  <c r="E314" i="40"/>
  <c r="F314" i="40"/>
  <c r="C314" i="40"/>
  <c r="I223" i="40"/>
  <c r="H223" i="40"/>
  <c r="G223" i="40"/>
  <c r="F223" i="40"/>
  <c r="E223" i="40"/>
  <c r="D223" i="40"/>
  <c r="Q218" i="40"/>
  <c r="P218" i="40"/>
  <c r="O218" i="40"/>
  <c r="N218" i="40"/>
  <c r="M218" i="40"/>
  <c r="L218" i="40"/>
  <c r="K218" i="40"/>
  <c r="I218" i="40"/>
  <c r="H218" i="40"/>
  <c r="G218" i="40"/>
  <c r="F218" i="40"/>
  <c r="E218" i="40"/>
  <c r="D218" i="40"/>
  <c r="J211" i="40"/>
  <c r="J209" i="40"/>
  <c r="J207" i="40"/>
  <c r="J199" i="40"/>
  <c r="J198" i="40"/>
  <c r="J196" i="40"/>
  <c r="J194" i="40"/>
  <c r="J190" i="40"/>
  <c r="J189" i="40"/>
  <c r="J188" i="40"/>
  <c r="J187" i="40"/>
  <c r="J182" i="40"/>
  <c r="J181" i="40"/>
  <c r="J180" i="40"/>
  <c r="J179" i="40"/>
  <c r="J174" i="40"/>
  <c r="J173" i="40"/>
  <c r="J172" i="40"/>
  <c r="J171" i="40"/>
  <c r="J166" i="40"/>
  <c r="J165" i="40"/>
  <c r="J164" i="40"/>
  <c r="J163" i="40"/>
  <c r="J158" i="40"/>
  <c r="J157" i="40"/>
  <c r="J156" i="40"/>
  <c r="J155" i="40"/>
  <c r="J150" i="40"/>
  <c r="J149" i="40"/>
  <c r="J148" i="40"/>
  <c r="J147" i="40"/>
  <c r="J146" i="40"/>
  <c r="J145" i="40"/>
  <c r="I314" i="40" l="1"/>
  <c r="I315" i="40"/>
  <c r="D77" i="1"/>
  <c r="D48" i="1" l="1"/>
  <c r="M166" i="35" l="1"/>
  <c r="M167" i="35"/>
  <c r="M165" i="35"/>
  <c r="M164" i="35"/>
  <c r="M160" i="35"/>
  <c r="M158" i="35"/>
  <c r="M159" i="35"/>
  <c r="M157" i="35"/>
  <c r="M153" i="35"/>
  <c r="M151" i="35"/>
  <c r="M152" i="35"/>
  <c r="M150" i="35"/>
  <c r="J72" i="39"/>
  <c r="J71" i="39"/>
  <c r="J80" i="39"/>
  <c r="J82" i="39"/>
  <c r="J84" i="39"/>
  <c r="J69" i="39"/>
  <c r="J67" i="39"/>
  <c r="J63" i="39"/>
  <c r="J62" i="39"/>
  <c r="J61" i="39"/>
  <c r="J60" i="39"/>
  <c r="D90" i="39"/>
  <c r="I95" i="39"/>
  <c r="H95" i="39"/>
  <c r="G95" i="39"/>
  <c r="F95" i="39"/>
  <c r="E95" i="39"/>
  <c r="D95" i="39"/>
  <c r="Q61" i="40" l="1"/>
  <c r="O72" i="40"/>
  <c r="R72" i="40" s="1"/>
  <c r="Q70" i="40"/>
  <c r="P70" i="40"/>
  <c r="O70" i="40"/>
  <c r="O69" i="40"/>
  <c r="Q69" i="40"/>
  <c r="O57" i="40"/>
  <c r="P57" i="40"/>
  <c r="Q57" i="40"/>
  <c r="O59" i="40"/>
  <c r="P59" i="40"/>
  <c r="Q59" i="40"/>
  <c r="O60" i="40"/>
  <c r="P60" i="40"/>
  <c r="Q60" i="40"/>
  <c r="O61" i="40"/>
  <c r="P61" i="40"/>
  <c r="O62" i="40"/>
  <c r="P62" i="40"/>
  <c r="Q62" i="40"/>
  <c r="O63" i="40"/>
  <c r="P63" i="40"/>
  <c r="Q63" i="40"/>
  <c r="O64" i="40"/>
  <c r="P64" i="40"/>
  <c r="Q64" i="40"/>
  <c r="O65" i="40"/>
  <c r="P65" i="40"/>
  <c r="Q65" i="40"/>
  <c r="O66" i="40"/>
  <c r="P66" i="40"/>
  <c r="Q66" i="40"/>
  <c r="O68" i="40"/>
  <c r="P68" i="40"/>
  <c r="Q68" i="40"/>
  <c r="P69" i="40"/>
  <c r="Q56" i="40"/>
  <c r="P56" i="40"/>
  <c r="O56" i="40"/>
  <c r="Q54" i="40"/>
  <c r="P54" i="40"/>
  <c r="O54" i="40"/>
  <c r="Q53" i="40"/>
  <c r="P53" i="40"/>
  <c r="O53" i="40"/>
  <c r="O49" i="40"/>
  <c r="O46" i="40"/>
  <c r="Q55" i="40"/>
  <c r="P55" i="40"/>
  <c r="O55" i="40"/>
  <c r="K54" i="40"/>
  <c r="K57" i="40"/>
  <c r="K56" i="40"/>
  <c r="K55" i="40"/>
  <c r="O42" i="40"/>
  <c r="P42" i="40"/>
  <c r="Q42" i="40"/>
  <c r="O43" i="40"/>
  <c r="P43" i="40"/>
  <c r="Q43" i="40"/>
  <c r="O44" i="40"/>
  <c r="P44" i="40"/>
  <c r="Q44" i="40"/>
  <c r="P46" i="40"/>
  <c r="Q46" i="40"/>
  <c r="O47" i="40"/>
  <c r="P47" i="40"/>
  <c r="Q47" i="40"/>
  <c r="O48" i="40"/>
  <c r="P48" i="40"/>
  <c r="Q48" i="40"/>
  <c r="P49" i="40"/>
  <c r="Q49" i="40"/>
  <c r="Q41" i="40"/>
  <c r="P41" i="40"/>
  <c r="O41" i="40"/>
  <c r="K41" i="40"/>
  <c r="I67" i="37"/>
  <c r="R61" i="40" l="1"/>
  <c r="R46" i="40"/>
  <c r="R60" i="40"/>
  <c r="R49" i="40"/>
  <c r="R69" i="40"/>
  <c r="R65" i="40"/>
  <c r="R43" i="40"/>
  <c r="R68" i="40"/>
  <c r="R64" i="40"/>
  <c r="R56" i="40"/>
  <c r="R47" i="40"/>
  <c r="R57" i="40"/>
  <c r="R63" i="40"/>
  <c r="R55" i="40"/>
  <c r="R41" i="40"/>
  <c r="R66" i="40"/>
  <c r="R42" i="40"/>
  <c r="R44" i="40"/>
  <c r="R48" i="40"/>
  <c r="R59" i="40"/>
  <c r="R53" i="40"/>
  <c r="R62" i="40"/>
  <c r="R70" i="40"/>
  <c r="R54" i="40"/>
  <c r="K71" i="40"/>
  <c r="L71" i="40"/>
  <c r="M71" i="40"/>
  <c r="K72" i="40"/>
  <c r="L72" i="40"/>
  <c r="M72" i="40"/>
  <c r="M70" i="40"/>
  <c r="L70" i="40"/>
  <c r="K70" i="40"/>
  <c r="K42" i="40"/>
  <c r="L42" i="40"/>
  <c r="M42" i="40"/>
  <c r="K43" i="40"/>
  <c r="L43" i="40"/>
  <c r="M43" i="40"/>
  <c r="K44" i="40"/>
  <c r="L44" i="40"/>
  <c r="M44" i="40"/>
  <c r="K46" i="40"/>
  <c r="L46" i="40"/>
  <c r="M46" i="40"/>
  <c r="K47" i="40"/>
  <c r="L47" i="40"/>
  <c r="M47" i="40"/>
  <c r="K48" i="40"/>
  <c r="L48" i="40"/>
  <c r="M48" i="40"/>
  <c r="K49" i="40"/>
  <c r="L49" i="40"/>
  <c r="M49" i="40"/>
  <c r="K50" i="40"/>
  <c r="L50" i="40"/>
  <c r="M50" i="40"/>
  <c r="K53" i="40"/>
  <c r="L53" i="40"/>
  <c r="M53" i="40"/>
  <c r="L54" i="40"/>
  <c r="M54" i="40"/>
  <c r="L55" i="40"/>
  <c r="M55" i="40"/>
  <c r="L56" i="40"/>
  <c r="M56" i="40"/>
  <c r="L57" i="40"/>
  <c r="M57" i="40"/>
  <c r="K59" i="40"/>
  <c r="L59" i="40"/>
  <c r="M59" i="40"/>
  <c r="K60" i="40"/>
  <c r="L60" i="40"/>
  <c r="M60" i="40"/>
  <c r="K61" i="40"/>
  <c r="L61" i="40"/>
  <c r="M61" i="40"/>
  <c r="K62" i="40"/>
  <c r="L62" i="40"/>
  <c r="M62" i="40"/>
  <c r="K63" i="40"/>
  <c r="L63" i="40"/>
  <c r="M63" i="40"/>
  <c r="K64" i="40"/>
  <c r="L64" i="40"/>
  <c r="M64" i="40"/>
  <c r="K65" i="40"/>
  <c r="L65" i="40"/>
  <c r="M65" i="40"/>
  <c r="K66" i="40"/>
  <c r="L66" i="40"/>
  <c r="M66" i="40"/>
  <c r="K68" i="40"/>
  <c r="L68" i="40"/>
  <c r="M68" i="40"/>
  <c r="K69" i="40"/>
  <c r="L69" i="40"/>
  <c r="M69" i="40"/>
  <c r="M41" i="40"/>
  <c r="L41" i="40"/>
  <c r="N41" i="40" l="1"/>
  <c r="N72" i="40"/>
  <c r="N71" i="40"/>
  <c r="N55" i="40"/>
  <c r="N69" i="40"/>
  <c r="N60" i="40"/>
  <c r="N49" i="40"/>
  <c r="N46" i="40"/>
  <c r="N68" i="40"/>
  <c r="N64" i="40"/>
  <c r="N50" i="40"/>
  <c r="N70" i="40"/>
  <c r="N66" i="40"/>
  <c r="N57" i="40"/>
  <c r="N47" i="40"/>
  <c r="N65" i="40"/>
  <c r="N56" i="40"/>
  <c r="N59" i="40"/>
  <c r="N48" i="40"/>
  <c r="N44" i="40"/>
  <c r="N61" i="40"/>
  <c r="N63" i="40"/>
  <c r="N54" i="40"/>
  <c r="N43" i="40"/>
  <c r="N62" i="40"/>
  <c r="N53" i="40"/>
  <c r="N42" i="40"/>
  <c r="F69" i="40" l="1"/>
  <c r="K29" i="35" l="1"/>
  <c r="L29" i="35"/>
  <c r="M29" i="35" s="1"/>
  <c r="L30" i="35"/>
  <c r="K30" i="35"/>
  <c r="N38" i="35"/>
  <c r="N37" i="35"/>
  <c r="N36" i="35"/>
  <c r="N35" i="35"/>
  <c r="K33" i="35"/>
  <c r="L33" i="35"/>
  <c r="L34" i="35"/>
  <c r="K34" i="35"/>
  <c r="L36" i="35"/>
  <c r="K36" i="35"/>
  <c r="L37" i="35"/>
  <c r="K37" i="35"/>
  <c r="O37" i="35"/>
  <c r="O34" i="35"/>
  <c r="N34" i="35"/>
  <c r="O35" i="35"/>
  <c r="O36" i="35"/>
  <c r="P36" i="35" l="1"/>
  <c r="D90" i="1" l="1"/>
  <c r="F41" i="40" l="1"/>
  <c r="J42" i="40"/>
  <c r="J44" i="40"/>
  <c r="J46" i="40"/>
  <c r="J47" i="40"/>
  <c r="J48" i="40"/>
  <c r="J49" i="40"/>
  <c r="J50" i="40"/>
  <c r="J51" i="40"/>
  <c r="J52" i="40"/>
  <c r="J53" i="40"/>
  <c r="J54" i="40"/>
  <c r="J55" i="40"/>
  <c r="J56" i="40"/>
  <c r="J57" i="40"/>
  <c r="J58" i="40"/>
  <c r="J59" i="40"/>
  <c r="J60" i="40"/>
  <c r="J61" i="40"/>
  <c r="J62" i="40"/>
  <c r="J63" i="40"/>
  <c r="J64" i="40"/>
  <c r="J65" i="40"/>
  <c r="J66" i="40"/>
  <c r="J67" i="40"/>
  <c r="J68" i="40"/>
  <c r="J69" i="40"/>
  <c r="J41" i="40"/>
  <c r="D98" i="1" l="1"/>
  <c r="D68" i="1"/>
  <c r="H113" i="35" l="1"/>
  <c r="H112" i="35"/>
  <c r="H111" i="35"/>
  <c r="H110" i="35"/>
  <c r="H109" i="35"/>
  <c r="H108" i="35"/>
  <c r="H107" i="35"/>
  <c r="H106" i="35"/>
  <c r="H105" i="35"/>
  <c r="H104" i="35"/>
  <c r="H103" i="35"/>
  <c r="H102" i="35"/>
  <c r="H101" i="35"/>
  <c r="H100" i="35"/>
  <c r="H99" i="35"/>
  <c r="K3" i="40" l="1"/>
  <c r="K4" i="40"/>
  <c r="K5" i="40"/>
  <c r="K6" i="40"/>
  <c r="K7" i="40"/>
  <c r="K8" i="40"/>
  <c r="K9" i="40"/>
  <c r="K10" i="40"/>
  <c r="K11" i="40"/>
  <c r="K12" i="40"/>
  <c r="K13" i="40"/>
  <c r="K14" i="40"/>
  <c r="K15" i="40"/>
  <c r="K16" i="40"/>
  <c r="K17" i="40"/>
  <c r="K18" i="40"/>
  <c r="K19" i="40"/>
  <c r="K20" i="40"/>
  <c r="K21" i="40"/>
  <c r="K22" i="40"/>
  <c r="K23" i="40"/>
  <c r="K24" i="40"/>
  <c r="K26" i="40"/>
  <c r="K27" i="40"/>
  <c r="K28" i="40"/>
  <c r="K29" i="40"/>
  <c r="F48" i="40"/>
  <c r="F66" i="40"/>
  <c r="F42" i="40"/>
  <c r="F47" i="40"/>
  <c r="F56" i="40"/>
  <c r="F64" i="40"/>
  <c r="F53" i="40"/>
  <c r="F67" i="40"/>
  <c r="F68" i="40"/>
  <c r="F61" i="40"/>
  <c r="F51" i="40"/>
  <c r="F63" i="40"/>
  <c r="F65" i="40"/>
  <c r="F44" i="40"/>
  <c r="F54" i="40"/>
  <c r="F59" i="40"/>
  <c r="F49" i="40"/>
  <c r="F46" i="40"/>
  <c r="F50" i="40"/>
  <c r="F57" i="40"/>
  <c r="F45" i="40"/>
  <c r="F60" i="40"/>
  <c r="F58" i="40"/>
  <c r="F43" i="40"/>
  <c r="F62" i="40"/>
  <c r="H36" i="35" l="1"/>
  <c r="I36" i="35"/>
  <c r="M36" i="35" l="1"/>
  <c r="J36" i="35"/>
  <c r="G36" i="35"/>
  <c r="P16" i="35"/>
  <c r="M16" i="35"/>
  <c r="J16" i="35"/>
  <c r="G16" i="35"/>
  <c r="U20" i="37" l="1"/>
  <c r="D53" i="39" l="1"/>
  <c r="L23" i="37" l="1"/>
  <c r="C85" i="37"/>
  <c r="C84" i="37"/>
  <c r="C80" i="37"/>
  <c r="C77" i="37"/>
  <c r="G78" i="37"/>
  <c r="G76" i="37"/>
  <c r="G75" i="37"/>
  <c r="C71" i="37"/>
  <c r="G74" i="37" l="1"/>
  <c r="G156" i="39"/>
  <c r="G164" i="39"/>
  <c r="G160" i="39"/>
  <c r="D128" i="39" l="1"/>
  <c r="E128" i="39"/>
  <c r="F128" i="39"/>
  <c r="G128" i="39"/>
  <c r="I128" i="39"/>
  <c r="K128" i="39"/>
  <c r="E108" i="39"/>
  <c r="H108" i="39"/>
  <c r="I108" i="39"/>
  <c r="G108" i="39"/>
  <c r="F108" i="39"/>
  <c r="J115" i="39"/>
  <c r="H115" i="39"/>
  <c r="E90" i="39"/>
  <c r="F90" i="39"/>
  <c r="G90" i="39"/>
  <c r="H90" i="39"/>
  <c r="I90" i="39"/>
  <c r="K90" i="39"/>
  <c r="L90" i="39"/>
  <c r="M90" i="39"/>
  <c r="N90" i="39"/>
  <c r="O90" i="39"/>
  <c r="P90" i="39"/>
  <c r="Q90" i="39"/>
  <c r="E107" i="39"/>
  <c r="F107" i="39"/>
  <c r="G107" i="39"/>
  <c r="H107" i="39"/>
  <c r="I107" i="39"/>
  <c r="D108" i="39"/>
  <c r="D107" i="39"/>
  <c r="E53" i="39"/>
  <c r="F53" i="39"/>
  <c r="G53" i="39"/>
  <c r="I53" i="39"/>
  <c r="K53" i="39"/>
  <c r="L53" i="39"/>
  <c r="J35" i="39"/>
  <c r="J6" i="39"/>
  <c r="J7" i="39"/>
  <c r="J8" i="39"/>
  <c r="J9" i="39"/>
  <c r="J10" i="39"/>
  <c r="J11" i="39"/>
  <c r="J12" i="39"/>
  <c r="J13" i="39"/>
  <c r="J14" i="39"/>
  <c r="J15" i="39"/>
  <c r="J16" i="39"/>
  <c r="J17" i="39"/>
  <c r="J18" i="39"/>
  <c r="J19" i="39"/>
  <c r="J20" i="39"/>
  <c r="J21" i="39"/>
  <c r="J22" i="39"/>
  <c r="J23" i="39"/>
  <c r="J24" i="39"/>
  <c r="J25" i="39"/>
  <c r="J26" i="39"/>
  <c r="J27" i="39"/>
  <c r="J28" i="39"/>
  <c r="J29" i="39"/>
  <c r="J30" i="39"/>
  <c r="J31" i="39"/>
  <c r="J32" i="39"/>
  <c r="J33" i="39"/>
  <c r="J34" i="39"/>
  <c r="J5" i="39"/>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5" i="39"/>
  <c r="H128" i="39" l="1"/>
  <c r="J53" i="39"/>
  <c r="J128" i="39"/>
  <c r="H53" i="39"/>
  <c r="F74" i="7"/>
  <c r="F73" i="7"/>
  <c r="F72" i="7"/>
  <c r="F71" i="7"/>
  <c r="F70" i="7"/>
  <c r="F85" i="37" l="1"/>
  <c r="E85" i="37"/>
  <c r="D85" i="37"/>
  <c r="F84" i="37"/>
  <c r="E84" i="37"/>
  <c r="D84" i="37"/>
  <c r="G82" i="37"/>
  <c r="G81" i="37"/>
  <c r="F80" i="37"/>
  <c r="E80" i="37"/>
  <c r="D80" i="37"/>
  <c r="G79" i="37"/>
  <c r="G77" i="37" s="1"/>
  <c r="F77" i="37"/>
  <c r="E77" i="37"/>
  <c r="D77" i="37"/>
  <c r="F74" i="37"/>
  <c r="E74" i="37"/>
  <c r="D74" i="37"/>
  <c r="C74" i="37"/>
  <c r="C83" i="37" s="1"/>
  <c r="G73" i="37"/>
  <c r="G72" i="37"/>
  <c r="F71" i="37"/>
  <c r="E71" i="37"/>
  <c r="D71" i="37"/>
  <c r="U33" i="37"/>
  <c r="V20" i="37"/>
  <c r="U36" i="37" s="1"/>
  <c r="U44" i="37" s="1"/>
  <c r="G84" i="37" l="1"/>
  <c r="G80" i="37"/>
  <c r="F83" i="37"/>
  <c r="G85" i="37"/>
  <c r="G71" i="37"/>
  <c r="E83" i="37"/>
  <c r="D83" i="37"/>
  <c r="V33" i="37"/>
  <c r="V36" i="37" s="1"/>
  <c r="V44" i="37" s="1"/>
  <c r="G83" i="37" l="1"/>
  <c r="E86" i="37"/>
  <c r="E67" i="37" s="1"/>
  <c r="D15" i="1"/>
  <c r="D78" i="1" l="1"/>
  <c r="D45" i="1" l="1"/>
  <c r="F20" i="11" l="1"/>
  <c r="V28" i="34" l="1"/>
  <c r="V27" i="34"/>
  <c r="V26" i="34"/>
  <c r="V29" i="34"/>
  <c r="V14" i="34"/>
  <c r="V15" i="34"/>
  <c r="D42" i="1" l="1"/>
  <c r="F64" i="34" l="1"/>
  <c r="E64" i="34"/>
  <c r="D64" i="34"/>
  <c r="C64" i="34"/>
  <c r="D89" i="1" l="1"/>
  <c r="F78" i="34"/>
  <c r="F77" i="34"/>
  <c r="F30" i="7"/>
  <c r="F29" i="7"/>
  <c r="N64" i="34"/>
  <c r="N77" i="34"/>
  <c r="F35" i="7"/>
  <c r="F45" i="7"/>
  <c r="F36" i="7"/>
  <c r="F20" i="7"/>
  <c r="F31" i="7"/>
  <c r="F50" i="7"/>
  <c r="F64" i="7"/>
  <c r="F44" i="7"/>
  <c r="F58" i="7"/>
  <c r="F17" i="7"/>
  <c r="F33" i="7"/>
  <c r="F40" i="7"/>
  <c r="F66" i="7"/>
  <c r="F28" i="7"/>
  <c r="F68" i="7"/>
  <c r="F10" i="7"/>
  <c r="F43" i="7"/>
  <c r="F34" i="7"/>
  <c r="D26" i="1" l="1"/>
  <c r="G61" i="13" l="1"/>
  <c r="D91" i="1"/>
  <c r="D97" i="1" l="1"/>
  <c r="D96" i="1"/>
  <c r="D56" i="1" l="1"/>
  <c r="D58" i="31" l="1"/>
  <c r="E58" i="31"/>
  <c r="E59" i="31" s="1"/>
  <c r="F58" i="31"/>
  <c r="F59" i="31" s="1"/>
  <c r="G58" i="31"/>
  <c r="G59" i="31" s="1"/>
  <c r="I60" i="34" l="1"/>
  <c r="O38" i="35"/>
  <c r="L38" i="35"/>
  <c r="K38" i="35"/>
  <c r="I38" i="35"/>
  <c r="H38" i="35"/>
  <c r="G38" i="35"/>
  <c r="I37" i="35"/>
  <c r="H37" i="35"/>
  <c r="G37" i="35"/>
  <c r="L35" i="35"/>
  <c r="K35" i="35"/>
  <c r="I35" i="35"/>
  <c r="H35" i="35"/>
  <c r="G35" i="35"/>
  <c r="I34" i="35"/>
  <c r="H34" i="35"/>
  <c r="G34" i="35"/>
  <c r="O33" i="35"/>
  <c r="N33" i="35"/>
  <c r="I33" i="35"/>
  <c r="H33" i="35"/>
  <c r="G33" i="35"/>
  <c r="O32" i="35"/>
  <c r="N32" i="35"/>
  <c r="L32" i="35"/>
  <c r="K32" i="35"/>
  <c r="I32" i="35"/>
  <c r="H32" i="35"/>
  <c r="G32" i="35"/>
  <c r="O31" i="35"/>
  <c r="N31" i="35"/>
  <c r="L31" i="35"/>
  <c r="K31" i="35"/>
  <c r="I31" i="35"/>
  <c r="H31" i="35"/>
  <c r="G31" i="35"/>
  <c r="O30" i="35"/>
  <c r="N30" i="35"/>
  <c r="I30" i="35"/>
  <c r="H30" i="35"/>
  <c r="G30" i="35"/>
  <c r="O29" i="35"/>
  <c r="N29" i="35"/>
  <c r="I29" i="35"/>
  <c r="H29" i="35"/>
  <c r="G29" i="35"/>
  <c r="O28" i="35"/>
  <c r="N28" i="35"/>
  <c r="L28" i="35"/>
  <c r="K28" i="35"/>
  <c r="I28" i="35"/>
  <c r="H28" i="35"/>
  <c r="G28" i="35"/>
  <c r="O27" i="35"/>
  <c r="N27" i="35"/>
  <c r="L27" i="35"/>
  <c r="K27" i="35"/>
  <c r="I27" i="35"/>
  <c r="H27" i="35"/>
  <c r="G27" i="35"/>
  <c r="O26" i="35"/>
  <c r="N26" i="35"/>
  <c r="L26" i="35"/>
  <c r="K26" i="35"/>
  <c r="I26" i="35"/>
  <c r="H26" i="35"/>
  <c r="G26" i="35"/>
  <c r="O25" i="35"/>
  <c r="N25" i="35"/>
  <c r="L25" i="35"/>
  <c r="K25" i="35"/>
  <c r="I25" i="35"/>
  <c r="H25" i="35"/>
  <c r="G25" i="35"/>
  <c r="O24" i="35"/>
  <c r="N24" i="35"/>
  <c r="L24" i="35"/>
  <c r="K24" i="35"/>
  <c r="I24" i="35"/>
  <c r="H24" i="35"/>
  <c r="G24" i="35"/>
  <c r="P18" i="35"/>
  <c r="M18" i="35"/>
  <c r="J18" i="35"/>
  <c r="G18" i="35"/>
  <c r="P17" i="35"/>
  <c r="M17" i="35"/>
  <c r="J17" i="35"/>
  <c r="G17" i="35"/>
  <c r="P15" i="35"/>
  <c r="M15" i="35"/>
  <c r="J15" i="35"/>
  <c r="G15" i="35"/>
  <c r="P14" i="35"/>
  <c r="M14" i="35"/>
  <c r="J14" i="35"/>
  <c r="G14" i="35"/>
  <c r="P13" i="35"/>
  <c r="M13" i="35"/>
  <c r="J13" i="35"/>
  <c r="G13" i="35"/>
  <c r="P12" i="35"/>
  <c r="M12" i="35"/>
  <c r="J12" i="35"/>
  <c r="G12" i="35"/>
  <c r="P11" i="35"/>
  <c r="M11" i="35"/>
  <c r="J11" i="35"/>
  <c r="G11" i="35"/>
  <c r="P10" i="35"/>
  <c r="M10" i="35"/>
  <c r="J10" i="35"/>
  <c r="G10" i="35"/>
  <c r="P9" i="35"/>
  <c r="M9" i="35"/>
  <c r="J9" i="35"/>
  <c r="G9" i="35"/>
  <c r="P8" i="35"/>
  <c r="M8" i="35"/>
  <c r="J8" i="35"/>
  <c r="G8" i="35"/>
  <c r="P7" i="35"/>
  <c r="M7" i="35"/>
  <c r="J7" i="35"/>
  <c r="G7" i="35"/>
  <c r="P6" i="35"/>
  <c r="M6" i="35"/>
  <c r="J6" i="35"/>
  <c r="G6" i="35"/>
  <c r="P5" i="35"/>
  <c r="M5" i="35"/>
  <c r="J5" i="35"/>
  <c r="G5" i="35"/>
  <c r="P4" i="35"/>
  <c r="M4" i="35"/>
  <c r="J4" i="35"/>
  <c r="G4" i="35"/>
  <c r="M79" i="34"/>
  <c r="L79" i="34"/>
  <c r="E78" i="34"/>
  <c r="D78" i="34"/>
  <c r="C78" i="34"/>
  <c r="N71" i="34"/>
  <c r="E77" i="34"/>
  <c r="D77" i="34"/>
  <c r="C77" i="34"/>
  <c r="N76" i="34"/>
  <c r="N72" i="34"/>
  <c r="G75" i="34"/>
  <c r="N74" i="34"/>
  <c r="G74" i="34"/>
  <c r="F73" i="34"/>
  <c r="E73" i="34"/>
  <c r="D73" i="34"/>
  <c r="C73" i="34"/>
  <c r="G72" i="34"/>
  <c r="N73" i="34"/>
  <c r="G71" i="34"/>
  <c r="N70" i="34"/>
  <c r="F70" i="34"/>
  <c r="E70" i="34"/>
  <c r="D70" i="34"/>
  <c r="C70" i="34"/>
  <c r="N65" i="34"/>
  <c r="G69" i="34"/>
  <c r="N68" i="34"/>
  <c r="G68" i="34"/>
  <c r="N75" i="34"/>
  <c r="F67" i="34"/>
  <c r="E67" i="34"/>
  <c r="D67" i="34"/>
  <c r="C67" i="34"/>
  <c r="N67" i="34"/>
  <c r="G66" i="34"/>
  <c r="N69" i="34"/>
  <c r="G65" i="34"/>
  <c r="N66" i="34"/>
  <c r="V33" i="34"/>
  <c r="V36" i="34" s="1"/>
  <c r="U33" i="34"/>
  <c r="V20" i="34"/>
  <c r="U36" i="34" s="1"/>
  <c r="U20" i="34"/>
  <c r="L17" i="34"/>
  <c r="M32" i="35" l="1"/>
  <c r="P32" i="35"/>
  <c r="P33" i="35"/>
  <c r="J27" i="35"/>
  <c r="P37" i="35"/>
  <c r="J29" i="35"/>
  <c r="M31" i="35"/>
  <c r="P30" i="35"/>
  <c r="P28" i="35"/>
  <c r="G73" i="34"/>
  <c r="G70" i="34"/>
  <c r="G67" i="34"/>
  <c r="G64" i="34"/>
  <c r="P38" i="35"/>
  <c r="M33" i="35"/>
  <c r="M30" i="35"/>
  <c r="M25" i="35"/>
  <c r="F76" i="34"/>
  <c r="P27" i="35"/>
  <c r="P35" i="35"/>
  <c r="M24" i="35"/>
  <c r="P26" i="35"/>
  <c r="D76" i="34"/>
  <c r="N79" i="34"/>
  <c r="E76" i="34"/>
  <c r="C76" i="34"/>
  <c r="G77" i="34"/>
  <c r="G78" i="34"/>
  <c r="P34" i="35"/>
  <c r="P24" i="35"/>
  <c r="P29" i="35"/>
  <c r="P25" i="35"/>
  <c r="P31" i="35"/>
  <c r="J25" i="35"/>
  <c r="M28" i="35"/>
  <c r="J33" i="35"/>
  <c r="M37" i="35"/>
  <c r="M38" i="35"/>
  <c r="M26" i="35"/>
  <c r="M27" i="35"/>
  <c r="J31" i="35"/>
  <c r="M34" i="35"/>
  <c r="M35" i="35"/>
  <c r="J38" i="35"/>
  <c r="J35" i="35"/>
  <c r="J24" i="35"/>
  <c r="J26" i="35"/>
  <c r="J28" i="35"/>
  <c r="J30" i="35"/>
  <c r="J32" i="35"/>
  <c r="J34" i="35"/>
  <c r="J37" i="35"/>
  <c r="F53" i="7"/>
  <c r="G76" i="34" l="1"/>
  <c r="E82" i="34"/>
  <c r="E60" i="34" s="1"/>
  <c r="B61" i="13" l="1"/>
  <c r="C61" i="13"/>
  <c r="D61" i="13"/>
  <c r="E61" i="13"/>
  <c r="I37" i="13"/>
  <c r="I38" i="13"/>
  <c r="I39" i="13"/>
  <c r="I40" i="13"/>
  <c r="I41" i="13"/>
  <c r="I42" i="13"/>
  <c r="I43" i="13"/>
  <c r="I44" i="13"/>
  <c r="I45" i="13"/>
  <c r="I46" i="13"/>
  <c r="I47" i="13"/>
  <c r="I48" i="13"/>
  <c r="I49" i="13"/>
  <c r="I50" i="13"/>
  <c r="I51" i="13"/>
  <c r="I52" i="13"/>
  <c r="I53" i="13"/>
  <c r="I54" i="13"/>
  <c r="I55" i="13"/>
  <c r="I56" i="13"/>
  <c r="I57" i="13"/>
  <c r="I36" i="13"/>
  <c r="F15" i="7" l="1"/>
  <c r="F52" i="7"/>
  <c r="F25" i="7"/>
  <c r="F23" i="7"/>
  <c r="G20" i="15"/>
  <c r="H20" i="15"/>
  <c r="I20" i="15"/>
  <c r="J20" i="15" s="1"/>
  <c r="K20" i="15"/>
  <c r="L20" i="15" s="1"/>
  <c r="N20" i="15"/>
  <c r="T24" i="21"/>
  <c r="O53" i="13"/>
  <c r="N53" i="13"/>
  <c r="O52" i="13"/>
  <c r="N52" i="13"/>
  <c r="E56" i="23" l="1"/>
  <c r="F51" i="7" l="1"/>
  <c r="O25" i="30"/>
  <c r="K36" i="30"/>
  <c r="L36" i="30"/>
  <c r="M36" i="30" s="1"/>
  <c r="N36" i="30"/>
  <c r="O36" i="30"/>
  <c r="O35" i="30"/>
  <c r="N35" i="30"/>
  <c r="O34" i="30"/>
  <c r="N34" i="30"/>
  <c r="P34" i="30" s="1"/>
  <c r="O33" i="30"/>
  <c r="N33" i="30"/>
  <c r="P33" i="30" s="1"/>
  <c r="O32" i="30"/>
  <c r="N32" i="30"/>
  <c r="O31" i="30"/>
  <c r="N31" i="30"/>
  <c r="P31" i="30" s="1"/>
  <c r="O30" i="30"/>
  <c r="N30" i="30"/>
  <c r="P30" i="30" s="1"/>
  <c r="O29" i="30"/>
  <c r="N29" i="30"/>
  <c r="O28" i="30"/>
  <c r="N28" i="30"/>
  <c r="P28" i="30" s="1"/>
  <c r="O27" i="30"/>
  <c r="N27" i="30"/>
  <c r="P27" i="30" s="1"/>
  <c r="O26" i="30"/>
  <c r="N26" i="30"/>
  <c r="N25" i="30"/>
  <c r="P25" i="30" s="1"/>
  <c r="O24" i="30"/>
  <c r="N24" i="30"/>
  <c r="O23" i="30"/>
  <c r="N23" i="30"/>
  <c r="P23" i="30" s="1"/>
  <c r="L35" i="30"/>
  <c r="K35" i="30"/>
  <c r="L34" i="30"/>
  <c r="K34" i="30"/>
  <c r="L33" i="30"/>
  <c r="M33" i="30" s="1"/>
  <c r="K33" i="30"/>
  <c r="L32" i="30"/>
  <c r="K32" i="30"/>
  <c r="M32" i="30" s="1"/>
  <c r="L31" i="30"/>
  <c r="K31" i="30"/>
  <c r="L30" i="30"/>
  <c r="K30" i="30"/>
  <c r="M30" i="30" s="1"/>
  <c r="L29" i="30"/>
  <c r="K29" i="30"/>
  <c r="L28" i="30"/>
  <c r="K28" i="30"/>
  <c r="M28" i="30" s="1"/>
  <c r="L27" i="30"/>
  <c r="M27" i="30" s="1"/>
  <c r="K27" i="30"/>
  <c r="L26" i="30"/>
  <c r="K26" i="30"/>
  <c r="L25" i="30"/>
  <c r="K25" i="30"/>
  <c r="L24" i="30"/>
  <c r="K24" i="30"/>
  <c r="M24" i="30" s="1"/>
  <c r="L23" i="30"/>
  <c r="K23" i="30"/>
  <c r="M23" i="30" s="1"/>
  <c r="I36" i="30"/>
  <c r="H36" i="30"/>
  <c r="H24" i="30"/>
  <c r="I24" i="30"/>
  <c r="H25" i="30"/>
  <c r="I25" i="30"/>
  <c r="J25" i="30" s="1"/>
  <c r="H26" i="30"/>
  <c r="I26" i="30"/>
  <c r="H27" i="30"/>
  <c r="I27" i="30"/>
  <c r="J27" i="30" s="1"/>
  <c r="H28" i="30"/>
  <c r="I28" i="30"/>
  <c r="H29" i="30"/>
  <c r="I29" i="30"/>
  <c r="J29" i="30" s="1"/>
  <c r="H30" i="30"/>
  <c r="I30" i="30"/>
  <c r="H31" i="30"/>
  <c r="I31" i="30"/>
  <c r="J31" i="30" s="1"/>
  <c r="H32" i="30"/>
  <c r="I32" i="30"/>
  <c r="H33" i="30"/>
  <c r="I33" i="30"/>
  <c r="J33" i="30" s="1"/>
  <c r="H34" i="30"/>
  <c r="I34" i="30"/>
  <c r="H35" i="30"/>
  <c r="I35" i="30"/>
  <c r="J35" i="30" s="1"/>
  <c r="I23" i="30"/>
  <c r="H23" i="30"/>
  <c r="P32" i="30"/>
  <c r="P26" i="30"/>
  <c r="G36" i="30"/>
  <c r="G35" i="30"/>
  <c r="G34" i="30"/>
  <c r="G33" i="30"/>
  <c r="G32" i="30"/>
  <c r="G31" i="30"/>
  <c r="G30" i="30"/>
  <c r="G29" i="30"/>
  <c r="G28" i="30"/>
  <c r="G27" i="30"/>
  <c r="G26" i="30"/>
  <c r="G25" i="30"/>
  <c r="G24" i="30"/>
  <c r="G23" i="30"/>
  <c r="P17" i="30"/>
  <c r="M17" i="30"/>
  <c r="J17" i="30"/>
  <c r="G17" i="30"/>
  <c r="P16" i="30"/>
  <c r="M16" i="30"/>
  <c r="J16" i="30"/>
  <c r="G16" i="30"/>
  <c r="P15" i="30"/>
  <c r="M15" i="30"/>
  <c r="J15" i="30"/>
  <c r="G15" i="30"/>
  <c r="P14" i="30"/>
  <c r="M14" i="30"/>
  <c r="J14" i="30"/>
  <c r="G14" i="30"/>
  <c r="P13" i="30"/>
  <c r="M13" i="30"/>
  <c r="J13" i="30"/>
  <c r="G13" i="30"/>
  <c r="P12" i="30"/>
  <c r="M12" i="30"/>
  <c r="J12" i="30"/>
  <c r="G12" i="30"/>
  <c r="P11" i="30"/>
  <c r="M11" i="30"/>
  <c r="J11" i="30"/>
  <c r="G11" i="30"/>
  <c r="P10" i="30"/>
  <c r="M10" i="30"/>
  <c r="J10" i="30"/>
  <c r="G10" i="30"/>
  <c r="P9" i="30"/>
  <c r="M9" i="30"/>
  <c r="J9" i="30"/>
  <c r="G9" i="30"/>
  <c r="P8" i="30"/>
  <c r="M8" i="30"/>
  <c r="J8" i="30"/>
  <c r="G8" i="30"/>
  <c r="P7" i="30"/>
  <c r="M7" i="30"/>
  <c r="J7" i="30"/>
  <c r="G7" i="30"/>
  <c r="P6" i="30"/>
  <c r="M6" i="30"/>
  <c r="J6" i="30"/>
  <c r="G6" i="30"/>
  <c r="P5" i="30"/>
  <c r="M5" i="30"/>
  <c r="J5" i="30"/>
  <c r="G5" i="30"/>
  <c r="P4" i="30"/>
  <c r="M4" i="30"/>
  <c r="J4" i="30"/>
  <c r="G4" i="30"/>
  <c r="M35" i="30" l="1"/>
  <c r="P29" i="30"/>
  <c r="P35" i="30"/>
  <c r="P36" i="30"/>
  <c r="M25" i="30"/>
  <c r="M31" i="30"/>
  <c r="P24" i="30"/>
  <c r="J23" i="30"/>
  <c r="J32" i="30"/>
  <c r="J28" i="30"/>
  <c r="J24" i="30"/>
  <c r="M29" i="30"/>
  <c r="J36" i="30"/>
  <c r="M26" i="30"/>
  <c r="M34" i="30"/>
  <c r="J34" i="30"/>
  <c r="J30" i="30"/>
  <c r="J26" i="30"/>
  <c r="C69" i="23"/>
  <c r="D69" i="23"/>
  <c r="C73" i="23"/>
  <c r="C74" i="23"/>
  <c r="F13" i="7" l="1"/>
  <c r="F56" i="7" l="1"/>
  <c r="F16" i="7" l="1"/>
  <c r="F55" i="7"/>
  <c r="L75" i="23" l="1"/>
  <c r="F21" i="7" l="1"/>
  <c r="D7" i="1" l="1"/>
  <c r="L17" i="23" l="1"/>
  <c r="F69" i="23" l="1"/>
  <c r="E69" i="23"/>
  <c r="F66" i="23"/>
  <c r="E66" i="23"/>
  <c r="D66" i="23"/>
  <c r="C66" i="23"/>
  <c r="F63" i="23"/>
  <c r="E63" i="23"/>
  <c r="D63" i="23"/>
  <c r="C63" i="23"/>
  <c r="D60" i="23"/>
  <c r="E60" i="23"/>
  <c r="F60" i="23"/>
  <c r="C60" i="23"/>
  <c r="F72" i="23" l="1"/>
  <c r="C72" i="23"/>
  <c r="G71" i="23" l="1"/>
  <c r="G70" i="23"/>
  <c r="G68" i="23"/>
  <c r="G67" i="23"/>
  <c r="G65" i="23"/>
  <c r="G64" i="23"/>
  <c r="G62" i="23"/>
  <c r="G61" i="23"/>
  <c r="G66" i="23" l="1"/>
  <c r="G60" i="23"/>
  <c r="G63" i="23"/>
  <c r="G69" i="23"/>
  <c r="N73" i="23"/>
  <c r="N68" i="23"/>
  <c r="N65" i="23"/>
  <c r="N63" i="23"/>
  <c r="N70" i="23"/>
  <c r="N71" i="23"/>
  <c r="N64" i="23"/>
  <c r="N60" i="23"/>
  <c r="N67" i="23"/>
  <c r="N72" i="23"/>
  <c r="N69" i="23"/>
  <c r="N66" i="23"/>
  <c r="N62" i="23"/>
  <c r="N61" i="23"/>
  <c r="BA25" i="27" l="1"/>
  <c r="AY25" i="27"/>
  <c r="AW25" i="27"/>
  <c r="AV25" i="27"/>
  <c r="AT25" i="27"/>
  <c r="AS25" i="27"/>
  <c r="AR25" i="27"/>
  <c r="AQ25" i="27"/>
  <c r="AP25" i="27"/>
  <c r="AO25" i="27"/>
  <c r="AM25" i="27"/>
  <c r="BA24" i="27"/>
  <c r="AY24" i="27"/>
  <c r="AW24" i="27"/>
  <c r="AV24" i="27"/>
  <c r="AT24" i="27"/>
  <c r="AS24" i="27"/>
  <c r="AR24" i="27"/>
  <c r="AQ24" i="27"/>
  <c r="AP24" i="27"/>
  <c r="AO24" i="27"/>
  <c r="AM24" i="27"/>
  <c r="BA23" i="27"/>
  <c r="AY23" i="27"/>
  <c r="AW23" i="27"/>
  <c r="AV23" i="27"/>
  <c r="AT23" i="27"/>
  <c r="AS23" i="27"/>
  <c r="AR23" i="27"/>
  <c r="AQ23" i="27"/>
  <c r="AP23" i="27"/>
  <c r="AO23" i="27"/>
  <c r="AM23" i="27"/>
  <c r="AI25" i="27"/>
  <c r="AG25" i="27"/>
  <c r="AE25" i="27"/>
  <c r="AD25" i="27"/>
  <c r="AB25" i="27"/>
  <c r="AA25" i="27"/>
  <c r="Z25" i="27"/>
  <c r="Y25" i="27"/>
  <c r="X25" i="27"/>
  <c r="W25" i="27"/>
  <c r="U25" i="27"/>
  <c r="AI24" i="27"/>
  <c r="AG24" i="27"/>
  <c r="AE24" i="27"/>
  <c r="AD24" i="27"/>
  <c r="AB24" i="27"/>
  <c r="AA24" i="27"/>
  <c r="Z24" i="27"/>
  <c r="Y24" i="27"/>
  <c r="X24" i="27"/>
  <c r="W24" i="27"/>
  <c r="U24" i="27"/>
  <c r="AI23" i="27"/>
  <c r="AG23" i="27"/>
  <c r="AE23" i="27"/>
  <c r="AD23" i="27"/>
  <c r="AB23" i="27"/>
  <c r="AA23" i="27"/>
  <c r="Z23" i="27"/>
  <c r="Y23" i="27"/>
  <c r="X23" i="27"/>
  <c r="W23" i="27"/>
  <c r="U23" i="27"/>
  <c r="Q25" i="27"/>
  <c r="O25" i="27"/>
  <c r="M25" i="27"/>
  <c r="L25" i="27"/>
  <c r="J25" i="27"/>
  <c r="I25" i="27"/>
  <c r="H25" i="27"/>
  <c r="G25" i="27"/>
  <c r="F25" i="27"/>
  <c r="E25" i="27"/>
  <c r="C25" i="27"/>
  <c r="Q24" i="27"/>
  <c r="O24" i="27"/>
  <c r="M24" i="27"/>
  <c r="L24" i="27"/>
  <c r="J24" i="27"/>
  <c r="I24" i="27"/>
  <c r="H24" i="27"/>
  <c r="G24" i="27"/>
  <c r="F24" i="27"/>
  <c r="E24" i="27"/>
  <c r="C24" i="27"/>
  <c r="Q23" i="27"/>
  <c r="O23" i="27"/>
  <c r="M23" i="27"/>
  <c r="L23" i="27"/>
  <c r="J23" i="27"/>
  <c r="I23" i="27"/>
  <c r="H23" i="27"/>
  <c r="G23" i="27"/>
  <c r="F23" i="27"/>
  <c r="E23" i="27"/>
  <c r="C23" i="27"/>
  <c r="D93" i="1" l="1"/>
  <c r="D92" i="1" l="1"/>
  <c r="F18" i="7" l="1"/>
  <c r="T23" i="21" l="1"/>
  <c r="V27" i="21"/>
  <c r="S27" i="21"/>
  <c r="R27" i="21"/>
  <c r="M75" i="23"/>
  <c r="N75" i="23" s="1"/>
  <c r="F74" i="23"/>
  <c r="E74" i="23"/>
  <c r="D74" i="23"/>
  <c r="F73" i="23"/>
  <c r="E73" i="23"/>
  <c r="D73" i="23"/>
  <c r="E72" i="23"/>
  <c r="D72" i="23"/>
  <c r="V33" i="23"/>
  <c r="V36" i="23" s="1"/>
  <c r="U33" i="23"/>
  <c r="V20" i="23"/>
  <c r="U36" i="23" s="1"/>
  <c r="U20" i="23"/>
  <c r="E78" i="23" l="1"/>
  <c r="G73" i="23"/>
  <c r="G74" i="23"/>
  <c r="G72" i="23"/>
  <c r="F65" i="7" l="1"/>
  <c r="F27" i="7"/>
  <c r="F63" i="7"/>
  <c r="F61" i="13" l="1"/>
  <c r="D10" i="22" l="1"/>
  <c r="D41" i="22"/>
  <c r="D36" i="22"/>
  <c r="D44" i="22"/>
  <c r="E36" i="22"/>
  <c r="F36" i="22"/>
  <c r="G36" i="22"/>
  <c r="I36" i="22"/>
  <c r="J36" i="22"/>
  <c r="K36" i="22"/>
  <c r="M36" i="22"/>
  <c r="N36" i="22" s="1"/>
  <c r="O36" i="22"/>
  <c r="E41" i="22"/>
  <c r="F41" i="22"/>
  <c r="G41" i="22"/>
  <c r="I41" i="22"/>
  <c r="J41" i="22"/>
  <c r="K41" i="22"/>
  <c r="M41" i="22"/>
  <c r="O41" i="22"/>
  <c r="D45" i="22"/>
  <c r="E45" i="22"/>
  <c r="F45" i="22"/>
  <c r="G45" i="22"/>
  <c r="I45" i="22"/>
  <c r="J45" i="22"/>
  <c r="K45" i="22"/>
  <c r="M45" i="22"/>
  <c r="O45" i="22"/>
  <c r="D24" i="22"/>
  <c r="E24" i="22"/>
  <c r="F24" i="22"/>
  <c r="G24" i="22"/>
  <c r="I24" i="22"/>
  <c r="J24" i="22"/>
  <c r="K24" i="22"/>
  <c r="M24" i="22"/>
  <c r="O24" i="22"/>
  <c r="D26" i="22"/>
  <c r="E26" i="22"/>
  <c r="F26" i="22"/>
  <c r="G26" i="22"/>
  <c r="I26" i="22"/>
  <c r="J26" i="22"/>
  <c r="K26" i="22"/>
  <c r="M26" i="22"/>
  <c r="O26" i="22"/>
  <c r="D28" i="22"/>
  <c r="E28" i="22"/>
  <c r="F28" i="22"/>
  <c r="G28" i="22"/>
  <c r="I28" i="22"/>
  <c r="J28" i="22"/>
  <c r="K28" i="22"/>
  <c r="M28" i="22"/>
  <c r="O28" i="22"/>
  <c r="D18" i="22"/>
  <c r="E18" i="22"/>
  <c r="F18" i="22"/>
  <c r="G18" i="22"/>
  <c r="I18" i="22"/>
  <c r="J18" i="22"/>
  <c r="K18" i="22"/>
  <c r="M18" i="22"/>
  <c r="O18" i="22"/>
  <c r="D12" i="22"/>
  <c r="E12" i="22"/>
  <c r="F12" i="22"/>
  <c r="G12" i="22"/>
  <c r="I12" i="22"/>
  <c r="L12" i="22" s="1"/>
  <c r="J12" i="22"/>
  <c r="K12" i="22"/>
  <c r="M12" i="22"/>
  <c r="O12" i="22"/>
  <c r="D37" i="22"/>
  <c r="E37" i="22"/>
  <c r="F37" i="22"/>
  <c r="G37" i="22"/>
  <c r="I37" i="22"/>
  <c r="L37" i="22" s="1"/>
  <c r="J37" i="22"/>
  <c r="K37" i="22"/>
  <c r="M37" i="22"/>
  <c r="O37" i="22"/>
  <c r="D33" i="22"/>
  <c r="E33" i="22"/>
  <c r="F33" i="22"/>
  <c r="G33" i="22"/>
  <c r="I33" i="22"/>
  <c r="J33" i="22"/>
  <c r="K33" i="22"/>
  <c r="M33" i="22"/>
  <c r="O33" i="22"/>
  <c r="D32" i="22"/>
  <c r="E32" i="22"/>
  <c r="F32" i="22"/>
  <c r="G32" i="22"/>
  <c r="I32" i="22"/>
  <c r="J32" i="22"/>
  <c r="K32" i="22"/>
  <c r="M32" i="22"/>
  <c r="O32" i="22"/>
  <c r="D9" i="22"/>
  <c r="E9" i="22"/>
  <c r="F9" i="22"/>
  <c r="G9" i="22"/>
  <c r="I9" i="22"/>
  <c r="L9" i="22" s="1"/>
  <c r="J9" i="22"/>
  <c r="K9" i="22"/>
  <c r="M9" i="22"/>
  <c r="O9" i="22"/>
  <c r="D22" i="22"/>
  <c r="E22" i="22"/>
  <c r="F22" i="22"/>
  <c r="G22" i="22"/>
  <c r="I22" i="22"/>
  <c r="L22" i="22" s="1"/>
  <c r="J22" i="22"/>
  <c r="K22" i="22"/>
  <c r="M22" i="22"/>
  <c r="O22" i="22"/>
  <c r="D46" i="22"/>
  <c r="E46" i="22"/>
  <c r="F46" i="22"/>
  <c r="G46" i="22"/>
  <c r="I46" i="22"/>
  <c r="J46" i="22"/>
  <c r="K46" i="22"/>
  <c r="M46" i="22"/>
  <c r="O46" i="22"/>
  <c r="D42" i="22"/>
  <c r="E42" i="22"/>
  <c r="F42" i="22"/>
  <c r="G42" i="22"/>
  <c r="I42" i="22"/>
  <c r="J42" i="22"/>
  <c r="K42" i="22"/>
  <c r="M42" i="22"/>
  <c r="O42" i="22"/>
  <c r="D16" i="22"/>
  <c r="E16" i="22"/>
  <c r="F16" i="22"/>
  <c r="G16" i="22"/>
  <c r="I16" i="22"/>
  <c r="L16" i="22" s="1"/>
  <c r="J16" i="22"/>
  <c r="K16" i="22"/>
  <c r="M16" i="22"/>
  <c r="O16" i="22"/>
  <c r="D31" i="22"/>
  <c r="E31" i="22"/>
  <c r="F31" i="22"/>
  <c r="G31" i="22"/>
  <c r="I31" i="22"/>
  <c r="J31" i="22"/>
  <c r="K31" i="22"/>
  <c r="M31" i="22"/>
  <c r="O31" i="22"/>
  <c r="D6" i="22"/>
  <c r="E6" i="22"/>
  <c r="F6" i="22"/>
  <c r="G6" i="22"/>
  <c r="I6" i="22"/>
  <c r="J6" i="22"/>
  <c r="K6" i="22"/>
  <c r="M6" i="22"/>
  <c r="O6" i="22"/>
  <c r="D49" i="22"/>
  <c r="E49" i="22"/>
  <c r="F49" i="22"/>
  <c r="G49" i="22"/>
  <c r="I49" i="22"/>
  <c r="J49" i="22"/>
  <c r="K49" i="22"/>
  <c r="M49" i="22"/>
  <c r="O49" i="22"/>
  <c r="D21" i="22"/>
  <c r="E21" i="22"/>
  <c r="F21" i="22"/>
  <c r="G21" i="22"/>
  <c r="I21" i="22"/>
  <c r="L21" i="22" s="1"/>
  <c r="J21" i="22"/>
  <c r="K21" i="22"/>
  <c r="M21" i="22"/>
  <c r="O21" i="22"/>
  <c r="D23" i="22"/>
  <c r="E23" i="22"/>
  <c r="F23" i="22"/>
  <c r="G23" i="22"/>
  <c r="I23" i="22"/>
  <c r="L23" i="22" s="1"/>
  <c r="J23" i="22"/>
  <c r="K23" i="22"/>
  <c r="M23" i="22"/>
  <c r="O23" i="22"/>
  <c r="D15" i="22"/>
  <c r="E15" i="22"/>
  <c r="F15" i="22"/>
  <c r="G15" i="22"/>
  <c r="I15" i="22"/>
  <c r="J15" i="22"/>
  <c r="K15" i="22"/>
  <c r="M15" i="22"/>
  <c r="O15" i="22"/>
  <c r="D39" i="22"/>
  <c r="E39" i="22"/>
  <c r="F39" i="22"/>
  <c r="G39" i="22"/>
  <c r="I39" i="22"/>
  <c r="J39" i="22"/>
  <c r="K39" i="22"/>
  <c r="M39" i="22"/>
  <c r="O39" i="22"/>
  <c r="D25" i="22"/>
  <c r="E25" i="22"/>
  <c r="F25" i="22"/>
  <c r="G25" i="22"/>
  <c r="I25" i="22"/>
  <c r="J25" i="22"/>
  <c r="K25" i="22"/>
  <c r="M25" i="22"/>
  <c r="O25" i="22"/>
  <c r="D13" i="22"/>
  <c r="E13" i="22"/>
  <c r="F13" i="22"/>
  <c r="G13" i="22"/>
  <c r="I13" i="22"/>
  <c r="L13" i="22" s="1"/>
  <c r="J13" i="22"/>
  <c r="K13" i="22"/>
  <c r="M13" i="22"/>
  <c r="O13" i="22"/>
  <c r="D19" i="22"/>
  <c r="E19" i="22"/>
  <c r="F19" i="22"/>
  <c r="G19" i="22"/>
  <c r="I19" i="22"/>
  <c r="J19" i="22"/>
  <c r="K19" i="22"/>
  <c r="M19" i="22"/>
  <c r="O19" i="22"/>
  <c r="D48" i="22"/>
  <c r="E48" i="22"/>
  <c r="F48" i="22"/>
  <c r="G48" i="22"/>
  <c r="I48" i="22"/>
  <c r="J48" i="22"/>
  <c r="K48" i="22"/>
  <c r="M48" i="22"/>
  <c r="O48" i="22"/>
  <c r="D14" i="22"/>
  <c r="E14" i="22"/>
  <c r="F14" i="22"/>
  <c r="G14" i="22"/>
  <c r="I14" i="22"/>
  <c r="J14" i="22"/>
  <c r="K14" i="22"/>
  <c r="M14" i="22"/>
  <c r="O14" i="22"/>
  <c r="D17" i="22"/>
  <c r="E17" i="22"/>
  <c r="F17" i="22"/>
  <c r="G17" i="22"/>
  <c r="I17" i="22"/>
  <c r="J17" i="22"/>
  <c r="K17" i="22"/>
  <c r="M17" i="22"/>
  <c r="O17" i="22"/>
  <c r="D43" i="22"/>
  <c r="E43" i="22"/>
  <c r="F43" i="22"/>
  <c r="G43" i="22"/>
  <c r="I43" i="22"/>
  <c r="J43" i="22"/>
  <c r="K43" i="22"/>
  <c r="M43" i="22"/>
  <c r="O43" i="22"/>
  <c r="D29" i="22"/>
  <c r="E29" i="22"/>
  <c r="F29" i="22"/>
  <c r="G29" i="22"/>
  <c r="I29" i="22"/>
  <c r="J29" i="22"/>
  <c r="K29" i="22"/>
  <c r="M29" i="22"/>
  <c r="O29" i="22"/>
  <c r="D50" i="22"/>
  <c r="E50" i="22"/>
  <c r="F50" i="22"/>
  <c r="G50" i="22"/>
  <c r="I50" i="22"/>
  <c r="L50" i="22" s="1"/>
  <c r="J50" i="22"/>
  <c r="K50" i="22"/>
  <c r="M50" i="22"/>
  <c r="O50" i="22"/>
  <c r="D7" i="22"/>
  <c r="E7" i="22"/>
  <c r="F7" i="22"/>
  <c r="G7" i="22"/>
  <c r="I7" i="22"/>
  <c r="J7" i="22"/>
  <c r="K7" i="22"/>
  <c r="M7" i="22"/>
  <c r="O7" i="22"/>
  <c r="D20" i="22"/>
  <c r="E20" i="22"/>
  <c r="F20" i="22"/>
  <c r="G20" i="22"/>
  <c r="I20" i="22"/>
  <c r="J20" i="22"/>
  <c r="K20" i="22"/>
  <c r="M20" i="22"/>
  <c r="O20" i="22"/>
  <c r="D34" i="22"/>
  <c r="E34" i="22"/>
  <c r="F34" i="22"/>
  <c r="G34" i="22"/>
  <c r="I34" i="22"/>
  <c r="J34" i="22"/>
  <c r="K34" i="22"/>
  <c r="M34" i="22"/>
  <c r="O34" i="22"/>
  <c r="D11" i="22"/>
  <c r="E11" i="22"/>
  <c r="F11" i="22"/>
  <c r="G11" i="22"/>
  <c r="I11" i="22"/>
  <c r="J11" i="22"/>
  <c r="K11" i="22"/>
  <c r="M11" i="22"/>
  <c r="O11" i="22"/>
  <c r="D47" i="22"/>
  <c r="E47" i="22"/>
  <c r="F47" i="22"/>
  <c r="G47" i="22"/>
  <c r="I47" i="22"/>
  <c r="J47" i="22"/>
  <c r="K47" i="22"/>
  <c r="M47" i="22"/>
  <c r="O47" i="22"/>
  <c r="D8" i="22"/>
  <c r="E8" i="22"/>
  <c r="F8" i="22"/>
  <c r="G8" i="22"/>
  <c r="I8" i="22"/>
  <c r="J8" i="22"/>
  <c r="K8" i="22"/>
  <c r="M8" i="22"/>
  <c r="O8" i="22"/>
  <c r="D40" i="22"/>
  <c r="E40" i="22"/>
  <c r="F40" i="22"/>
  <c r="G40" i="22"/>
  <c r="I40" i="22"/>
  <c r="J40" i="22"/>
  <c r="K40" i="22"/>
  <c r="M40" i="22"/>
  <c r="O40" i="22"/>
  <c r="D35" i="22"/>
  <c r="E35" i="22"/>
  <c r="F35" i="22"/>
  <c r="G35" i="22"/>
  <c r="I35" i="22"/>
  <c r="L35" i="22" s="1"/>
  <c r="J35" i="22"/>
  <c r="K35" i="22"/>
  <c r="M35" i="22"/>
  <c r="O35" i="22"/>
  <c r="D27" i="22"/>
  <c r="E27" i="22"/>
  <c r="F27" i="22"/>
  <c r="G27" i="22"/>
  <c r="I27" i="22"/>
  <c r="L27" i="22" s="1"/>
  <c r="J27" i="22"/>
  <c r="K27" i="22"/>
  <c r="M27" i="22"/>
  <c r="O27" i="22"/>
  <c r="D38" i="22"/>
  <c r="E38" i="22"/>
  <c r="F38" i="22"/>
  <c r="G38" i="22"/>
  <c r="I38" i="22"/>
  <c r="J38" i="22"/>
  <c r="K38" i="22"/>
  <c r="M38" i="22"/>
  <c r="O38" i="22"/>
  <c r="D30" i="22"/>
  <c r="E30" i="22"/>
  <c r="F30" i="22"/>
  <c r="G30" i="22"/>
  <c r="I30" i="22"/>
  <c r="J30" i="22"/>
  <c r="K30" i="22"/>
  <c r="M30" i="22"/>
  <c r="O30" i="22"/>
  <c r="E10" i="22"/>
  <c r="F10" i="22"/>
  <c r="G10" i="22"/>
  <c r="H10" i="22" s="1"/>
  <c r="I10" i="22"/>
  <c r="L10" i="22" s="1"/>
  <c r="J10" i="22"/>
  <c r="K10" i="22"/>
  <c r="M10" i="22"/>
  <c r="N10" i="22" s="1"/>
  <c r="O10" i="22"/>
  <c r="K44" i="22"/>
  <c r="O44" i="22"/>
  <c r="M44" i="22"/>
  <c r="J44" i="22"/>
  <c r="I44" i="22"/>
  <c r="F44" i="22"/>
  <c r="G44" i="22"/>
  <c r="E44" i="22"/>
  <c r="L38" i="22" l="1"/>
  <c r="L20" i="22"/>
  <c r="N48" i="22"/>
  <c r="L19" i="22"/>
  <c r="N49" i="22"/>
  <c r="L6" i="22"/>
  <c r="N42" i="22"/>
  <c r="N32" i="22"/>
  <c r="L33" i="22"/>
  <c r="N18" i="22"/>
  <c r="N45" i="22"/>
  <c r="L30" i="22"/>
  <c r="L40" i="22"/>
  <c r="L34" i="22"/>
  <c r="L29" i="22"/>
  <c r="L48" i="22"/>
  <c r="L39" i="22"/>
  <c r="L49" i="22"/>
  <c r="L42" i="22"/>
  <c r="L32" i="22"/>
  <c r="L18" i="22"/>
  <c r="L31" i="22"/>
  <c r="N43" i="22"/>
  <c r="L8" i="22"/>
  <c r="L43" i="22"/>
  <c r="L15" i="22"/>
  <c r="L46" i="22"/>
  <c r="L28" i="22"/>
  <c r="L47" i="22"/>
  <c r="L17" i="22"/>
  <c r="L11" i="22"/>
  <c r="L14" i="22"/>
  <c r="L24" i="22"/>
  <c r="L45" i="22"/>
  <c r="N11" i="22"/>
  <c r="N19" i="22"/>
  <c r="H44" i="22"/>
  <c r="N15" i="22"/>
  <c r="L26" i="22"/>
  <c r="N44" i="22"/>
  <c r="N30" i="22"/>
  <c r="L25" i="22"/>
  <c r="N46" i="22"/>
  <c r="N38" i="22"/>
  <c r="N8" i="22"/>
  <c r="N20" i="22"/>
  <c r="N9" i="22"/>
  <c r="N39" i="22"/>
  <c r="N21" i="22"/>
  <c r="N33" i="22"/>
  <c r="N28" i="22"/>
  <c r="H41" i="22"/>
  <c r="N40" i="22"/>
  <c r="N34" i="22"/>
  <c r="N29" i="22"/>
  <c r="N14" i="22"/>
  <c r="N6" i="22"/>
  <c r="N24" i="22"/>
  <c r="L36" i="22"/>
  <c r="L41" i="22"/>
  <c r="N35" i="22"/>
  <c r="N50" i="22"/>
  <c r="N25" i="22"/>
  <c r="N16" i="22"/>
  <c r="N12" i="22"/>
  <c r="H35" i="22"/>
  <c r="H11" i="22"/>
  <c r="L7" i="22"/>
  <c r="H50" i="22"/>
  <c r="H25" i="22"/>
  <c r="H16" i="22"/>
  <c r="H9" i="22"/>
  <c r="H24" i="22"/>
  <c r="H36" i="22"/>
  <c r="N27" i="22"/>
  <c r="N17" i="22"/>
  <c r="N13" i="22"/>
  <c r="N23" i="22"/>
  <c r="N31" i="22"/>
  <c r="N22" i="22"/>
  <c r="N37" i="22"/>
  <c r="N26" i="22"/>
  <c r="H14" i="22"/>
  <c r="H21" i="22"/>
  <c r="H12" i="22"/>
  <c r="N47" i="22"/>
  <c r="N7" i="22"/>
  <c r="H27" i="22"/>
  <c r="H47" i="22"/>
  <c r="H7" i="22"/>
  <c r="H13" i="22"/>
  <c r="H23" i="22"/>
  <c r="H31" i="22"/>
  <c r="H22" i="22"/>
  <c r="H37" i="22"/>
  <c r="H26" i="22"/>
  <c r="H38" i="22"/>
  <c r="H8" i="22"/>
  <c r="H20" i="22"/>
  <c r="H43" i="22"/>
  <c r="H19" i="22"/>
  <c r="H15" i="22"/>
  <c r="H6" i="22"/>
  <c r="H46" i="22"/>
  <c r="H33" i="22"/>
  <c r="H28" i="22"/>
  <c r="H17" i="22"/>
  <c r="L44" i="22"/>
  <c r="H30" i="22"/>
  <c r="H40" i="22"/>
  <c r="H34" i="22"/>
  <c r="H29" i="22"/>
  <c r="H48" i="22"/>
  <c r="H39" i="22"/>
  <c r="H49" i="22"/>
  <c r="H42" i="22"/>
  <c r="H32" i="22"/>
  <c r="H18" i="22"/>
  <c r="H45" i="22"/>
  <c r="N41" i="22"/>
  <c r="D95" i="1" l="1"/>
  <c r="F5" i="7"/>
  <c r="F24" i="7"/>
  <c r="Q53" i="13" l="1"/>
  <c r="R53" i="13"/>
  <c r="S53" i="13"/>
  <c r="T53" i="13"/>
  <c r="U53" i="13"/>
  <c r="P53" i="13"/>
  <c r="P52" i="13"/>
  <c r="Q52" i="13"/>
  <c r="R52" i="13"/>
  <c r="S52" i="13"/>
  <c r="T52" i="13"/>
  <c r="U52" i="13"/>
  <c r="G13" i="15" l="1"/>
  <c r="N13" i="15"/>
  <c r="H13" i="15"/>
  <c r="I13" i="15"/>
  <c r="J13" i="15" s="1"/>
  <c r="K13" i="15"/>
  <c r="L13" i="15" s="1"/>
  <c r="C81" i="8" l="1"/>
  <c r="E62" i="8"/>
  <c r="T22" i="21" l="1"/>
  <c r="U27" i="21"/>
  <c r="T21" i="21"/>
  <c r="P17" i="20" l="1"/>
  <c r="P16" i="20"/>
  <c r="P15" i="20"/>
  <c r="P12" i="20"/>
  <c r="P14" i="20"/>
  <c r="P11" i="20"/>
  <c r="P9" i="20"/>
  <c r="P13" i="20"/>
  <c r="P7" i="20"/>
  <c r="P8" i="20"/>
  <c r="P6" i="20"/>
  <c r="P10" i="20"/>
  <c r="P5" i="20"/>
  <c r="P4" i="20"/>
  <c r="L19" i="8" l="1"/>
  <c r="T9" i="21" l="1"/>
  <c r="T10" i="21"/>
  <c r="T11" i="21"/>
  <c r="T12" i="21"/>
  <c r="T13" i="21"/>
  <c r="T14" i="21"/>
  <c r="T15" i="21"/>
  <c r="T16" i="21"/>
  <c r="T17" i="21"/>
  <c r="T18" i="21"/>
  <c r="T19" i="21"/>
  <c r="T20" i="21"/>
  <c r="T8" i="21"/>
  <c r="T27" i="21" l="1"/>
  <c r="F22" i="7"/>
  <c r="F9" i="7"/>
  <c r="G77" i="8"/>
  <c r="G76" i="8"/>
  <c r="M9" i="20" l="1"/>
  <c r="M11" i="20"/>
  <c r="M12" i="20"/>
  <c r="F61" i="7" l="1"/>
  <c r="M17" i="20" l="1"/>
  <c r="M16" i="20"/>
  <c r="M15" i="20"/>
  <c r="M14" i="20"/>
  <c r="M13" i="20"/>
  <c r="M7" i="20"/>
  <c r="M8" i="20"/>
  <c r="M6" i="20"/>
  <c r="M10" i="20"/>
  <c r="M5" i="20"/>
  <c r="M4" i="20"/>
  <c r="J17" i="20"/>
  <c r="J16" i="20"/>
  <c r="J15" i="20"/>
  <c r="J12" i="20"/>
  <c r="J14" i="20"/>
  <c r="J11" i="20"/>
  <c r="J9" i="20"/>
  <c r="J13" i="20"/>
  <c r="J7" i="20"/>
  <c r="J8" i="20"/>
  <c r="J6" i="20"/>
  <c r="J10" i="20"/>
  <c r="J5" i="20"/>
  <c r="J4" i="20"/>
  <c r="G4" i="20"/>
  <c r="G5" i="20"/>
  <c r="G10" i="20"/>
  <c r="G6" i="20"/>
  <c r="G8" i="20"/>
  <c r="G7" i="20"/>
  <c r="G13" i="20"/>
  <c r="G9" i="20"/>
  <c r="G11" i="20"/>
  <c r="G14" i="20"/>
  <c r="G12" i="20"/>
  <c r="G15" i="20"/>
  <c r="G16" i="20"/>
  <c r="G17" i="20"/>
  <c r="F49" i="7" l="1"/>
  <c r="F67" i="7" l="1"/>
  <c r="F59" i="7" l="1"/>
  <c r="F60" i="7" l="1"/>
  <c r="F69" i="8" l="1"/>
  <c r="F11" i="7" l="1"/>
  <c r="D80" i="8"/>
  <c r="E80" i="8"/>
  <c r="F80" i="8"/>
  <c r="C80" i="8"/>
  <c r="D79" i="8"/>
  <c r="E79" i="8"/>
  <c r="F79" i="8"/>
  <c r="C79" i="8"/>
  <c r="C20" i="11" l="1"/>
  <c r="D20" i="11"/>
  <c r="E20" i="11"/>
  <c r="M81" i="8" l="1"/>
  <c r="L81" i="8"/>
  <c r="N81" i="8" l="1"/>
  <c r="G83" i="8" l="1"/>
  <c r="G82" i="8"/>
  <c r="G80" i="8"/>
  <c r="G79" i="8"/>
  <c r="G74" i="8"/>
  <c r="G73" i="8"/>
  <c r="G71" i="8"/>
  <c r="G70" i="8"/>
  <c r="G68" i="8"/>
  <c r="G67" i="8"/>
  <c r="F81" i="8"/>
  <c r="E81" i="8"/>
  <c r="D81" i="8"/>
  <c r="F75" i="8"/>
  <c r="E75" i="8"/>
  <c r="D75" i="8"/>
  <c r="C75" i="8"/>
  <c r="F72" i="8"/>
  <c r="E72" i="8"/>
  <c r="D72" i="8"/>
  <c r="C72" i="8"/>
  <c r="E69" i="8"/>
  <c r="D69" i="8"/>
  <c r="C69" i="8"/>
  <c r="F66" i="8"/>
  <c r="E66" i="8"/>
  <c r="D66" i="8"/>
  <c r="C66" i="8"/>
  <c r="F80" i="2"/>
  <c r="C80" i="2"/>
  <c r="C83" i="2"/>
  <c r="C86" i="2"/>
  <c r="E80" i="2"/>
  <c r="D80" i="2"/>
  <c r="F83" i="2"/>
  <c r="C93" i="2"/>
  <c r="D93" i="2"/>
  <c r="E93" i="2"/>
  <c r="F93" i="2"/>
  <c r="C94" i="2"/>
  <c r="D94" i="2"/>
  <c r="E94" i="2"/>
  <c r="F94" i="2"/>
  <c r="C95" i="2"/>
  <c r="G95" i="2" s="1"/>
  <c r="D95" i="2"/>
  <c r="E95" i="2"/>
  <c r="F95" i="2"/>
  <c r="G96" i="2"/>
  <c r="G97" i="2"/>
  <c r="C98" i="2"/>
  <c r="D98" i="2"/>
  <c r="E98" i="2"/>
  <c r="F98" i="2"/>
  <c r="G99" i="2"/>
  <c r="G100" i="2"/>
  <c r="F89" i="2"/>
  <c r="E89" i="2"/>
  <c r="D89" i="2"/>
  <c r="C89" i="2"/>
  <c r="G89" i="2" s="1"/>
  <c r="F86" i="2"/>
  <c r="E86" i="2"/>
  <c r="D86" i="2"/>
  <c r="D83" i="2"/>
  <c r="E83" i="2"/>
  <c r="G81" i="2"/>
  <c r="G82" i="2"/>
  <c r="G84" i="2"/>
  <c r="G85" i="2"/>
  <c r="G87" i="2"/>
  <c r="G88" i="2"/>
  <c r="G90" i="2"/>
  <c r="G91" i="2"/>
  <c r="G80" i="2" l="1"/>
  <c r="F92" i="2"/>
  <c r="D92" i="2"/>
  <c r="G75" i="8"/>
  <c r="F78" i="8"/>
  <c r="G81" i="8"/>
  <c r="E78" i="8"/>
  <c r="D78" i="8"/>
  <c r="C78" i="8"/>
  <c r="G69" i="8"/>
  <c r="G72" i="8"/>
  <c r="G66" i="8"/>
  <c r="G98" i="2"/>
  <c r="C92" i="2"/>
  <c r="G94" i="2"/>
  <c r="G86" i="2"/>
  <c r="G93" i="2"/>
  <c r="E92" i="2"/>
  <c r="G83" i="2"/>
  <c r="E84" i="8" l="1"/>
  <c r="G92" i="2"/>
  <c r="G78" i="8"/>
  <c r="F14" i="7" l="1"/>
  <c r="N21" i="15" l="1"/>
  <c r="K21" i="15"/>
  <c r="L21" i="15" s="1"/>
  <c r="I21" i="15"/>
  <c r="J21" i="15" s="1"/>
  <c r="H21" i="15"/>
  <c r="G21" i="15"/>
  <c r="N23" i="15"/>
  <c r="K23" i="15"/>
  <c r="L23" i="15" s="1"/>
  <c r="I23" i="15"/>
  <c r="J23" i="15" s="1"/>
  <c r="H23" i="15"/>
  <c r="G23" i="15"/>
  <c r="N28" i="15"/>
  <c r="K28" i="15"/>
  <c r="L28" i="15" s="1"/>
  <c r="I28" i="15"/>
  <c r="J28" i="15" s="1"/>
  <c r="H28" i="15"/>
  <c r="G28" i="15"/>
  <c r="N39" i="15"/>
  <c r="K39" i="15"/>
  <c r="L39" i="15" s="1"/>
  <c r="I39" i="15"/>
  <c r="J39" i="15" s="1"/>
  <c r="H39" i="15"/>
  <c r="G39" i="15"/>
  <c r="N4" i="15"/>
  <c r="K4" i="15"/>
  <c r="L4" i="15" s="1"/>
  <c r="I4" i="15"/>
  <c r="J4" i="15" s="1"/>
  <c r="H4" i="15"/>
  <c r="G4" i="15"/>
  <c r="N17" i="15"/>
  <c r="K17" i="15"/>
  <c r="L17" i="15" s="1"/>
  <c r="I17" i="15"/>
  <c r="J17" i="15" s="1"/>
  <c r="H17" i="15"/>
  <c r="G17" i="15"/>
  <c r="N46" i="15"/>
  <c r="K46" i="15"/>
  <c r="L46" i="15" s="1"/>
  <c r="I46" i="15"/>
  <c r="J46" i="15" s="1"/>
  <c r="H46" i="15"/>
  <c r="G46" i="15"/>
  <c r="N33" i="15"/>
  <c r="K33" i="15"/>
  <c r="L33" i="15" s="1"/>
  <c r="I33" i="15"/>
  <c r="J33" i="15" s="1"/>
  <c r="H33" i="15"/>
  <c r="G33" i="15"/>
  <c r="N31" i="15"/>
  <c r="K31" i="15"/>
  <c r="L31" i="15" s="1"/>
  <c r="I31" i="15"/>
  <c r="J31" i="15" s="1"/>
  <c r="H31" i="15"/>
  <c r="G31" i="15"/>
  <c r="N37" i="15"/>
  <c r="K37" i="15"/>
  <c r="L37" i="15" s="1"/>
  <c r="I37" i="15"/>
  <c r="J37" i="15" s="1"/>
  <c r="H37" i="15"/>
  <c r="G37" i="15"/>
  <c r="N34" i="15"/>
  <c r="K34" i="15"/>
  <c r="L34" i="15" s="1"/>
  <c r="I34" i="15"/>
  <c r="J34" i="15" s="1"/>
  <c r="H34" i="15"/>
  <c r="G34" i="15"/>
  <c r="N36" i="15"/>
  <c r="K36" i="15"/>
  <c r="L36" i="15" s="1"/>
  <c r="I36" i="15"/>
  <c r="J36" i="15" s="1"/>
  <c r="H36" i="15"/>
  <c r="G36" i="15"/>
  <c r="N64" i="15"/>
  <c r="K64" i="15"/>
  <c r="L64" i="15" s="1"/>
  <c r="I64" i="15"/>
  <c r="J64" i="15" s="1"/>
  <c r="H64" i="15"/>
  <c r="G64" i="15"/>
  <c r="N10" i="15"/>
  <c r="K10" i="15"/>
  <c r="L10" i="15" s="1"/>
  <c r="I10" i="15"/>
  <c r="J10" i="15" s="1"/>
  <c r="H10" i="15"/>
  <c r="G10" i="15"/>
  <c r="N6" i="15"/>
  <c r="K6" i="15"/>
  <c r="L6" i="15" s="1"/>
  <c r="I6" i="15"/>
  <c r="J6" i="15" s="1"/>
  <c r="H6" i="15"/>
  <c r="G6" i="15"/>
  <c r="N51" i="15"/>
  <c r="K51" i="15"/>
  <c r="L51" i="15" s="1"/>
  <c r="I51" i="15"/>
  <c r="J51" i="15" s="1"/>
  <c r="H51" i="15"/>
  <c r="G51" i="15"/>
  <c r="N32" i="15"/>
  <c r="K32" i="15"/>
  <c r="L32" i="15" s="1"/>
  <c r="I32" i="15"/>
  <c r="J32" i="15" s="1"/>
  <c r="H32" i="15"/>
  <c r="G32" i="15"/>
  <c r="N12" i="15"/>
  <c r="K12" i="15"/>
  <c r="L12" i="15" s="1"/>
  <c r="I12" i="15"/>
  <c r="J12" i="15" s="1"/>
  <c r="H12" i="15"/>
  <c r="G12" i="15"/>
  <c r="N8" i="15"/>
  <c r="K8" i="15"/>
  <c r="L8" i="15" s="1"/>
  <c r="I8" i="15"/>
  <c r="J8" i="15" s="1"/>
  <c r="H8" i="15"/>
  <c r="G8" i="15"/>
  <c r="N27" i="15"/>
  <c r="K27" i="15"/>
  <c r="L27" i="15" s="1"/>
  <c r="I27" i="15"/>
  <c r="J27" i="15" s="1"/>
  <c r="H27" i="15"/>
  <c r="G27" i="15"/>
  <c r="N24" i="15"/>
  <c r="K24" i="15"/>
  <c r="L24" i="15" s="1"/>
  <c r="I24" i="15"/>
  <c r="J24" i="15" s="1"/>
  <c r="H24" i="15"/>
  <c r="G24" i="15"/>
  <c r="N41" i="15"/>
  <c r="K41" i="15"/>
  <c r="L41" i="15" s="1"/>
  <c r="I41" i="15"/>
  <c r="J41" i="15" s="1"/>
  <c r="H41" i="15"/>
  <c r="G41" i="15"/>
  <c r="N45" i="15"/>
  <c r="K45" i="15"/>
  <c r="L45" i="15" s="1"/>
  <c r="I45" i="15"/>
  <c r="J45" i="15" s="1"/>
  <c r="H45" i="15"/>
  <c r="G45" i="15"/>
  <c r="N44" i="15"/>
  <c r="K44" i="15"/>
  <c r="L44" i="15" s="1"/>
  <c r="I44" i="15"/>
  <c r="J44" i="15" s="1"/>
  <c r="H44" i="15"/>
  <c r="G44" i="15"/>
  <c r="N52" i="15"/>
  <c r="K52" i="15"/>
  <c r="L52" i="15" s="1"/>
  <c r="I52" i="15"/>
  <c r="J52" i="15" s="1"/>
  <c r="H52" i="15"/>
  <c r="G52" i="15"/>
  <c r="N42" i="15"/>
  <c r="K42" i="15"/>
  <c r="L42" i="15" s="1"/>
  <c r="I42" i="15"/>
  <c r="J42" i="15" s="1"/>
  <c r="H42" i="15"/>
  <c r="G42" i="15"/>
  <c r="N40" i="15"/>
  <c r="K40" i="15"/>
  <c r="L40" i="15" s="1"/>
  <c r="I40" i="15"/>
  <c r="J40" i="15" s="1"/>
  <c r="H40" i="15"/>
  <c r="G40" i="15"/>
  <c r="N5" i="15"/>
  <c r="K5" i="15"/>
  <c r="L5" i="15" s="1"/>
  <c r="I5" i="15"/>
  <c r="J5" i="15" s="1"/>
  <c r="H5" i="15"/>
  <c r="G5" i="15"/>
  <c r="N7" i="15"/>
  <c r="K7" i="15"/>
  <c r="L7" i="15" s="1"/>
  <c r="I7" i="15"/>
  <c r="J7" i="15" s="1"/>
  <c r="H7" i="15"/>
  <c r="G7" i="15"/>
  <c r="N9" i="15"/>
  <c r="K9" i="15"/>
  <c r="L9" i="15" s="1"/>
  <c r="I9" i="15"/>
  <c r="J9" i="15" s="1"/>
  <c r="H9" i="15"/>
  <c r="G9" i="15"/>
  <c r="N11" i="15"/>
  <c r="K11" i="15"/>
  <c r="L11" i="15" s="1"/>
  <c r="I11" i="15"/>
  <c r="J11" i="15" s="1"/>
  <c r="H11" i="15"/>
  <c r="G11" i="15"/>
  <c r="N29" i="15"/>
  <c r="K29" i="15"/>
  <c r="L29" i="15" s="1"/>
  <c r="I29" i="15"/>
  <c r="J29" i="15" s="1"/>
  <c r="H29" i="15"/>
  <c r="G29" i="15"/>
  <c r="N48" i="15"/>
  <c r="K48" i="15"/>
  <c r="L48" i="15" s="1"/>
  <c r="I48" i="15"/>
  <c r="J48" i="15" s="1"/>
  <c r="H48" i="15"/>
  <c r="G48" i="15"/>
  <c r="N57" i="15"/>
  <c r="K57" i="15"/>
  <c r="L57" i="15" s="1"/>
  <c r="I57" i="15"/>
  <c r="J57" i="15" s="1"/>
  <c r="H57" i="15"/>
  <c r="G57" i="15"/>
  <c r="N16" i="15"/>
  <c r="K16" i="15"/>
  <c r="L16" i="15" s="1"/>
  <c r="I16" i="15"/>
  <c r="J16" i="15" s="1"/>
  <c r="H16" i="15"/>
  <c r="G16" i="15"/>
  <c r="N15" i="15"/>
  <c r="K15" i="15"/>
  <c r="L15" i="15" s="1"/>
  <c r="I15" i="15"/>
  <c r="J15" i="15" s="1"/>
  <c r="H15" i="15"/>
  <c r="G15" i="15"/>
  <c r="N35" i="15"/>
  <c r="K35" i="15"/>
  <c r="L35" i="15" s="1"/>
  <c r="I35" i="15"/>
  <c r="J35" i="15" s="1"/>
  <c r="H35" i="15"/>
  <c r="G35" i="15"/>
  <c r="N38" i="15"/>
  <c r="K38" i="15"/>
  <c r="L38" i="15" s="1"/>
  <c r="I38" i="15"/>
  <c r="J38" i="15" s="1"/>
  <c r="H38" i="15"/>
  <c r="G38" i="15"/>
  <c r="N43" i="15"/>
  <c r="K43" i="15"/>
  <c r="L43" i="15" s="1"/>
  <c r="I43" i="15"/>
  <c r="J43" i="15" s="1"/>
  <c r="H43" i="15"/>
  <c r="G43" i="15"/>
  <c r="N47" i="15"/>
  <c r="K47" i="15"/>
  <c r="L47" i="15" s="1"/>
  <c r="I47" i="15"/>
  <c r="J47" i="15" s="1"/>
  <c r="H47" i="15"/>
  <c r="G47" i="15"/>
  <c r="N50" i="15"/>
  <c r="K50" i="15"/>
  <c r="L50" i="15" s="1"/>
  <c r="I50" i="15"/>
  <c r="J50" i="15" s="1"/>
  <c r="H50" i="15"/>
  <c r="G50" i="15"/>
  <c r="N53" i="15"/>
  <c r="K53" i="15"/>
  <c r="L53" i="15" s="1"/>
  <c r="I53" i="15"/>
  <c r="J53" i="15" s="1"/>
  <c r="H53" i="15"/>
  <c r="G53" i="15"/>
  <c r="N54" i="15"/>
  <c r="K54" i="15"/>
  <c r="L54" i="15" s="1"/>
  <c r="I54" i="15"/>
  <c r="J54" i="15" s="1"/>
  <c r="H54" i="15"/>
  <c r="G54" i="15"/>
  <c r="N55" i="15"/>
  <c r="K55" i="15"/>
  <c r="L55" i="15" s="1"/>
  <c r="I55" i="15"/>
  <c r="J55" i="15" s="1"/>
  <c r="H55" i="15"/>
  <c r="G55" i="15"/>
  <c r="N56" i="15"/>
  <c r="K56" i="15"/>
  <c r="L56" i="15" s="1"/>
  <c r="I56" i="15"/>
  <c r="J56" i="15" s="1"/>
  <c r="H56" i="15"/>
  <c r="G56" i="15"/>
  <c r="N14" i="15"/>
  <c r="K14" i="15"/>
  <c r="L14" i="15" s="1"/>
  <c r="I14" i="15"/>
  <c r="J14" i="15" s="1"/>
  <c r="H14" i="15"/>
  <c r="G14" i="15"/>
  <c r="N19" i="15"/>
  <c r="K19" i="15"/>
  <c r="L19" i="15" s="1"/>
  <c r="I19" i="15"/>
  <c r="J19" i="15" s="1"/>
  <c r="H19" i="15"/>
  <c r="G19" i="15"/>
  <c r="N26" i="15"/>
  <c r="K26" i="15"/>
  <c r="L26" i="15" s="1"/>
  <c r="I26" i="15"/>
  <c r="J26" i="15" s="1"/>
  <c r="H26" i="15"/>
  <c r="G26" i="15"/>
  <c r="N58" i="15"/>
  <c r="K58" i="15"/>
  <c r="L58" i="15" s="1"/>
  <c r="I58" i="15"/>
  <c r="J58" i="15" s="1"/>
  <c r="H58" i="15"/>
  <c r="G58" i="15"/>
  <c r="N60" i="15"/>
  <c r="K60" i="15"/>
  <c r="L60" i="15" s="1"/>
  <c r="I60" i="15"/>
  <c r="J60" i="15" s="1"/>
  <c r="H60" i="15"/>
  <c r="G60" i="15"/>
  <c r="N59" i="15"/>
  <c r="K59" i="15"/>
  <c r="L59" i="15" s="1"/>
  <c r="I59" i="15"/>
  <c r="J59" i="15" s="1"/>
  <c r="H59" i="15"/>
  <c r="G59" i="15"/>
  <c r="N61" i="15"/>
  <c r="K61" i="15"/>
  <c r="L61" i="15" s="1"/>
  <c r="I61" i="15"/>
  <c r="J61" i="15" s="1"/>
  <c r="H61" i="15"/>
  <c r="G61" i="15"/>
  <c r="N49" i="15"/>
  <c r="K49" i="15"/>
  <c r="L49" i="15" s="1"/>
  <c r="I49" i="15"/>
  <c r="J49" i="15" s="1"/>
  <c r="H49" i="15"/>
  <c r="G49" i="15"/>
  <c r="N18" i="15"/>
  <c r="K18" i="15"/>
  <c r="L18" i="15" s="1"/>
  <c r="I18" i="15"/>
  <c r="J18" i="15" s="1"/>
  <c r="H18" i="15"/>
  <c r="G18" i="15"/>
  <c r="N22" i="15"/>
  <c r="K22" i="15"/>
  <c r="L22" i="15" s="1"/>
  <c r="I22" i="15"/>
  <c r="J22" i="15" s="1"/>
  <c r="H22" i="15"/>
  <c r="G22" i="15"/>
  <c r="N62" i="15"/>
  <c r="K62" i="15"/>
  <c r="L62" i="15" s="1"/>
  <c r="I62" i="15"/>
  <c r="J62" i="15" s="1"/>
  <c r="H62" i="15"/>
  <c r="G62" i="15"/>
  <c r="N63" i="15"/>
  <c r="K63" i="15"/>
  <c r="L63" i="15" s="1"/>
  <c r="I63" i="15"/>
  <c r="J63" i="15" s="1"/>
  <c r="H63" i="15"/>
  <c r="G63" i="15"/>
  <c r="N30" i="15"/>
  <c r="K30" i="15"/>
  <c r="L30" i="15" s="1"/>
  <c r="I30" i="15"/>
  <c r="J30" i="15" s="1"/>
  <c r="H30" i="15"/>
  <c r="G30" i="15"/>
  <c r="N25" i="15"/>
  <c r="K25" i="15"/>
  <c r="L25" i="15" s="1"/>
  <c r="I25" i="15"/>
  <c r="J25" i="15" s="1"/>
  <c r="H25" i="15"/>
  <c r="G25" i="15"/>
  <c r="G708" i="14"/>
  <c r="G707" i="14"/>
  <c r="G706" i="14"/>
  <c r="G705" i="14"/>
  <c r="G704" i="14"/>
  <c r="G703" i="14"/>
  <c r="G702" i="14"/>
  <c r="G701" i="14"/>
  <c r="G700" i="14"/>
  <c r="G698" i="14"/>
  <c r="G697" i="14"/>
  <c r="G686" i="14"/>
  <c r="G685" i="14"/>
  <c r="G684" i="14"/>
  <c r="G683" i="14"/>
  <c r="G682" i="14"/>
  <c r="G681" i="14"/>
  <c r="G680" i="14"/>
  <c r="G679" i="14"/>
  <c r="G678" i="14"/>
  <c r="G676" i="14"/>
  <c r="G675" i="14"/>
  <c r="G663" i="14"/>
  <c r="G661" i="14"/>
  <c r="G659" i="14"/>
  <c r="G658" i="14"/>
  <c r="G657" i="14"/>
  <c r="G656" i="14"/>
  <c r="G655" i="14"/>
  <c r="G654" i="14"/>
  <c r="G652" i="14"/>
  <c r="G651" i="14"/>
  <c r="G639" i="14"/>
  <c r="G638" i="14"/>
  <c r="G637" i="14"/>
  <c r="G636" i="14"/>
  <c r="G635" i="14"/>
  <c r="G634" i="14"/>
  <c r="G633" i="14"/>
  <c r="G631" i="14"/>
  <c r="G630" i="14"/>
  <c r="G629" i="14"/>
  <c r="G621" i="14"/>
  <c r="G619" i="14"/>
  <c r="G618" i="14"/>
  <c r="G617" i="14"/>
  <c r="G616" i="14"/>
  <c r="G615" i="14"/>
  <c r="G614" i="14"/>
  <c r="G613" i="14"/>
  <c r="G612" i="14"/>
  <c r="G611" i="14"/>
  <c r="G601" i="14"/>
  <c r="G600" i="14"/>
  <c r="G599" i="14"/>
  <c r="G598" i="14"/>
  <c r="G597" i="14"/>
  <c r="G596" i="14"/>
  <c r="G595" i="14"/>
  <c r="G594" i="14"/>
  <c r="G593" i="14"/>
  <c r="G592" i="14"/>
  <c r="G591" i="14"/>
  <c r="G590" i="14"/>
  <c r="G589" i="14"/>
  <c r="G583" i="14"/>
  <c r="G582" i="14"/>
  <c r="G581" i="14"/>
  <c r="G580" i="14"/>
  <c r="G579" i="14"/>
  <c r="G578" i="14"/>
  <c r="G577" i="14"/>
  <c r="G576" i="14"/>
  <c r="G575" i="14"/>
  <c r="G574" i="14"/>
  <c r="G573" i="14"/>
  <c r="G572" i="14"/>
  <c r="G571" i="14"/>
  <c r="G566" i="14"/>
  <c r="G563" i="14"/>
  <c r="G562" i="14"/>
  <c r="G561" i="14"/>
  <c r="G560" i="14"/>
  <c r="G559" i="14"/>
  <c r="G558" i="14"/>
  <c r="G557" i="14"/>
  <c r="G556" i="14"/>
  <c r="G555" i="14"/>
  <c r="G554" i="14"/>
  <c r="G553" i="14"/>
  <c r="G552" i="14"/>
  <c r="G551" i="14"/>
  <c r="G545" i="14"/>
  <c r="G544" i="14"/>
  <c r="G543" i="14"/>
  <c r="G542" i="14"/>
  <c r="G541" i="14"/>
  <c r="G540" i="14"/>
  <c r="G539" i="14"/>
  <c r="G538" i="14"/>
  <c r="G537" i="14"/>
  <c r="G536" i="14"/>
  <c r="G535" i="14"/>
  <c r="G534" i="14"/>
  <c r="G533" i="14"/>
  <c r="G526" i="14"/>
  <c r="G523" i="14"/>
  <c r="G522" i="14"/>
  <c r="G521" i="14"/>
  <c r="G520" i="14"/>
  <c r="G519" i="14"/>
  <c r="G518" i="14"/>
  <c r="G517" i="14"/>
  <c r="G516" i="14"/>
  <c r="G515" i="14"/>
  <c r="G514" i="14"/>
  <c r="G513" i="14"/>
  <c r="G512" i="14"/>
  <c r="G511" i="14"/>
  <c r="G499" i="14"/>
  <c r="G497" i="14"/>
  <c r="G496" i="14"/>
  <c r="G495" i="14"/>
  <c r="G494" i="14"/>
  <c r="G492" i="14"/>
  <c r="G491" i="14"/>
  <c r="G490" i="14"/>
  <c r="G487" i="14"/>
  <c r="T74" i="4" l="1"/>
  <c r="R74" i="4"/>
  <c r="P74" i="4"/>
  <c r="P75" i="4" s="1"/>
  <c r="O74" i="4"/>
  <c r="O75" i="4" s="1"/>
  <c r="M62" i="4"/>
  <c r="K62" i="4"/>
  <c r="I62" i="4"/>
  <c r="G62" i="4"/>
  <c r="F62" i="4"/>
  <c r="E62" i="4"/>
  <c r="D62" i="4"/>
  <c r="M61" i="4"/>
  <c r="K61" i="4"/>
  <c r="I61" i="4"/>
  <c r="G61" i="4"/>
  <c r="F61" i="4"/>
  <c r="E61" i="4"/>
  <c r="D61" i="4"/>
  <c r="R99" i="4"/>
  <c r="R98" i="4"/>
  <c r="R97" i="4"/>
  <c r="Q99" i="4"/>
  <c r="Q98" i="4"/>
  <c r="Q97" i="4"/>
  <c r="P99" i="4"/>
  <c r="P98" i="4"/>
  <c r="P97" i="4"/>
  <c r="O99" i="4"/>
  <c r="O98" i="4"/>
  <c r="O97" i="4"/>
  <c r="S97" i="4" s="1"/>
  <c r="T99" i="4"/>
  <c r="T98" i="4"/>
  <c r="T97" i="4"/>
  <c r="T75" i="4"/>
  <c r="R75" i="4"/>
  <c r="Q74" i="4"/>
  <c r="Q75" i="4" s="1"/>
  <c r="M128" i="4"/>
  <c r="K128" i="4"/>
  <c r="I128" i="4"/>
  <c r="E128" i="4"/>
  <c r="F128" i="4"/>
  <c r="G128" i="4"/>
  <c r="D128" i="4"/>
  <c r="S99" i="4" l="1"/>
  <c r="J61" i="4"/>
  <c r="U99" i="4"/>
  <c r="U97" i="4"/>
  <c r="H61" i="4"/>
  <c r="U98" i="4"/>
  <c r="S98" i="4"/>
  <c r="L62" i="4"/>
  <c r="L61" i="4"/>
  <c r="J62" i="4"/>
  <c r="H128" i="4"/>
  <c r="H62" i="4"/>
  <c r="U75" i="4"/>
  <c r="S75" i="4"/>
  <c r="S74" i="4"/>
  <c r="U74" i="4"/>
  <c r="L128" i="4"/>
  <c r="J128" i="4"/>
  <c r="D94" i="1"/>
  <c r="F3" i="7" l="1"/>
  <c r="F6" i="7"/>
  <c r="F62" i="7" l="1"/>
  <c r="F48" i="7" l="1"/>
  <c r="D66" i="1" l="1"/>
  <c r="M99" i="4" l="1"/>
  <c r="M98" i="4"/>
  <c r="M97" i="4"/>
  <c r="K99" i="4"/>
  <c r="K98" i="4"/>
  <c r="K97" i="4"/>
  <c r="I99" i="4"/>
  <c r="I98" i="4"/>
  <c r="I97" i="4"/>
  <c r="E97" i="4"/>
  <c r="F97" i="4"/>
  <c r="G97" i="4"/>
  <c r="E98" i="4"/>
  <c r="F98" i="4"/>
  <c r="G98" i="4"/>
  <c r="E99" i="4"/>
  <c r="F99" i="4"/>
  <c r="G99" i="4"/>
  <c r="D99" i="4"/>
  <c r="D98" i="4"/>
  <c r="D97" i="4"/>
  <c r="D101" i="4" s="1"/>
  <c r="M74" i="4"/>
  <c r="M75" i="4" s="1"/>
  <c r="K74" i="4"/>
  <c r="I74" i="4"/>
  <c r="E74" i="4"/>
  <c r="E75" i="4" s="1"/>
  <c r="F74" i="4"/>
  <c r="F75" i="4" s="1"/>
  <c r="G74" i="4"/>
  <c r="G75" i="4" s="1"/>
  <c r="D74" i="4"/>
  <c r="D75" i="4" s="1"/>
  <c r="E101" i="4" l="1"/>
  <c r="H98" i="4"/>
  <c r="L98" i="4"/>
  <c r="J97" i="4"/>
  <c r="H97" i="4"/>
  <c r="J98" i="4"/>
  <c r="L99" i="4"/>
  <c r="J99" i="4"/>
  <c r="H99" i="4"/>
  <c r="L97" i="4"/>
  <c r="I75" i="4"/>
  <c r="J75" i="4" s="1"/>
  <c r="J74" i="4"/>
  <c r="K75" i="4"/>
  <c r="L75" i="4" s="1"/>
  <c r="L74" i="4"/>
  <c r="H75" i="4"/>
  <c r="H74" i="4"/>
  <c r="F12" i="7"/>
  <c r="F41" i="7"/>
  <c r="F69" i="7"/>
  <c r="F39" i="7" l="1"/>
  <c r="U33" i="8" l="1"/>
  <c r="V33" i="8"/>
  <c r="V36" i="8" s="1"/>
  <c r="U21" i="8"/>
  <c r="V21" i="8"/>
  <c r="U36" i="8" s="1"/>
  <c r="E8" i="4" l="1"/>
  <c r="E6" i="4"/>
  <c r="E44" i="4"/>
  <c r="E26" i="4"/>
  <c r="D43" i="4" l="1"/>
  <c r="D45" i="4"/>
  <c r="E45" i="4"/>
  <c r="F45" i="4"/>
  <c r="G45" i="4"/>
  <c r="I45" i="4"/>
  <c r="K45" i="4"/>
  <c r="M45" i="4"/>
  <c r="D38" i="4"/>
  <c r="E38" i="4"/>
  <c r="F38" i="4"/>
  <c r="G38" i="4"/>
  <c r="I38" i="4"/>
  <c r="K38" i="4"/>
  <c r="M38" i="4"/>
  <c r="D15" i="4"/>
  <c r="E15" i="4"/>
  <c r="F15" i="4"/>
  <c r="G15" i="4"/>
  <c r="I15" i="4"/>
  <c r="K15" i="4"/>
  <c r="M15" i="4"/>
  <c r="D14" i="4"/>
  <c r="E14" i="4"/>
  <c r="F14" i="4"/>
  <c r="G14" i="4"/>
  <c r="I14" i="4"/>
  <c r="K14" i="4"/>
  <c r="M14" i="4"/>
  <c r="D9" i="4"/>
  <c r="E9" i="4"/>
  <c r="F9" i="4"/>
  <c r="G9" i="4"/>
  <c r="I9" i="4"/>
  <c r="K9" i="4"/>
  <c r="M9" i="4"/>
  <c r="D34" i="4"/>
  <c r="E34" i="4"/>
  <c r="F34" i="4"/>
  <c r="G34" i="4"/>
  <c r="I34" i="4"/>
  <c r="K34" i="4"/>
  <c r="M34" i="4"/>
  <c r="D26" i="4"/>
  <c r="F26" i="4"/>
  <c r="G26" i="4"/>
  <c r="I26" i="4"/>
  <c r="K26" i="4"/>
  <c r="M26" i="4"/>
  <c r="D18" i="4"/>
  <c r="E18" i="4"/>
  <c r="F18" i="4"/>
  <c r="G18" i="4"/>
  <c r="I18" i="4"/>
  <c r="J18" i="4" s="1"/>
  <c r="K18" i="4"/>
  <c r="M18" i="4"/>
  <c r="D13" i="4"/>
  <c r="E13" i="4"/>
  <c r="F13" i="4"/>
  <c r="G13" i="4"/>
  <c r="I13" i="4"/>
  <c r="K13" i="4"/>
  <c r="M13" i="4"/>
  <c r="D12" i="4"/>
  <c r="E12" i="4"/>
  <c r="F12" i="4"/>
  <c r="G12" i="4"/>
  <c r="I12" i="4"/>
  <c r="K12" i="4"/>
  <c r="M12" i="4"/>
  <c r="E43" i="4"/>
  <c r="F43" i="4"/>
  <c r="G43" i="4"/>
  <c r="I43" i="4"/>
  <c r="K43" i="4"/>
  <c r="M43" i="4"/>
  <c r="D41" i="4"/>
  <c r="E41" i="4"/>
  <c r="F41" i="4"/>
  <c r="G41" i="4"/>
  <c r="I41" i="4"/>
  <c r="K41" i="4"/>
  <c r="M41" i="4"/>
  <c r="D7" i="4"/>
  <c r="E7" i="4"/>
  <c r="F7" i="4"/>
  <c r="G7" i="4"/>
  <c r="I7" i="4"/>
  <c r="K7" i="4"/>
  <c r="M7" i="4"/>
  <c r="D44" i="4"/>
  <c r="F44" i="4"/>
  <c r="G44" i="4"/>
  <c r="I44" i="4"/>
  <c r="K44" i="4"/>
  <c r="M44" i="4"/>
  <c r="D25" i="4"/>
  <c r="E25" i="4"/>
  <c r="F25" i="4"/>
  <c r="G25" i="4"/>
  <c r="I25" i="4"/>
  <c r="K25" i="4"/>
  <c r="M25" i="4"/>
  <c r="D17" i="4"/>
  <c r="E17" i="4"/>
  <c r="F17" i="4"/>
  <c r="G17" i="4"/>
  <c r="I17" i="4"/>
  <c r="K17" i="4"/>
  <c r="M17" i="4"/>
  <c r="D10" i="4"/>
  <c r="E10" i="4"/>
  <c r="F10" i="4"/>
  <c r="G10" i="4"/>
  <c r="I10" i="4"/>
  <c r="K10" i="4"/>
  <c r="M10" i="4"/>
  <c r="D11" i="4"/>
  <c r="E11" i="4"/>
  <c r="F11" i="4"/>
  <c r="G11" i="4"/>
  <c r="I11" i="4"/>
  <c r="K11" i="4"/>
  <c r="M11" i="4"/>
  <c r="D30" i="4"/>
  <c r="E30" i="4"/>
  <c r="F30" i="4"/>
  <c r="G30" i="4"/>
  <c r="I30" i="4"/>
  <c r="K30" i="4"/>
  <c r="M30" i="4"/>
  <c r="D33" i="4"/>
  <c r="E33" i="4"/>
  <c r="F33" i="4"/>
  <c r="G33" i="4"/>
  <c r="I33" i="4"/>
  <c r="K33" i="4"/>
  <c r="M33" i="4"/>
  <c r="D8" i="4"/>
  <c r="F8" i="4"/>
  <c r="G8" i="4"/>
  <c r="I8" i="4"/>
  <c r="K8" i="4"/>
  <c r="L8" i="4" s="1"/>
  <c r="M8" i="4"/>
  <c r="D6" i="4"/>
  <c r="F6" i="4"/>
  <c r="G6" i="4"/>
  <c r="I6" i="4"/>
  <c r="K6" i="4"/>
  <c r="M6" i="4"/>
  <c r="D27" i="4"/>
  <c r="E27" i="4"/>
  <c r="F27" i="4"/>
  <c r="G27" i="4"/>
  <c r="I27" i="4"/>
  <c r="K27" i="4"/>
  <c r="M27" i="4"/>
  <c r="D16" i="4"/>
  <c r="E16" i="4"/>
  <c r="F16" i="4"/>
  <c r="G16" i="4"/>
  <c r="I16" i="4"/>
  <c r="K16" i="4"/>
  <c r="M16" i="4"/>
  <c r="D40" i="4"/>
  <c r="E40" i="4"/>
  <c r="F40" i="4"/>
  <c r="G40" i="4"/>
  <c r="I40" i="4"/>
  <c r="K40" i="4"/>
  <c r="M40" i="4"/>
  <c r="D42" i="4"/>
  <c r="E42" i="4"/>
  <c r="F42" i="4"/>
  <c r="G42" i="4"/>
  <c r="I42" i="4"/>
  <c r="J42" i="4" s="1"/>
  <c r="K42" i="4"/>
  <c r="M42" i="4"/>
  <c r="D24" i="4"/>
  <c r="E24" i="4"/>
  <c r="F24" i="4"/>
  <c r="G24" i="4"/>
  <c r="I24" i="4"/>
  <c r="K24" i="4"/>
  <c r="M24" i="4"/>
  <c r="D39" i="4"/>
  <c r="E39" i="4"/>
  <c r="F39" i="4"/>
  <c r="G39" i="4"/>
  <c r="I39" i="4"/>
  <c r="K39" i="4"/>
  <c r="M39" i="4"/>
  <c r="D36" i="4"/>
  <c r="E36" i="4"/>
  <c r="F36" i="4"/>
  <c r="G36" i="4"/>
  <c r="I36" i="4"/>
  <c r="K36" i="4"/>
  <c r="M36" i="4"/>
  <c r="D32" i="4"/>
  <c r="E32" i="4"/>
  <c r="F32" i="4"/>
  <c r="G32" i="4"/>
  <c r="I32" i="4"/>
  <c r="K32" i="4"/>
  <c r="M32" i="4"/>
  <c r="D37" i="4"/>
  <c r="E37" i="4"/>
  <c r="F37" i="4"/>
  <c r="G37" i="4"/>
  <c r="I37" i="4"/>
  <c r="K37" i="4"/>
  <c r="M37" i="4"/>
  <c r="D20" i="4"/>
  <c r="E20" i="4"/>
  <c r="F20" i="4"/>
  <c r="G20" i="4"/>
  <c r="I20" i="4"/>
  <c r="K20" i="4"/>
  <c r="M20" i="4"/>
  <c r="D29" i="4"/>
  <c r="E29" i="4"/>
  <c r="F29" i="4"/>
  <c r="G29" i="4"/>
  <c r="I29" i="4"/>
  <c r="J29" i="4" s="1"/>
  <c r="K29" i="4"/>
  <c r="M29" i="4"/>
  <c r="D21" i="4"/>
  <c r="E21" i="4"/>
  <c r="F21" i="4"/>
  <c r="G21" i="4"/>
  <c r="I21" i="4"/>
  <c r="K21" i="4"/>
  <c r="M21" i="4"/>
  <c r="D31" i="4"/>
  <c r="E31" i="4"/>
  <c r="F31" i="4"/>
  <c r="G31" i="4"/>
  <c r="I31" i="4"/>
  <c r="K31" i="4"/>
  <c r="M31" i="4"/>
  <c r="D28" i="4"/>
  <c r="E28" i="4"/>
  <c r="F28" i="4"/>
  <c r="G28" i="4"/>
  <c r="I28" i="4"/>
  <c r="J28" i="4" s="1"/>
  <c r="K28" i="4"/>
  <c r="M28" i="4"/>
  <c r="D19" i="4"/>
  <c r="E19" i="4"/>
  <c r="F19" i="4"/>
  <c r="G19" i="4"/>
  <c r="I19" i="4"/>
  <c r="K19" i="4"/>
  <c r="M19" i="4"/>
  <c r="D35" i="4"/>
  <c r="E35" i="4"/>
  <c r="F35" i="4"/>
  <c r="G35" i="4"/>
  <c r="I35" i="4"/>
  <c r="K35" i="4"/>
  <c r="M35" i="4"/>
  <c r="D23" i="4"/>
  <c r="E23" i="4"/>
  <c r="F23" i="4"/>
  <c r="G23" i="4"/>
  <c r="I23" i="4"/>
  <c r="K23" i="4"/>
  <c r="M23" i="4"/>
  <c r="D22" i="4"/>
  <c r="E22" i="4"/>
  <c r="F22" i="4"/>
  <c r="G22" i="4"/>
  <c r="I22" i="4"/>
  <c r="K22" i="4"/>
  <c r="M22" i="4"/>
  <c r="D47" i="4"/>
  <c r="E47" i="4"/>
  <c r="F47" i="4"/>
  <c r="G47" i="4"/>
  <c r="I47" i="4"/>
  <c r="K47" i="4"/>
  <c r="M47" i="4"/>
  <c r="M46" i="4"/>
  <c r="K46" i="4"/>
  <c r="I46" i="4"/>
  <c r="G46" i="4"/>
  <c r="F46" i="4"/>
  <c r="E46" i="4"/>
  <c r="D46" i="4"/>
  <c r="J47" i="4" l="1"/>
  <c r="J21" i="4"/>
  <c r="J33" i="4"/>
  <c r="J38" i="4"/>
  <c r="J35" i="4"/>
  <c r="J17" i="4"/>
  <c r="J12" i="4"/>
  <c r="J15" i="4"/>
  <c r="J27" i="4"/>
  <c r="J10" i="4"/>
  <c r="J16" i="4"/>
  <c r="J40" i="4"/>
  <c r="J30" i="4"/>
  <c r="J34" i="4"/>
  <c r="J39" i="4"/>
  <c r="H6" i="4"/>
  <c r="J31" i="4"/>
  <c r="J11" i="4"/>
  <c r="J36" i="4"/>
  <c r="L47" i="4"/>
  <c r="L19" i="4"/>
  <c r="L29" i="4"/>
  <c r="L36" i="4"/>
  <c r="L40" i="4"/>
  <c r="L34" i="4"/>
  <c r="J37" i="4"/>
  <c r="J6" i="4"/>
  <c r="J23" i="4"/>
  <c r="J19" i="4"/>
  <c r="L10" i="4"/>
  <c r="H11" i="4"/>
  <c r="J7" i="4"/>
  <c r="H32" i="4"/>
  <c r="J14" i="4"/>
  <c r="J8" i="4"/>
  <c r="J44" i="4"/>
  <c r="J32" i="4"/>
  <c r="H35" i="4"/>
  <c r="H21" i="4"/>
  <c r="H42" i="4"/>
  <c r="J26" i="4"/>
  <c r="H44" i="4"/>
  <c r="L7" i="4"/>
  <c r="L12" i="4"/>
  <c r="J25" i="4"/>
  <c r="L46" i="4"/>
  <c r="J22" i="4"/>
  <c r="J9" i="4"/>
  <c r="H46" i="4"/>
  <c r="L22" i="4"/>
  <c r="L28" i="4"/>
  <c r="L20" i="4"/>
  <c r="L39" i="4"/>
  <c r="L16" i="4"/>
  <c r="L33" i="4"/>
  <c r="L17" i="4"/>
  <c r="L41" i="4"/>
  <c r="J43" i="4"/>
  <c r="L13" i="4"/>
  <c r="L9" i="4"/>
  <c r="J24" i="4"/>
  <c r="J13" i="4"/>
  <c r="H12" i="4"/>
  <c r="H34" i="4"/>
  <c r="H38" i="4"/>
  <c r="J20" i="4"/>
  <c r="J41" i="4"/>
  <c r="J45" i="4"/>
  <c r="L18" i="4"/>
  <c r="L14" i="4"/>
  <c r="L35" i="4"/>
  <c r="L21" i="4"/>
  <c r="L32" i="4"/>
  <c r="L42" i="4"/>
  <c r="L6" i="4"/>
  <c r="L11" i="4"/>
  <c r="L44" i="4"/>
  <c r="H45" i="4"/>
  <c r="H22" i="4"/>
  <c r="H9" i="4"/>
  <c r="J46" i="4"/>
  <c r="H28" i="4"/>
  <c r="H20" i="4"/>
  <c r="H39" i="4"/>
  <c r="H16" i="4"/>
  <c r="H33" i="4"/>
  <c r="H17" i="4"/>
  <c r="H41" i="4"/>
  <c r="H18" i="4"/>
  <c r="H14" i="4"/>
  <c r="L38" i="4"/>
  <c r="H47" i="4"/>
  <c r="L23" i="4"/>
  <c r="H19" i="4"/>
  <c r="L31" i="4"/>
  <c r="H29" i="4"/>
  <c r="L37" i="4"/>
  <c r="H36" i="4"/>
  <c r="L24" i="4"/>
  <c r="H40" i="4"/>
  <c r="L27" i="4"/>
  <c r="H8" i="4"/>
  <c r="L30" i="4"/>
  <c r="H10" i="4"/>
  <c r="L25" i="4"/>
  <c r="H7" i="4"/>
  <c r="L43" i="4"/>
  <c r="H13" i="4"/>
  <c r="L26" i="4"/>
  <c r="L15" i="4"/>
  <c r="H23" i="4"/>
  <c r="H31" i="4"/>
  <c r="H37" i="4"/>
  <c r="H24" i="4"/>
  <c r="H27" i="4"/>
  <c r="H30" i="4"/>
  <c r="H25" i="4"/>
  <c r="H43" i="4"/>
  <c r="H26" i="4"/>
  <c r="H15" i="4"/>
  <c r="L45" i="4"/>
  <c r="F46" i="7"/>
  <c r="F42" i="7"/>
  <c r="F38" i="7"/>
  <c r="F37" i="7"/>
  <c r="F32" i="7"/>
  <c r="F19" i="7"/>
  <c r="F57" i="7"/>
  <c r="F26" i="7"/>
  <c r="F47" i="7"/>
  <c r="F54" i="7"/>
  <c r="R44" i="2" l="1"/>
  <c r="R43" i="2"/>
  <c r="R42" i="2"/>
  <c r="R41" i="2"/>
  <c r="R39" i="2"/>
  <c r="R38" i="2"/>
  <c r="R37" i="2"/>
  <c r="Q45" i="2" l="1"/>
  <c r="R29" i="2"/>
  <c r="R28" i="2"/>
  <c r="Q33" i="2"/>
  <c r="R45" i="2" l="1"/>
  <c r="R48" i="2" s="1"/>
  <c r="R33" i="2"/>
  <c r="Q48"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Lánský Jakub (UNP-RPA)</author>
  </authors>
  <commentList>
    <comment ref="A37" authorId="0" shapeId="0" xr:uid="{00000000-0006-0000-0800-000001000000}">
      <text>
        <r>
          <rPr>
            <b/>
            <sz val="9"/>
            <color indexed="81"/>
            <rFont val="Tahoma"/>
            <family val="2"/>
            <charset val="238"/>
          </rPr>
          <t>Lánský Jakub:
Byl zraněn hned v prvním zápase v Pardubicích</t>
        </r>
        <r>
          <rPr>
            <sz val="9"/>
            <color indexed="81"/>
            <rFont val="Tahoma"/>
            <family val="2"/>
            <charset val="238"/>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Lánský Jakub (UNP-RPA)</author>
  </authors>
  <commentList>
    <comment ref="G53" authorId="0" shapeId="0" xr:uid="{00000000-0006-0000-0A00-000001000000}">
      <text>
        <r>
          <rPr>
            <sz val="9"/>
            <color indexed="81"/>
            <rFont val="Tahoma"/>
            <family val="2"/>
            <charset val="238"/>
          </rPr>
          <t xml:space="preserve">
Původně se mělo hrát v Třinci, ale z mimořádných důvodů se hrálo v Litvínově.</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Lánský Jakub (UNP-RPA)</author>
  </authors>
  <commentList>
    <comment ref="M25" authorId="0" shapeId="0" xr:uid="{00000000-0006-0000-1300-000001000000}">
      <text>
        <r>
          <rPr>
            <b/>
            <sz val="9"/>
            <color indexed="81"/>
            <rFont val="Tahoma"/>
            <family val="2"/>
            <charset val="238"/>
          </rPr>
          <t>Ale jen díky skóre. Po 23. a 24. kole měl Litvínov stejně bodů jako Kladno a Budějovice. S oběma aktuálně horší bilance a Budějovice měly 1 zápas k dobru.</t>
        </r>
      </text>
    </comment>
    <comment ref="M26" authorId="0" shapeId="0" xr:uid="{00000000-0006-0000-1300-000002000000}">
      <text>
        <r>
          <rPr>
            <b/>
            <sz val="9"/>
            <color indexed="81"/>
            <rFont val="Tahoma"/>
            <family val="2"/>
            <charset val="238"/>
          </rPr>
          <t>Ale jen díky skóre. Po 23. a 24. kole měl Litvínov stejně bodů jako Kladno a Budějovice. S oběma aktuálně horší bilance a Budějovice měly 1 zápas k dobru.</t>
        </r>
      </text>
    </comment>
    <comment ref="M27" authorId="0" shapeId="0" xr:uid="{00000000-0006-0000-1300-000003000000}">
      <text>
        <r>
          <rPr>
            <b/>
            <sz val="9"/>
            <color indexed="81"/>
            <rFont val="Tahoma"/>
            <family val="2"/>
            <charset val="238"/>
          </rPr>
          <t>Ale jen díky skóre. Po 26. kole měl Litvínov stejně bodů jako Kladno a Budějovice. S oběma aktuálně horší bilance.</t>
        </r>
      </text>
    </comment>
    <comment ref="M28" authorId="0" shapeId="0" xr:uid="{00000000-0006-0000-1300-000004000000}">
      <text>
        <r>
          <rPr>
            <sz val="9"/>
            <color indexed="81"/>
            <rFont val="Tahoma"/>
            <family val="2"/>
            <charset val="238"/>
          </rPr>
          <t xml:space="preserve">Stále stejný počet bodů jako Kladno a Budějovice. Litvínov je 12. kvůli lepšímu skóre, ale vzájemné bilance horší s oběma týmy a Budějovice mají zápas k dobru. </t>
        </r>
      </text>
    </comment>
    <comment ref="M41" authorId="0" shapeId="0" xr:uid="{00000000-0006-0000-1300-000005000000}">
      <text>
        <r>
          <rPr>
            <b/>
            <sz val="9"/>
            <color indexed="81"/>
            <rFont val="Tahoma"/>
            <family val="2"/>
            <charset val="238"/>
          </rPr>
          <t>Lánský Jakub (UNP-RPA):</t>
        </r>
        <r>
          <rPr>
            <sz val="9"/>
            <color indexed="81"/>
            <rFont val="Tahoma"/>
            <family val="2"/>
            <charset val="238"/>
          </rPr>
          <t xml:space="preserve">
Ale hlavně díky celkovému skóre. Stejně bodů jako Brno a Karlovy Vary. Karlovy Vary 1 zápas k dobru. Lepší bilance s Vary a horší s Brnem.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Lánský Jakub (UNP-RPA)</author>
    <author>tc={FC7C568F-3D96-4BE5-A9DE-CF4A4C71A7E0}</author>
    <author>tc={60219049-DE75-4579-82D6-AFEB3347EAAE}</author>
    <author>tc={293DBF07-D282-4DD0-BC06-4E87A4EF1406}</author>
  </authors>
  <commentList>
    <comment ref="W15" authorId="0" shapeId="0" xr:uid="{00000000-0006-0000-1800-000001000000}">
      <text>
        <r>
          <rPr>
            <sz val="9"/>
            <color indexed="81"/>
            <rFont val="Tahoma"/>
            <family val="2"/>
            <charset val="238"/>
          </rPr>
          <t>Mezisoučet 20:09</t>
        </r>
      </text>
    </comment>
    <comment ref="X15" authorId="0" shapeId="0" xr:uid="{00000000-0006-0000-1800-000002000000}">
      <text>
        <r>
          <rPr>
            <sz val="9"/>
            <color indexed="81"/>
            <rFont val="Tahoma"/>
            <family val="2"/>
            <charset val="238"/>
          </rPr>
          <t xml:space="preserve">Mezisoučet 18:13
</t>
        </r>
      </text>
    </comment>
    <comment ref="Y15" authorId="0" shapeId="0" xr:uid="{00000000-0006-0000-1800-000003000000}">
      <text>
        <r>
          <rPr>
            <sz val="9"/>
            <color indexed="81"/>
            <rFont val="Tahoma"/>
            <family val="2"/>
            <charset val="238"/>
          </rPr>
          <t xml:space="preserve">Mezisoučet 10:11
</t>
        </r>
      </text>
    </comment>
    <comment ref="W28" authorId="0" shapeId="0" xr:uid="{00000000-0006-0000-1800-000004000000}">
      <text>
        <r>
          <rPr>
            <b/>
            <sz val="9"/>
            <color indexed="81"/>
            <rFont val="Tahoma"/>
            <family val="2"/>
            <charset val="238"/>
          </rPr>
          <t>Mezisoučet 07:07</t>
        </r>
      </text>
    </comment>
    <comment ref="X28" authorId="0" shapeId="0" xr:uid="{00000000-0006-0000-1800-000005000000}">
      <text>
        <r>
          <rPr>
            <b/>
            <sz val="9"/>
            <color indexed="81"/>
            <rFont val="Tahoma"/>
            <family val="2"/>
            <charset val="238"/>
          </rPr>
          <t>Mezisoučet 11:16</t>
        </r>
      </text>
    </comment>
    <comment ref="Y28" authorId="0" shapeId="0" xr:uid="{00000000-0006-0000-1800-000006000000}">
      <text>
        <r>
          <rPr>
            <b/>
            <sz val="9"/>
            <color indexed="81"/>
            <rFont val="Tahoma"/>
            <family val="2"/>
            <charset val="238"/>
          </rPr>
          <t>Mezisoučet 08:18</t>
        </r>
      </text>
    </comment>
    <comment ref="W41" authorId="0" shapeId="0" xr:uid="{00000000-0006-0000-1800-000007000000}">
      <text>
        <r>
          <rPr>
            <sz val="9"/>
            <color indexed="81"/>
            <rFont val="Tahoma"/>
            <family val="2"/>
            <charset val="238"/>
          </rPr>
          <t>Mezisoučet 15:10</t>
        </r>
      </text>
    </comment>
    <comment ref="X41" authorId="0" shapeId="0" xr:uid="{00000000-0006-0000-1800-000008000000}">
      <text>
        <r>
          <rPr>
            <sz val="9"/>
            <color indexed="81"/>
            <rFont val="Tahoma"/>
            <family val="2"/>
            <charset val="238"/>
          </rPr>
          <t>Mezisoučet 15:14</t>
        </r>
      </text>
    </comment>
    <comment ref="Y41" authorId="0" shapeId="0" xr:uid="{00000000-0006-0000-1800-000009000000}">
      <text>
        <r>
          <rPr>
            <sz val="9"/>
            <color indexed="81"/>
            <rFont val="Tahoma"/>
            <family val="2"/>
            <charset val="238"/>
          </rPr>
          <t>Mezisoučet 12:14</t>
        </r>
      </text>
    </comment>
    <comment ref="W54" authorId="1" shapeId="0" xr:uid="{FC7C568F-3D96-4BE5-A9DE-CF4A4C71A7E0}">
      <text>
        <t>[Komentář ve vlákně]
Vaše verze aplikace Excel vám umožňuje číst tento komentář ve vlákně, ale jakékoli jeho úpravy se odeberou, pokud se soubor otevře v novější verzi aplikace Excel. Další informace: https://go.microsoft.com/fwlink/?linkid=870924
Komentář:
    Mezisoučet: 11:9</t>
      </text>
    </comment>
    <comment ref="X54" authorId="2" shapeId="0" xr:uid="{60219049-DE75-4579-82D6-AFEB3347EAAE}">
      <text>
        <t>[Komentář ve vlákně]
Vaše verze aplikace Excel vám umožňuje číst tento komentář ve vlákně, ale jakékoli jeho úpravy se odeberou, pokud se soubor otevře v novější verzi aplikace Excel. Další informace: https://go.microsoft.com/fwlink/?linkid=870924
Komentář:
    Mezisoučet: 17:20</t>
      </text>
    </comment>
    <comment ref="Y54" authorId="3" shapeId="0" xr:uid="{293DBF07-D282-4DD0-BC06-4E87A4EF1406}">
      <text>
        <t>[Komentář ve vlákně]
Vaše verze aplikace Excel vám umožňuje číst tento komentář ve vlákně, ale jakékoli jeho úpravy se odeberou, pokud se soubor otevře v novější verzi aplikace Excel. Další informace: https://go.microsoft.com/fwlink/?linkid=870924
Komentář:
    Mezisoučet: 14:20</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tc={BC4325B8-6B02-4E57-82C2-6D49406F4581}</author>
  </authors>
  <commentList>
    <comment ref="H39" authorId="0" shapeId="0" xr:uid="{BC4325B8-6B02-4E57-82C2-6D49406F4581}">
      <text>
        <t xml:space="preserve">[Komentář ve vlákně]
Vaše verze aplikace Excel vám umožňuje číst tento komentář ve vlákně, ale jakékoli jeho úpravy se odeberou, pokud se soubor otevře v novější verzi aplikace Excel. Další informace: https://go.microsoft.com/fwlink/?linkid=870924
Komentář:
    Nedohráno
Odpověď:
    Muselo být dohráno o týden později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tc={DE3098DE-63DF-4853-B952-2196AC385A1B}</author>
    <author>tc={2C5EB81A-D91C-47BB-8D27-8BC4CA34B011}</author>
    <author>tc={FC5164C7-E399-4C77-B028-D1C0914DFD38}</author>
    <author>Lánský Jakub (UNP-RPA)</author>
    <author>tc={E005B4F6-90E6-49C6-8CA5-48B0DDF3DBB9}</author>
    <author>tc={D03DD821-16B8-4CFA-9FCD-9A45FA649183}</author>
    <author>tc={8DBA4832-BCD5-486B-A705-3DAEC3C02599}</author>
    <author>tc={A9C1DEA0-EE7A-4856-B6F1-A34EE4D86498}</author>
    <author>tc={127B7C4C-DB93-401F-AA02-A44145F17AEA}</author>
    <author>tc={C3521F27-8FE5-442B-9B1D-3CF786BA0C09}</author>
    <author>tc={BF8C2CF8-0AC5-4576-B99B-28B760760FCD}</author>
  </authors>
  <commentList>
    <comment ref="W15" authorId="0" shapeId="0" xr:uid="{DE3098DE-63DF-4853-B952-2196AC385A1B}">
      <text>
        <t>[Komentář ve vlákně]
Vaše verze aplikace Excel vám umožňuje číst tento komentář ve vlákně, ale jakékoli jeho úpravy se odeberou, pokud se soubor otevře v novější verzi aplikace Excel. Další informace: https://go.microsoft.com/fwlink/?linkid=870924
Komentář:
    18:8</t>
      </text>
    </comment>
    <comment ref="X15" authorId="1" shapeId="0" xr:uid="{2C5EB81A-D91C-47BB-8D27-8BC4CA34B011}">
      <text>
        <t>[Komentář ve vlákně]
Vaše verze aplikace Excel vám umožňuje číst tento komentář ve vlákně, ale jakékoli jeho úpravy se odeberou, pokud se soubor otevře v novější verzi aplikace Excel. Další informace: https://go.microsoft.com/fwlink/?linkid=870924
Komentář:
    10:14</t>
      </text>
    </comment>
    <comment ref="Y15" authorId="2" shapeId="0" xr:uid="{FC5164C7-E399-4C77-B028-D1C0914DFD38}">
      <text>
        <t>[Komentář ve vlákně]
Vaše verze aplikace Excel vám umožňuje číst tento komentář ve vlákně, ale jakékoli jeho úpravy se odeberou, pokud se soubor otevře v novější verzi aplikace Excel. Další informace: https://go.microsoft.com/fwlink/?linkid=870924
Komentář:
    11:6</t>
      </text>
    </comment>
    <comment ref="W28" authorId="3" shapeId="0" xr:uid="{C2E1E02C-5C34-4D43-832B-F0DC9B58505B}">
      <text>
        <r>
          <rPr>
            <b/>
            <sz val="9"/>
            <color indexed="81"/>
            <rFont val="Tahoma"/>
            <family val="2"/>
            <charset val="238"/>
          </rPr>
          <t xml:space="preserve">Mezisoučet 08:06
</t>
        </r>
      </text>
    </comment>
    <comment ref="X28" authorId="3" shapeId="0" xr:uid="{F5CC0A81-E85A-4FFA-A4E5-6D19E441D31F}">
      <text>
        <r>
          <rPr>
            <b/>
            <sz val="9"/>
            <color indexed="81"/>
            <rFont val="Tahoma"/>
            <family val="2"/>
            <charset val="238"/>
          </rPr>
          <t xml:space="preserve">Mezisoučet 15:10
</t>
        </r>
      </text>
    </comment>
    <comment ref="Y28" authorId="3" shapeId="0" xr:uid="{C2344344-938C-4F91-B3FC-A503A6170967}">
      <text>
        <r>
          <rPr>
            <b/>
            <sz val="9"/>
            <color indexed="81"/>
            <rFont val="Tahoma"/>
            <family val="2"/>
            <charset val="238"/>
          </rPr>
          <t xml:space="preserve">Mezisoučet 11:06
</t>
        </r>
      </text>
    </comment>
    <comment ref="G38" authorId="4" shapeId="0" xr:uid="{E005B4F6-90E6-49C6-8CA5-48B0DDF3DBB9}">
      <text>
        <t>[Komentář ve vlákně]
Vaše verze aplikace Excel vám umožňuje číst tento komentář ve vlákně, ale jakékoli jeho úpravy se odeberou, pokud se soubor otevře v novější verzi aplikace Excel. Další informace: https://go.microsoft.com/fwlink/?linkid=870924
Komentář:
    Utkání nedohráno kvůli zdravotnímu stavu fanouška, přerušeno ve 46. minutě
Odpověď:
    Dohráno 16. 1. 25</t>
      </text>
    </comment>
    <comment ref="W41" authorId="5" shapeId="0" xr:uid="{D03DD821-16B8-4CFA-9FCD-9A45FA649183}">
      <text>
        <t>[Komentář ve vlákně]
Vaše verze aplikace Excel vám umožňuje číst tento komentář ve vlákně, ale jakékoli jeho úpravy se odeberou, pokud se soubor otevře v novější verzi aplikace Excel. Další informace: https://go.microsoft.com/fwlink/?linkid=870924
Komentář:
    Mezisoučet: 13:10</t>
      </text>
    </comment>
    <comment ref="X41" authorId="6" shapeId="0" xr:uid="{8DBA4832-BCD5-486B-A705-3DAEC3C02599}">
      <text>
        <t>[Komentář ve vlákně]
Vaše verze aplikace Excel vám umožňuje číst tento komentář ve vlákně, ale jakékoli jeho úpravy se odeberou, pokud se soubor otevře v novější verzi aplikace Excel. Další informace: https://go.microsoft.com/fwlink/?linkid=870924
Komentář:
    Mezisoučet: 06:10</t>
      </text>
    </comment>
    <comment ref="Y41" authorId="7" shapeId="0" xr:uid="{A9C1DEA0-EE7A-4856-B6F1-A34EE4D86498}">
      <text>
        <t>[Komentář ve vlákně]
Vaše verze aplikace Excel vám umožňuje číst tento komentář ve vlákně, ale jakékoli jeho úpravy se odeberou, pokud se soubor otevře v novější verzi aplikace Excel. Další informace: https://go.microsoft.com/fwlink/?linkid=870924
Komentář:
    Mezisoučet: 09:10</t>
      </text>
    </comment>
    <comment ref="W54" authorId="8" shapeId="0" xr:uid="{127B7C4C-DB93-401F-AA02-A44145F17AEA}">
      <text>
        <t>[Komentář ve vlákně]
Vaše verze aplikace Excel vám umožňuje číst tento komentář ve vlákně, ale jakékoli jeho úpravy se odeberou, pokud se soubor otevře v novější verzi aplikace Excel. Další informace: https://go.microsoft.com/fwlink/?linkid=870924
Komentář:
    Mezisoučet: 5:9</t>
      </text>
    </comment>
    <comment ref="X54" authorId="9" shapeId="0" xr:uid="{C3521F27-8FE5-442B-9B1D-3CF786BA0C09}">
      <text>
        <t>[Komentář ve vlákně]
Vaše verze aplikace Excel vám umožňuje číst tento komentář ve vlákně, ale jakékoli jeho úpravy se odeberou, pokud se soubor otevře v novější verzi aplikace Excel. Další informace: https://go.microsoft.com/fwlink/?linkid=870924
Komentář:
    Mezisoučet: 8:17</t>
      </text>
    </comment>
    <comment ref="Y54" authorId="10" shapeId="0" xr:uid="{BF8C2CF8-0AC5-4576-B99B-28B760760FCD}">
      <text>
        <t>[Komentář ve vlákně]
Vaše verze aplikace Excel vám umožňuje číst tento komentář ve vlákně, ale jakékoli jeho úpravy se odeberou, pokud se soubor otevře v novější verzi aplikace Excel. Další informace: https://go.microsoft.com/fwlink/?linkid=870924
Komentář:
    Mezisoučet: 8:19</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Lánský Jakub (UNP-RPA)</author>
  </authors>
  <commentList>
    <comment ref="F74" authorId="0" shapeId="0" xr:uid="{00000000-0006-0000-1D00-000001000000}">
      <text>
        <r>
          <rPr>
            <sz val="9"/>
            <color indexed="81"/>
            <rFont val="Tahoma"/>
            <family val="2"/>
            <charset val="238"/>
          </rPr>
          <t xml:space="preserve">
Hrálo se v Litvínově</t>
        </r>
      </text>
    </comment>
    <comment ref="D95" authorId="0" shapeId="0" xr:uid="{00000000-0006-0000-1D00-000002000000}">
      <text>
        <r>
          <rPr>
            <b/>
            <sz val="9"/>
            <color indexed="81"/>
            <rFont val="Tahoma"/>
            <family val="2"/>
            <charset val="238"/>
          </rPr>
          <t>Lánský Jakub - open air v Drážďanech</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Lánský Jakub (UNP-RPA)</author>
  </authors>
  <commentList>
    <comment ref="F29" authorId="0" shapeId="0" xr:uid="{00000000-0006-0000-1E00-000001000000}">
      <text>
        <r>
          <rPr>
            <sz val="9"/>
            <color indexed="81"/>
            <rFont val="Tahoma"/>
            <family val="2"/>
            <charset val="238"/>
          </rPr>
          <t xml:space="preserve">
Hrálo se v Litvínově</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Lánský Jakub (UNP-RPA)</author>
  </authors>
  <commentList>
    <comment ref="V5" authorId="0" shapeId="0" xr:uid="{00000000-0006-0000-2200-000001000000}">
      <text>
        <r>
          <rPr>
            <b/>
            <sz val="9"/>
            <color indexed="81"/>
            <rFont val="Tahoma"/>
            <family val="2"/>
            <charset val="238"/>
          </rPr>
          <t>Lánský Jakub:</t>
        </r>
        <r>
          <rPr>
            <sz val="9"/>
            <color indexed="81"/>
            <rFont val="Tahoma"/>
            <family val="2"/>
            <charset val="238"/>
          </rPr>
          <t xml:space="preserve">
přestěhování klubu HC Mountfield z Českých Budějovic do Hradce Králové, v 1. lize vznikl nový klub HC Motor České Budějovice</t>
        </r>
      </text>
    </comment>
    <comment ref="V16" authorId="0" shapeId="0" xr:uid="{00000000-0006-0000-2200-000002000000}">
      <text>
        <r>
          <rPr>
            <sz val="9"/>
            <color indexed="81"/>
            <rFont val="Tahoma"/>
            <family val="2"/>
            <charset val="238"/>
          </rPr>
          <t>Lánský Jakub:
přestěhování klubu HC Mountfield z Českých Budějovic do Hradce Králové</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Lánský Jakub (UNP-RPA)</author>
  </authors>
  <commentList>
    <comment ref="R21" authorId="0" shapeId="0" xr:uid="{00000000-0006-0000-2400-000001000000}">
      <text>
        <r>
          <rPr>
            <sz val="9"/>
            <color indexed="81"/>
            <rFont val="Tahoma"/>
            <family val="2"/>
            <charset val="238"/>
          </rPr>
          <t>Včetně zápasu se Spartou v Drážďanech, který byl brán jako domácí.</t>
        </r>
      </text>
    </comment>
    <comment ref="R22" authorId="0" shapeId="0" xr:uid="{00000000-0006-0000-2400-000002000000}">
      <text>
        <r>
          <rPr>
            <sz val="9"/>
            <color indexed="81"/>
            <rFont val="Tahoma"/>
            <family val="2"/>
            <charset val="238"/>
          </rPr>
          <t>Kvůli covidu nešlo chodit na hokej.</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9EC682-BD6A-4FE6-938F-6C8C1EF2B021}" keepAlive="1" name="Dotaz – Zapasy20182019" description="Připojení k dotazu produktu Zapasy20182019 v sešitě" type="5" refreshedVersion="0" background="1">
    <dbPr connection="Provider=Microsoft.Mashup.OleDb.1;Data Source=$Workbook$;Location=Zapasy20182019;Extended Properties=&quot;&quot;" command="SELECT * FROM [Zapasy20182019]"/>
  </connection>
  <connection id="2" xr16:uid="{0A55D239-7523-4E12-A256-E1AD2E5D3D22}" keepAlive="1" name="Dotaz – Zapasy20192020" description="Připojení k dotazu produktu Zapasy20192020 v sešitě" type="5" refreshedVersion="0" background="1">
    <dbPr connection="Provider=Microsoft.Mashup.OleDb.1;Data Source=$Workbook$;Location=Zapasy20192020;Extended Properties=&quot;&quot;" command="SELECT * FROM [Zapasy20192020]"/>
  </connection>
  <connection id="3" xr16:uid="{272E31BC-77E5-4E46-BCEE-C7DFFE1CE0CB}" keepAlive="1" name="Dotaz – Zapasy20202021" description="Připojení k dotazu produktu Zapasy20202021 v sešitě" type="5" refreshedVersion="0" background="1">
    <dbPr connection="Provider=Microsoft.Mashup.OleDb.1;Data Source=$Workbook$;Location=Zapasy20202021;Extended Properties=&quot;&quot;" command="SELECT * FROM [Zapasy20202021]"/>
  </connection>
  <connection id="4" xr16:uid="{79C33F69-AC39-41FC-88BC-000E9738CA9B}" keepAlive="1" name="Dotaz – Zapasy20212022" description="Připojení k dotazu produktu Zapasy20212022 v sešitě" type="5" refreshedVersion="0" background="1">
    <dbPr connection="Provider=Microsoft.Mashup.OleDb.1;Data Source=$Workbook$;Location=Zapasy20212022;Extended Properties=&quot;&quot;" command="SELECT * FROM [Zapasy20212022]"/>
  </connection>
  <connection id="5" xr16:uid="{486F9780-ED78-4D5F-BB57-0690E7983E62}" keepAlive="1" name="Dotaz – Zapasy20222023" description="Připojení k dotazu produktu Zapasy20222023 v sešitě" type="5" refreshedVersion="0" background="1">
    <dbPr connection="Provider=Microsoft.Mashup.OleDb.1;Data Source=$Workbook$;Location=Zapasy20222023;Extended Properties=&quot;&quot;" command="SELECT * FROM [Zapasy20222023]"/>
  </connection>
  <connection id="6" xr16:uid="{8C91A140-6BA9-42E8-ABD3-7C6513879D6D}" keepAlive="1" name="Dotaz – Zapasy20232024" description="Připojení k dotazu produktu Zapasy20232024 v sešitě" type="5" refreshedVersion="0" background="1">
    <dbPr connection="Provider=Microsoft.Mashup.OleDb.1;Data Source=$Workbook$;Location=Zapasy20232024;Extended Properties=&quot;&quot;" command="SELECT * FROM [Zapasy20232024]"/>
  </connection>
  <connection id="7" xr16:uid="{B398BED1-172A-4CA7-8942-BD8026E17927}" keepAlive="1" name="Dotaz – Zapasy20232024 (5)" description="Připojení k dotazu produktu Zapasy20232024 (5) v sešitě" type="5" refreshedVersion="0" background="1">
    <dbPr connection="Provider=Microsoft.Mashup.OleDb.1;Data Source=$Workbook$;Location=&quot;Zapasy20232024 (5)&quot;;Extended Properties=&quot;&quot;" command="SELECT * FROM [Zapasy20232024 (5)]"/>
  </connection>
  <connection id="8" xr16:uid="{DFCFD1F7-DC1C-478D-9B73-B9F05A392E42}" keepAlive="1" name="Dotaz – Zapasy20242025" description="Připojení k dotazu produktu Zapasy20242025 v sešitě" type="5" refreshedVersion="0" background="1">
    <dbPr connection="Provider=Microsoft.Mashup.OleDb.1;Data Source=$Workbook$;Location=Zapasy20242025;Extended Properties=&quot;&quot;" command="SELECT * FROM [Zapasy20242025]"/>
  </connection>
  <connection id="9" xr16:uid="{38A9A0C6-2128-4BEA-BFB1-56051370B368}" keepAlive="1" name="Dotaz – Zapasy20252026" description="Připojení k dotazu produktu Zapasy20252026 v sešitě" type="5" refreshedVersion="8" background="1" saveData="1">
    <dbPr connection="Provider=Microsoft.Mashup.OleDb.1;Data Source=$Workbook$;Location=Zapasy20252026;Extended Properties=&quot;&quot;" command="SELECT * FROM [Zapasy20252026]"/>
  </connection>
  <connection id="10" xr16:uid="{B1823F20-FF49-4117-A42D-F8B330BE5379}" keepAlive="1" name="Dotaz – ZapasyLIT" description="Připojení k dotazu produktu ZapasyLIT v sešitě" type="5" refreshedVersion="8" background="1" saveData="1">
    <dbPr connection="Provider=Microsoft.Mashup.OleDb.1;Data Source=$Workbook$;Location=ZapasyLIT;Extended Properties=&quot;&quot;" command="SELECT * FROM [ZapasyLIT]"/>
  </connection>
  <connection id="11" xr16:uid="{71419D3D-0812-4AE4-AFAA-A48405643202}" keepAlive="1" name="ThisWorkbookDataModel" description="Datový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2" xr16:uid="{F3F4BD9F-9BE3-41CD-BC2B-2A8CC5BC637E}" name="WorksheetConnection_Statistiky.xlsx!Zapasy20172018" type="102" refreshedVersion="8" minRefreshableVersion="5">
    <extLst>
      <ext xmlns:x15="http://schemas.microsoft.com/office/spreadsheetml/2010/11/main" uri="{DE250136-89BD-433C-8126-D09CA5730AF9}">
        <x15:connection id="Zapasy20172018">
          <x15:rangePr sourceName="_xlcn.WorksheetConnection_Statistiky.xlsxZapasy201720181"/>
        </x15:connection>
      </ext>
    </extLst>
  </connection>
  <connection id="13" xr16:uid="{11506043-D2E6-4E62-ACB0-13C6DB6B4390}" name="WorksheetConnection_Statistiky.xlsx!Zapasy20182019" type="102" refreshedVersion="8" minRefreshableVersion="5">
    <extLst>
      <ext xmlns:x15="http://schemas.microsoft.com/office/spreadsheetml/2010/11/main" uri="{DE250136-89BD-433C-8126-D09CA5730AF9}">
        <x15:connection id="Zapasy20182019">
          <x15:rangePr sourceName="_xlcn.WorksheetConnection_Statistiky.xlsxZapasy201820191"/>
        </x15:connection>
      </ext>
    </extLst>
  </connection>
  <connection id="14" xr16:uid="{B15BEE72-E32C-4B4F-B714-7EB349D7DE0A}" name="WorksheetConnection_Statistiky.xlsx!Zapasy20192020" type="102" refreshedVersion="8" minRefreshableVersion="5">
    <extLst>
      <ext xmlns:x15="http://schemas.microsoft.com/office/spreadsheetml/2010/11/main" uri="{DE250136-89BD-433C-8126-D09CA5730AF9}">
        <x15:connection id="Zapasy20192020">
          <x15:rangePr sourceName="_xlcn.WorksheetConnection_Statistiky.xlsxZapasy201920201"/>
        </x15:connection>
      </ext>
    </extLst>
  </connection>
  <connection id="15" xr16:uid="{B244DB8A-8C74-44D1-9B00-27AE6E703008}" name="WorksheetConnection_Statistiky.xlsx!Zapasy20202021" type="102" refreshedVersion="8" minRefreshableVersion="5">
    <extLst>
      <ext xmlns:x15="http://schemas.microsoft.com/office/spreadsheetml/2010/11/main" uri="{DE250136-89BD-433C-8126-D09CA5730AF9}">
        <x15:connection id="Zapasy20202021">
          <x15:rangePr sourceName="_xlcn.WorksheetConnection_Statistiky.xlsxZapasy202020211"/>
        </x15:connection>
      </ext>
    </extLst>
  </connection>
  <connection id="16" xr16:uid="{4A6D78FA-245F-440C-9B76-FD9A488F62FD}" name="WorksheetConnection_Statistiky.xlsx!Zapasy20212022" type="102" refreshedVersion="8" minRefreshableVersion="5">
    <extLst>
      <ext xmlns:x15="http://schemas.microsoft.com/office/spreadsheetml/2010/11/main" uri="{DE250136-89BD-433C-8126-D09CA5730AF9}">
        <x15:connection id="Zapasy20212022">
          <x15:rangePr sourceName="_xlcn.WorksheetConnection_Statistiky.xlsxZapasy202120221"/>
        </x15:connection>
      </ext>
    </extLst>
  </connection>
  <connection id="17" xr16:uid="{87E92510-A9C9-44BD-8206-52AD12596621}" name="WorksheetConnection_Statistiky.xlsx!Zapasy20222023" type="102" refreshedVersion="8" minRefreshableVersion="5">
    <extLst>
      <ext xmlns:x15="http://schemas.microsoft.com/office/spreadsheetml/2010/11/main" uri="{DE250136-89BD-433C-8126-D09CA5730AF9}">
        <x15:connection id="Zapasy20222023">
          <x15:rangePr sourceName="_xlcn.WorksheetConnection_Statistiky.xlsxZapasy202220231"/>
        </x15:connection>
      </ext>
    </extLst>
  </connection>
  <connection id="18" xr16:uid="{4AA695B3-F81C-49A6-AF3B-0B5A6EFCC1F4}" name="WorksheetConnection_Statistiky.xlsx!Zapasy20232024" type="102" refreshedVersion="8" minRefreshableVersion="5">
    <extLst>
      <ext xmlns:x15="http://schemas.microsoft.com/office/spreadsheetml/2010/11/main" uri="{DE250136-89BD-433C-8126-D09CA5730AF9}">
        <x15:connection id="Zapasy20232024">
          <x15:rangePr sourceName="_xlcn.WorksheetConnection_Statistiky.xlsxZapasy202320241"/>
        </x15:connection>
      </ext>
    </extLst>
  </connection>
  <connection id="19" xr16:uid="{95652333-DED2-4B8C-B80A-7DC2ACFB8F88}" name="WorksheetConnection_Statistiky.xlsx!Zapasy20242025" type="102" refreshedVersion="8" minRefreshableVersion="5">
    <extLst>
      <ext xmlns:x15="http://schemas.microsoft.com/office/spreadsheetml/2010/11/main" uri="{DE250136-89BD-433C-8126-D09CA5730AF9}">
        <x15:connection id="Zapasy20242025">
          <x15:rangePr sourceName="_xlcn.WorksheetConnection_Statistiky.xlsxZapasy202420251"/>
        </x15:connection>
      </ext>
    </extLst>
  </connection>
  <connection id="20" xr16:uid="{F7C3F906-C6E5-4CDA-AF8C-A6116476027D}" name="WorksheetConnection_Statistiky.xlsx!Zapasy20252026" type="102" refreshedVersion="8" minRefreshableVersion="5">
    <extLst>
      <ext xmlns:x15="http://schemas.microsoft.com/office/spreadsheetml/2010/11/main" uri="{DE250136-89BD-433C-8126-D09CA5730AF9}">
        <x15:connection id="Zapasy20252026">
          <x15:rangePr sourceName="_xlcn.WorksheetConnection_Statistiky.xlsxZapasy20252026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<sst xmlns="http://schemas.openxmlformats.org/spreadsheetml/2006/main" count="31881" uniqueCount="6553">
  <si>
    <t>Hráč</t>
  </si>
  <si>
    <t>Kdy podepsal</t>
  </si>
  <si>
    <t>Na jak dlouho podepsal</t>
  </si>
  <si>
    <t>Kdy vyprší smlouva</t>
  </si>
  <si>
    <t>V. Hübl</t>
  </si>
  <si>
    <t>D. Sörvik</t>
  </si>
  <si>
    <t>K. Pilař</t>
  </si>
  <si>
    <t>J. Černý</t>
  </si>
  <si>
    <t>M. Trávníček</t>
  </si>
  <si>
    <t>F. Lukeš</t>
  </si>
  <si>
    <t>Z. Sklenička</t>
  </si>
  <si>
    <t>Datum</t>
  </si>
  <si>
    <t>Den</t>
  </si>
  <si>
    <t>Doma/venku</t>
  </si>
  <si>
    <t>Kolo</t>
  </si>
  <si>
    <t>Soupeř</t>
  </si>
  <si>
    <t>V</t>
  </si>
  <si>
    <t>D</t>
  </si>
  <si>
    <t>pá</t>
  </si>
  <si>
    <t>ne</t>
  </si>
  <si>
    <t>út</t>
  </si>
  <si>
    <t>st</t>
  </si>
  <si>
    <t>čt</t>
  </si>
  <si>
    <t>so</t>
  </si>
  <si>
    <t>S. Dietz</t>
  </si>
  <si>
    <t>R. Nejezchleb</t>
  </si>
  <si>
    <t>F. Gerhát</t>
  </si>
  <si>
    <t>Přípravná utkání HC VERVA Litvínov v sezóně 2017/2018</t>
  </si>
  <si>
    <t>  1. 8. úterý, 17:30:     LITVÍNOV – ÚSTÍ NAD LABEM</t>
  </si>
  <si>
    <t>  8. 8. úterý, 17:30     LITVÍNOV – KARLOVY VARY</t>
  </si>
  <si>
    <t>10. 8. čtvrtek, 18:00     KARLOVY VARY – LITVÍNOV</t>
  </si>
  <si>
    <t>15. 8. úterý, 17:30     LITVÍNOV – MLADÁ BOLESLAV</t>
  </si>
  <si>
    <t>17. 8. čtvrtek, 17:30     MLADÁ BOLESLAV – LITVÍNOV</t>
  </si>
  <si>
    <t>22. 8. úterý, 17:30      LITVÍNOV – CHOMUTOV</t>
  </si>
  <si>
    <t>24. 8. čtvrtek, 17:30     CHOMUTOV – LITVÍNOV</t>
  </si>
  <si>
    <t>31. 8. čtvrtek, 17:30     LITVÍNOV – KLADNO</t>
  </si>
  <si>
    <t>P. Kantor</t>
  </si>
  <si>
    <t>M. Petrásek</t>
  </si>
  <si>
    <t>K. Kubát</t>
  </si>
  <si>
    <t>M. Kokeš</t>
  </si>
  <si>
    <t>O. Jurčík</t>
  </si>
  <si>
    <t>L. Válek</t>
  </si>
  <si>
    <t>M. Hanzl</t>
  </si>
  <si>
    <t>F. Helt</t>
  </si>
  <si>
    <t>M. Baránek</t>
  </si>
  <si>
    <t>J. Šimeček</t>
  </si>
  <si>
    <t>J. Stříbrný</t>
  </si>
  <si>
    <t>I. Řehoř</t>
  </si>
  <si>
    <t>M. Havelka</t>
  </si>
  <si>
    <t>D. Šesták</t>
  </si>
  <si>
    <t>J. Strejček</t>
  </si>
  <si>
    <t>L. Doudera</t>
  </si>
  <si>
    <t>J. Doležal</t>
  </si>
  <si>
    <t>Datum narození</t>
  </si>
  <si>
    <t>P. Jánský</t>
  </si>
  <si>
    <t>Ligu mistrů hraje: Brno, Liberec, Třinec a Hradec</t>
  </si>
  <si>
    <t>J. Nicholls</t>
  </si>
  <si>
    <t>T. Matoušek</t>
  </si>
  <si>
    <t>J. Gula</t>
  </si>
  <si>
    <t>J. Dufek</t>
  </si>
  <si>
    <t>O. Havlíček</t>
  </si>
  <si>
    <t>12. 8. sobota, 19:00, EHC Biel - Litvínov, turnaj ve Švýcarsku</t>
  </si>
  <si>
    <t>13. 8. neděle, 15:00, HC Ambri-Piotta - Litvínov, turnaj ve Švýcarsku</t>
  </si>
  <si>
    <t>26. 8. sobota, 16:00 Berlín - Litvínov, turnaj v Drážďanech</t>
  </si>
  <si>
    <t>27. 8. neděle, ? - Litvínov, turnaj v Drážďanech</t>
  </si>
  <si>
    <t>Hradec hraje Spengler cup od 26. 12. do 31. 12. 17</t>
  </si>
  <si>
    <t>19. 8. sobota, 15:30  Litvínov - Karpat Oulu</t>
  </si>
  <si>
    <t>B. Ihnačák</t>
  </si>
  <si>
    <t>M. Vandas</t>
  </si>
  <si>
    <t>J. Jícha</t>
  </si>
  <si>
    <t>J. Hunkes</t>
  </si>
  <si>
    <t>P. Smolka</t>
  </si>
  <si>
    <t>F. Iberer</t>
  </si>
  <si>
    <t>A. Pavlas</t>
  </si>
  <si>
    <t>J. Mikůš</t>
  </si>
  <si>
    <t>M. Růžička</t>
  </si>
  <si>
    <t>J. Kůs</t>
  </si>
  <si>
    <t>J. Čutta</t>
  </si>
  <si>
    <t>0.00</t>
  </si>
  <si>
    <t>Ú</t>
  </si>
  <si>
    <t>HC VERVA Litvínov</t>
  </si>
  <si>
    <t>Miloslav Hořava</t>
  </si>
  <si>
    <t>Josef Jícha</t>
  </si>
  <si>
    <t>Martin Havelka</t>
  </si>
  <si>
    <t>Jan Dufek</t>
  </si>
  <si>
    <t>Pavel Smolka</t>
  </si>
  <si>
    <t>Jaroslav Kůs</t>
  </si>
  <si>
    <t>Josef Stříbrný</t>
  </si>
  <si>
    <t>O</t>
  </si>
  <si>
    <t>Aleš Pavlas</t>
  </si>
  <si>
    <t>Stanislav Dietz</t>
  </si>
  <si>
    <t>Jaroslav Šimeček</t>
  </si>
  <si>
    <t>Florian Iberer</t>
  </si>
  <si>
    <t>Jakub Čutta</t>
  </si>
  <si>
    <t>Ivan Řehoř</t>
  </si>
  <si>
    <t>Jiří Doležal</t>
  </si>
  <si>
    <t>33.33</t>
  </si>
  <si>
    <t>Filip Helt</t>
  </si>
  <si>
    <t>Zbyněk Sklenička</t>
  </si>
  <si>
    <t>David Šesták</t>
  </si>
  <si>
    <t>Martin Hanzl</t>
  </si>
  <si>
    <t>Joshua George Nicholls</t>
  </si>
  <si>
    <t>Ondřej Havlíček</t>
  </si>
  <si>
    <t>Peter Jánský</t>
  </si>
  <si>
    <t>Marek Růžička</t>
  </si>
  <si>
    <t>Marek Baránek</t>
  </si>
  <si>
    <t>Tomáš Matoušek</t>
  </si>
  <si>
    <t>Lukáš Doudera</t>
  </si>
  <si>
    <t>František Gerhát</t>
  </si>
  <si>
    <t>Karel Pilař</t>
  </si>
  <si>
    <t>Michael Vandas</t>
  </si>
  <si>
    <t>Michal Trávníček</t>
  </si>
  <si>
    <t>Lukáš Válek</t>
  </si>
  <si>
    <t>Richard Nejezchleb</t>
  </si>
  <si>
    <t>Jakub Černý</t>
  </si>
  <si>
    <t>Ondřej Jurčík</t>
  </si>
  <si>
    <t>Jiří Gula</t>
  </si>
  <si>
    <t>Juraj Mikúš</t>
  </si>
  <si>
    <t>Jiří Hunkes</t>
  </si>
  <si>
    <t>Daniel Sörvik</t>
  </si>
  <si>
    <t>Brian Ihnačák</t>
  </si>
  <si>
    <t>10.00</t>
  </si>
  <si>
    <t>Viktor Hübl</t>
  </si>
  <si>
    <t>Karel Kubát</t>
  </si>
  <si>
    <t>František Lukeš</t>
  </si>
  <si>
    <t>30.00</t>
  </si>
  <si>
    <t xml:space="preserve">TOI/GP </t>
  </si>
  <si>
    <t xml:space="preserve">PIM </t>
  </si>
  <si>
    <t xml:space="preserve">plus/minus </t>
  </si>
  <si>
    <t xml:space="preserve">GWG </t>
  </si>
  <si>
    <t xml:space="preserve">SHG </t>
  </si>
  <si>
    <t xml:space="preserve">PPP </t>
  </si>
  <si>
    <t xml:space="preserve">PPG </t>
  </si>
  <si>
    <t xml:space="preserve">S% </t>
  </si>
  <si>
    <t xml:space="preserve">S </t>
  </si>
  <si>
    <t xml:space="preserve">P </t>
  </si>
  <si>
    <t xml:space="preserve">A </t>
  </si>
  <si>
    <t xml:space="preserve">G </t>
  </si>
  <si>
    <t xml:space="preserve">TOI </t>
  </si>
  <si>
    <t>POZ.</t>
  </si>
  <si>
    <t>TÝM</t>
  </si>
  <si>
    <t>JMÉNO</t>
  </si>
  <si>
    <t>Playout</t>
  </si>
  <si>
    <t>Základní část</t>
  </si>
  <si>
    <t>Celkově odehráno zápasů v sezóně</t>
  </si>
  <si>
    <t>Zápasy v ZČ</t>
  </si>
  <si>
    <t>Zápasy v PO</t>
  </si>
  <si>
    <t>Gólů celkem</t>
  </si>
  <si>
    <t>Asistencí celkem</t>
  </si>
  <si>
    <t>Bodů celkem</t>
  </si>
  <si>
    <t>Body / zápasů</t>
  </si>
  <si>
    <t>Celkové</t>
  </si>
  <si>
    <t>statistiky</t>
  </si>
  <si>
    <t>Tomáš Frolo</t>
  </si>
  <si>
    <t>plus/mínus celkem</t>
  </si>
  <si>
    <t>Trestné minuty celkem</t>
  </si>
  <si>
    <t>Plus,mínus / zápas</t>
  </si>
  <si>
    <t>Výsledek pro LIT</t>
  </si>
  <si>
    <t>0:1sn</t>
  </si>
  <si>
    <t>4:3sn</t>
  </si>
  <si>
    <t>2:1pp</t>
  </si>
  <si>
    <t>2:3sn</t>
  </si>
  <si>
    <t>5:4sn</t>
  </si>
  <si>
    <t>3:4pp</t>
  </si>
  <si>
    <t>4:3pp</t>
  </si>
  <si>
    <t>Playout 1</t>
  </si>
  <si>
    <t>Playout 2</t>
  </si>
  <si>
    <t>Playout 3</t>
  </si>
  <si>
    <t>Playout 4</t>
  </si>
  <si>
    <t>Playout 5</t>
  </si>
  <si>
    <t>Playout 6</t>
  </si>
  <si>
    <t>2:3pp</t>
  </si>
  <si>
    <t>Baráž 1</t>
  </si>
  <si>
    <t>Baráž 2</t>
  </si>
  <si>
    <t>Baráž 3</t>
  </si>
  <si>
    <t>Baráž 4</t>
  </si>
  <si>
    <t>Baráž 5</t>
  </si>
  <si>
    <t>Baráž 6</t>
  </si>
  <si>
    <t>Baráž 7</t>
  </si>
  <si>
    <t>Baráž 8</t>
  </si>
  <si>
    <t>Baráž 9</t>
  </si>
  <si>
    <t>Baráž 10</t>
  </si>
  <si>
    <t>Baráž 11</t>
  </si>
  <si>
    <t>Baráž 12</t>
  </si>
  <si>
    <t>0 vstřelených gólů</t>
  </si>
  <si>
    <t>1 vstřelených gólů</t>
  </si>
  <si>
    <t>2 vstřelených gólů</t>
  </si>
  <si>
    <t>3 vstřelených gólů</t>
  </si>
  <si>
    <t>4 vstřelených gólů</t>
  </si>
  <si>
    <t>5 vstřelených gólů</t>
  </si>
  <si>
    <t>6 vstřelených gólů</t>
  </si>
  <si>
    <t>v základní hrací době</t>
  </si>
  <si>
    <t>(s Boleslaví 6. gól do prázdné, na Spartě 2 góly do prázdné, takže čistých 6 gólů nikdy)</t>
  </si>
  <si>
    <t>(dá se říct, že 1x - s Boleslaví za stavu 5:3 trefená prázdná branka)</t>
  </si>
  <si>
    <t>čisté, bez počítání gólů do prázdné při soupeřově powerplay v závěru zápasu</t>
  </si>
  <si>
    <t>(připočítána výhra na Spartě 6:3 se 2 góly do prázdné)</t>
  </si>
  <si>
    <t>(v Boleslavi 2. gól do prázdné, s Hradcem doma 2 góly do prázdné)</t>
  </si>
  <si>
    <t>(v Chomutově za stavu 2:1 gól do prázdné</t>
  </si>
  <si>
    <t>0 inkasovaných gólů</t>
  </si>
  <si>
    <t>1 inkasovaných gólů</t>
  </si>
  <si>
    <t>2 inkasovaných gólů</t>
  </si>
  <si>
    <t>3 inkasovaných gólů</t>
  </si>
  <si>
    <t>4 inkasovaných gólů</t>
  </si>
  <si>
    <t>5 inkasovaných gólů</t>
  </si>
  <si>
    <t>6 inkasovaných gólů</t>
  </si>
  <si>
    <t>7 inkasovaných gólů</t>
  </si>
  <si>
    <t>(doma s Třincem za stavu 2:4 jsme dostali do prázdné)</t>
  </si>
  <si>
    <t>(v Jihlavě a doma s Brnem za stavu 1:3 gól do prázdné)</t>
  </si>
  <si>
    <t>1:2sn</t>
  </si>
  <si>
    <t>1:0pp</t>
  </si>
  <si>
    <t>základní část + playout + baráž</t>
  </si>
  <si>
    <t>Baráž</t>
  </si>
  <si>
    <t>J. Petružálek</t>
  </si>
  <si>
    <t>GP</t>
  </si>
  <si>
    <t>16.00</t>
  </si>
  <si>
    <t>14.29</t>
  </si>
  <si>
    <t>15.38</t>
  </si>
  <si>
    <t>20.00</t>
  </si>
  <si>
    <t>Střel celkem</t>
  </si>
  <si>
    <t>Střely / zápas</t>
  </si>
  <si>
    <t>Poznámky</t>
  </si>
  <si>
    <t>skutečně</t>
  </si>
  <si>
    <t>čisté, nepočítat do prázdné</t>
  </si>
  <si>
    <t>J. Ščotka</t>
  </si>
  <si>
    <t>D. Tůma</t>
  </si>
  <si>
    <t>J. Janus</t>
  </si>
  <si>
    <t>Statistiky hráčů, kteří po sezóně skončili</t>
  </si>
  <si>
    <t>Bez Ihnačáka, Vandase a Frola</t>
  </si>
  <si>
    <t>Statistiky hráčů, kteří po sezóně pokračovali v Litvínově</t>
  </si>
  <si>
    <t>Všichni</t>
  </si>
  <si>
    <t>Obránci</t>
  </si>
  <si>
    <t>Útočníci</t>
  </si>
  <si>
    <t>Zápas doma</t>
  </si>
  <si>
    <t>J. Myšák</t>
  </si>
  <si>
    <t>L. Stehlík</t>
  </si>
  <si>
    <t>M. Slavík</t>
  </si>
  <si>
    <t>D. Drašar</t>
  </si>
  <si>
    <t>J. Březák</t>
  </si>
  <si>
    <t>datum</t>
  </si>
  <si>
    <t>stadion</t>
  </si>
  <si>
    <t>domácí</t>
  </si>
  <si>
    <t>hosté</t>
  </si>
  <si>
    <t>út 7.8.2018</t>
  </si>
  <si>
    <t>ZS I. Hlinky, Litvínov</t>
  </si>
  <si>
    <t> Litvínov</t>
  </si>
  <si>
    <t> Kladno</t>
  </si>
  <si>
    <t>čt 9.8.2018</t>
  </si>
  <si>
    <t>ZS Kladno</t>
  </si>
  <si>
    <t>út 14.8.2018</t>
  </si>
  <si>
    <t> Karlovy Vary</t>
  </si>
  <si>
    <t>út 21.8.2018</t>
  </si>
  <si>
    <t>pá 24.8.2018</t>
  </si>
  <si>
    <t> Berlín</t>
  </si>
  <si>
    <t>út 28.8.2018</t>
  </si>
  <si>
    <t> Chomutov</t>
  </si>
  <si>
    <t>čt 30.8.2018</t>
  </si>
  <si>
    <t>SD Aréna, Chomutov</t>
  </si>
  <si>
    <t>út 4.9.2018</t>
  </si>
  <si>
    <t> Ústí nad Labem</t>
  </si>
  <si>
    <t>2018/2019</t>
  </si>
  <si>
    <t>Petrásek – Dietz, Sørvik – Kubát, Gula – Baránek, Pilař – Doudera – Lukeš, Hübl, Jánský – Černý, Hanzl, Nicholls – Trávníček (C), Gerhát, Hořava – Doležal, Válek, Jurčík. Připraven Kantor. Trenéři Rulík, Stránský, Šlégr</t>
  </si>
  <si>
    <t>Petrásek – Dietz, Sørvik – Kubát, Gula – Baránek, Sklenička – Doudera – Lukeš, Hübl, Jánský – Černý, Hanzl, Nicholls – Trávníček (C), Gerhát, Hořava – Doležal, Válek, Jurčík. Připraven Kantor. Trenéři Rulík, Stránský, Šlégr</t>
  </si>
  <si>
    <t>Petrásek – Dietz, Sørvik – Kubát, Gula – Baránek, Pilař – Doudera – Lukeš, Hübl, Jánský – Černý, Hanzl, Nicholls – Trávníček (C), Gerhát, Hořava – Matoušek, Válek, Jurčík. Připraven Kantor. Trenéři Rulík, Stránský, Šlégr</t>
  </si>
  <si>
    <t>Kantor – Dietz, Sørvik – Doudera, Gula – Baránek, Pilař – Sklenička – Lukeš, Hübl, Jánský – Černý, Hanzl, Matoušek – Trávníček (C), Válek, Jurčík – Nejezchleb, Hořava, Nicholls. Připraven Petrásek</t>
  </si>
  <si>
    <t>Kantor – Dietz, Sørvik – L. Doudera, Gula – Baránek, Pilař – Sklenička – Lukeš, Hübl, Jánský – Černý, Nejezchleb, Matoušek – Trávníček (C), Válek, Jurčík – Hořava, Havlíček, Nicholls. Připraven Petrásek. Trenéři Rulík, Stránský, Šlégr</t>
  </si>
  <si>
    <t>Petrásek – Baránek, Sørvik – Doudera, Gula – Dietz, Pilař – Sklenička – Lukeš, Nejezchleb, Jánský – Černý, Hanzl, Matoušek – Trávníček (C), Válek, Jurčík – Doležal, Jícha, Hořava. Připraven Kantor. Trenéři Rulík, Stránský, Šlégr</t>
  </si>
  <si>
    <t>Petrásek – Baránek, Sørvik – Doudera, Gula – Dietz, Pilař – Sklenička – F. Lukeš, Nejezchleb, Jánský – Černý, Hanzl, Matoušek – Trávníček (C), Válek, Jurčík – Doležal, Nicholls, Hořava. Připraven Kantor. Trenéři Rulík, Stránský, Šlégr</t>
  </si>
  <si>
    <t>Kantor – Baránek, Sørvik – Doudera, Gula – Dietz, Pilař – Sklenička – Lukeš, Nejezchleb, Jánský – Černý, Hanzl, Nicholls – Trávníček (C), Jurčík, Matoušek – Doležal, Válek, Hořava. Připraven Petrásek. Trenéři Rulík, Stránský, Šlégr</t>
  </si>
  <si>
    <t>Petrásek – Dietz, Sørvik – Doudera, Gula – Baránek, Pilař – 21. Sklenička – Lukeš, Nejezchleb, Jánský – Černý, Hanzl, Jurčík – Trávníček (C), Válek, Matoušek – Doležal, Gerhát, Hořava. Připraven Kantor. Trenéři Rulík, Stránský, Šlégr</t>
  </si>
  <si>
    <t>Petrásek – Dietz, Sørvik – Doudera, Gula – Sklenička, Pilař – Baránek – Lukeš, Hanzl, Nejezchleb – Černý, Gerhát, Matoušek – Trávníček (C), Válek, Jurčík – Doležal, Jícha, Hořava. Připraven Kantor. Trenéři Rulík, Stránský, Šlégr</t>
  </si>
  <si>
    <t>Kantor (31. Petrásek) – Kubát, Sørvik – Doudera, Gula – Sklenička, Baránek – Dietz – Lukeš, Hanzl, Nejezchleb – Černý, Gerhát, Matoušek – Trávníček, Válek, Jurčík – Doležal, Jícha, Hořava. Trenéři Rulík, D. Stránský, Šlégr</t>
  </si>
  <si>
    <t>Petrásek - Kubát, Sørvik - Doudera, Gula - Sklenička, Baránek - Dietz - Lukeš, Hanzl, Nejezchleb - Černý, Gerhát, Matoušek - Trávníček (C), Válek, Jurčík - Doležal, Jícha, Hořava. Připraven Kantor. Trenéři Rulík, Stránský, Šlégr</t>
  </si>
  <si>
    <t>Petrásek – Kubát, Sørvik – Dietz, Gula – Baránek, Pilař – Lukeš, Hanzl, Nejezchleb – Černý, Hübl, Gerhát – Trávníček (C), Válek, Jurčík – Doležal, Jícha, Matoušek. Připraveni Kantor a Doudera. Trenéři Rulík, Stránský, Šlégr</t>
  </si>
  <si>
    <t>Petrásek – Kubát, Sørvik – Dietz, Gula – Baránek, Pilař – Doudera – Lukeš, Hanzl, Nejezchleb – Černý, Hübl, Gerhát – Trávníček (C), Válek, Jurčík – Matoušek, Ihnačák, Vandas. Připraven Kantor. Trenéři Rulík, Stránský, Šlégr</t>
  </si>
  <si>
    <t>Petrásek – Kubát, Sørvik – Dietz, Gula – Baránek, Pilař – Doudera – Lukeš, Hübl, Jánský – Černý, Ihnačák, Hanzl – Trávníček (C), Gerhát, Vandas – Matoušek, Šimeček, Jurčík. Připraven Kantor. Trenéři Rulík, Stránský, Šlégr</t>
  </si>
  <si>
    <t>Petrásek – Kubát, Sørvik – Dietz, Gula – Baránek, Pilař – Lukeš, Hübl, Jánský – Černý, Ihnačák, Hanzl – Trávníček (C), Gerhát, Vandas – Matoušek, Šimeček, Jurčík. Připraveni Kantor a Doudera. Trenéři Rulík, Stránský, Šlégr</t>
  </si>
  <si>
    <t>Petrásek – Kubát, Sørvik – Doudera, Gula – Baránek, Pilař – Lukeš, Hübl, Jánský – Černý, Ihnačák, Hanzl – Trávníček (C), Gerhát, Vandas – Matoušek, Šimeček, Jurčík. Připraveni Kantor a Sklenička. Trenéři Rulík, Stránský, Šlégr</t>
  </si>
  <si>
    <t>Petrásek – Kubát, Sørvik – Doudera, Gula – Baránek, Pilař – Gerhát, Hübl, Jánský – Černý, Ihnačák, Hanzl – Trávníček (C), Jurčík, Vandas – Matoušek, Šimeček, Hořava. Připraveni Kantor a Dietz. Trenéři Rulík, Stránský, Šlégr</t>
  </si>
  <si>
    <t>Petrásek – Kubát, Sørvik – L. Doudera, Gula – Baránek, Pilař – Dietz - Černý, Hübl, Jánský – Matoušek, Ihnačák, Vandas – Trávníček (C), Gerhát, Hanzl – Doležal, Šimeček, Jurčík. Připraven Kantor. Trenéři Rulík, Stránský, Šlégr</t>
  </si>
  <si>
    <t>Petrásek – Kubát, Sørvik – Doudera, Gula – Dietz, Pilař - Sklenička - Černý, Hübl, Jánský – Nejezchleb, Ihnačák, Hanzl – Trávníček (C), Gerhát, Vandas – Matoušek, Šimeček, Jurčík. Připraven Kantor. Trenéři Rulík, Stránský, Šlégr</t>
  </si>
  <si>
    <t>Petrásek – Kubát, Sørvik – Doudera, Gula – Dietz, Pilař - Sklenička - Černý, Hübl, Jánský – Nejezchleb, Ihnačák, Hanzl – Trávníček (C), Gerhát, Vandas – Matoušek, Válek, Jurčík. Připraven Kantor. Trenéři Rulík, Stránský, Šlégr</t>
  </si>
  <si>
    <t>Petrásek – Kubát, Sørvik – Doudera, Gula – Dietz, Pilař – Sklenička – Černý, Hübl, Jánský – Nejezchleb, Ihnačák, Hanzl – Trávníček (C), Gerhát, Vandas – Matoušek, Válek, Jurčík. Připraven Kantor. Trenéři Rulík, Stránský, Šlégr</t>
  </si>
  <si>
    <t>Kantor (41. Soukup) – Kubát, Sørvik - Doudera, Gula - Dietz, Pilař - Sklenička – Černý, Hübl, Jánský – Trávníček (C), Gerhát, Vandas – Matoušek, Válek, Jurčík – Helt, Šimeček, Stříbrný. Trenéři Rulík, Stránský, Šlégr</t>
  </si>
  <si>
    <t>Soukup (32. Kantor) – Kubát, Sørvik – Doudera, Gula – Hunkes, Pilař - Z. Sklenička - Černý, Hübl, Jánský – Nejezchleb, Ihnačák, Hanzl – Trávníček (C), Gerhát, Vandas – Matoušek, Válek, Jurčík. Trenéři Stránský, Šlégr</t>
  </si>
  <si>
    <t>Petrásek – Hunkes, Kubát - Gula, Doudera - Sørvik, Baránek - Sklenička – Gerhát, Hübl, Nejezchleb – Černý, Ihnačák, Vandas – Trávníček (C), Hanzl, Jánský – Matoušek, Válek, Jurčík. Připraven Kantor. Trenéři Rulík, Stránský, Šlégr</t>
  </si>
  <si>
    <t>Petrásek – Hunkes, Kubát – Sørvik, Baránek – Gula, Sklenička – 41. Doudera – Lukeš, Hübl, Gerhát – Černý, Ihnačák, Vandas – Trávníček (C), Hanzl, Nejezchleb – Matoušek, Válek, Jurčík. Připraven Kantor. Trenéři Rulík, Stránský, Šlégr</t>
  </si>
  <si>
    <t>Petrásek – Hunkes, Kubát – Sørvik, Baránek – Gula, Sklenička – 41. Doudera – Lukeš, Hübl, Gerhát – Černý, Ihnačák, Vandas – Trávníček (C), Hanzl, Jánský – Matoušek, Válek, Jurčík. Připraven Kantor. Trenéři Rulík, Stránský, Šlégr</t>
  </si>
  <si>
    <t>Petrásek – Hunkes, Kubát – Sørvik, Baránek – Gula, Sklenička – Pilař – Lukeš, Hübl, Gerhát – Nejezchleb, Ihnačák, Vandas – Trávníček (C), Hanzl, Jánský – Matoušek, Válek, Jurčík. Připraven Kantor. Trenéři Rulík, Stránský, Šlégr</t>
  </si>
  <si>
    <t>Petrásek – Hunkes, Kubát – Sørvik, Baránek – Gula, Sklenička – Pilař – Lukeš, Hübl, Gerhát – Nejezchleb, Ihnačák, Vandas – Trávníček (C), Hanzl, Jánský – Matoušek, Jícha, Válek. Připraven Kantor. Trenéři Rulík, Stránský, Šlégr</t>
  </si>
  <si>
    <t>Kantor – Hunkes, Kubát – Sørvik, Baránek – Sklenička, Pilař – Gula - Lukeš, Hübl, Gerhát – Trávníček (C), Hanzl, Jánský – Matoušek, Válek, Vandas. Připraveni Petrásek, Dufek, Jícha, Havelka. Trenéři Rulík, Stránský, Šlégr</t>
  </si>
  <si>
    <t>Kantor – Hunkes, Kubát – Sørvik, Baránek – Sklenička, Pilař – Gula – F. Lukeš, Hübl, Gerhát – Trávníček (C), Hanzl, Jánský – Matoušek, Válek, Černý – 1. - 20. Dufek, Jícha, Havelka. Připraven Petrásek. Trenéři Rulík, Stránský, Šlégr</t>
  </si>
  <si>
    <t>Petrásek (38. Kantor) – Hunkes, Kubát – Sørvik, Baránek – Sklenička, Pilař – Gula – Lukeš, Hübl, Gerhát – Trávníček (C), Hanzl, Jánský – Matoušek, Válek, Vandas – Dufek, Jícha, Havelka. Trenéři Rulík, Stránský, Šlégr</t>
  </si>
  <si>
    <t>Kantor – Hunkes, Kubát – Sørvik, Baránek – Sklenička, Pilař – Gula – Lukeš, Hübl, Gerhát – Trávníček (C), Hanzl, Jánský – Matoušek, Válek, Helt – Dufek, Havlíček, Smolka. Připraven Petrásek. Trenéři Rulík, Stránský, Šlégr</t>
  </si>
  <si>
    <t>Kantor (31. Petrásek) – Hunkes, Kubát – Gula, Doudera – Sklenička, Pilař – Lukeš, Hübl, Gerhát – Trávníček (C), Hanzl, Havlíček – Smolka, Válek, Matoušek – Dufek, Jícha, Helt – 21. Havelka. Trenéři Rulík, Stránský, Šlégr</t>
  </si>
  <si>
    <t>Petrásek – Kubát, Sørvik – Baránek, Hunkes - Gula, Sklenička – 21. Doudera - Lukeš, Hübl, Dufek – Trávníček (C), Gerhát, Hanzl – Helt, Válek, Matoušek – Havelka, Havlíček, Smolka. Připraven Kantor. Trenéři Šlégr, Stránský, Weissmann, Skuhrovec</t>
  </si>
  <si>
    <t>Kantor – Kubát, Doudera – Šesták, Hunkes - Baránek, Gula – Lukeš, Hübl, Gerhát – Trávníček (C), Havlíček, Hanzl – Matoušek, Smolka, Havelka - Helt, Válek, Dufek. Připraveni Soukup a Franc. Trenéři Šlégr, Stránský, Weissmann, Skuhrovec</t>
  </si>
  <si>
    <t>Kantor – Kubát, Doudera – Šesták, Pilař - Baránek, Gula – od 2. tř. Sklenička - Lukeš, Hübl, Gerhát – Trávníček (C), Havlíček, Smolka – Matoušek, Hanzl, Havelka - Jícha, Válek, Dufek. Připraven Soukup. Trenéři Šlégr, Stránský, Weissmann, Skuhrovec</t>
  </si>
  <si>
    <t>Kantor (41. Soukup) – Kubát, Doudera – Šesták, Pilař – Baránek, Gula – Lukeš, Hübl, Hanzl – Trávníček (C), Gerhát, Jurčík – Matoušek, Válek, Havelka – Jícha, Havlíček, Smolka. Připraven Sklenička. Trenéři Šlégr, Stránský, Weissmann, Skuhrovec</t>
  </si>
  <si>
    <t>Kantor – Kubát, Pavlas – Iberer, Šesták – Baránek, Pilař – Doudera – Lukeš, Hübl, Hanzl – Trávníček (C), Gerhát, Jurčík – Matoušek, Kůs, Šimeček – Havelka, Havlíček, Válek. Připraven Soukup. Trenéři Šlégr, Stránský, Weissmann, Skuhrovec</t>
  </si>
  <si>
    <t>Kantor – Šesták, Iberer – Doudera, Gula - Baránek, Čutta – Lukeš, Hübl, Gerhát – Růžička, Mikúš, Kůs - Trávníček (C), Válek (1. - 20. min.), Jurčík – Řehoř, Šimeček, Stříbrný – 21. Hanzl. Připraven Soukup. Trenéři Šlégr, Stránský, Weissmann, Skuhrovec</t>
  </si>
  <si>
    <t>Kantor – Šesták, Iberer – Baránek, Gula - Kubát, Čutta – Doudera - Lukeš, Hübl, Gerhát – Růžička, Mikúš, Hanzl - Trávníček (C), Válek, Jurčík – Matoušek, Kůs, Havelka. Připraven Soukup. Trenéři Šlégr, Stránský, Weissmann, Skuhrovec</t>
  </si>
  <si>
    <t>Kantor – Šesták, Iberer – Kubát, Gula – Baránek, Čutta – Doudera – Lukeš, Hübl, Jánský – Růžička, Mikúš, Hanzl – Trávníček (C), Gerhát, Jurčík – Matoušek, Válek, Havelka. Připraven Soukup. Trenéři Šlégr, Stránský, Weissmann, Skuhrovec</t>
  </si>
  <si>
    <t>Kantor – Baránek, Iberer – Kubát, Gula – L. Doudera, Čutta – Sklenička – Marek Růžička, Mikúš, Hanzl - Lukeš, Hübl, Jánský – Trávníček (C), Gerhát, Jurčík – Matoušek, Válek, Řehoř. Připraven Soukup. Trenéři Šlégr, Stránský, Weissmann, Skuhrovec</t>
  </si>
  <si>
    <t>Kantor – Baránek, Iberer – Kubát, Gula – Doudera, Čutta – Sklenička – M. Růžička, Mikúš, Hanzl – Trávníček (C), Gerhát, Jurčík – Lukeš, Hübl, Jánský – Matoušek, Válek, Řehoř. Připraven Soukup. Trenéři Šlégr, Stránský, Weissmann, Skuhrovec</t>
  </si>
  <si>
    <t>Kantor – Iberer, Sørvik – Baránek, Čutta – Kubát, Gula – 21. Doudera – M. Růžička, Mikúš, Černý – Trávníček (C), Gerhát, Jurčík – F. Lukeš, Hübl, Jánský – Matoušek, Válek, Řehoř. Připraven Soukup. Trenéři Šlégr, Stránský, Weissmann, Skuhrovec</t>
  </si>
  <si>
    <t>Petrásek – Iberer, Sørvik – Kubát, Čutta – Baránek, Šesták – 15. Doudera – Černý, Mikúš, Růžička – Trávníček (C), Gerhát, Hanzl – Lukeš, Hübl, Jánský – Jurčík, Válek, Vandas. Připraven Kantor. Trenéři Šlégr, Stránský, Weissmann, Skuhrovec</t>
  </si>
  <si>
    <t>Petrásek – Iberer, Sørvik - Šesták, Čutta - Baránek, Gula - Černý, Mikúš, Růžička – Trávníček (C), Gerhát, Hanzl – Lukeš, Hübl, Jánský – Jurčík, Válek, Vandas. Připraveni Kantor a Doudera. Trenéři Šlégr, Stránský, Weissmann, Skuhrovec</t>
  </si>
  <si>
    <t>Petrásek – Iberer, Sørvik - Šesták, Čutta – Baránek, Gula – Doudera – Černý, Mikúš, Růžička – Trávníček (C), Gerhát, Hanzl – Lukeš, Hübl, Jánský – Jurčík, Válek, Matoušek. Připraven Kantor. Trenéři Šlégr, Stránský, Weissmann, Skuhrovec</t>
  </si>
  <si>
    <t>P / zápas</t>
  </si>
  <si>
    <t>Opce (roky)</t>
  </si>
  <si>
    <t>(12 hráčů)</t>
  </si>
  <si>
    <t>Ihnačák -&gt; Mikůš</t>
  </si>
  <si>
    <t>Vandas -&gt; Tůma</t>
  </si>
  <si>
    <t>Petružálek</t>
  </si>
  <si>
    <t>pro LIT</t>
  </si>
  <si>
    <t>výsledek</t>
  </si>
  <si>
    <t>L. Romančík</t>
  </si>
  <si>
    <t>M. Havlík</t>
  </si>
  <si>
    <t>plus_minus / zápas</t>
  </si>
  <si>
    <t>jak hrál Litvínov v playoff</t>
  </si>
  <si>
    <t>všechny výsledky z pohledu Litvínova</t>
  </si>
  <si>
    <t>soupeři v playoff</t>
  </si>
  <si>
    <t>kolikrát</t>
  </si>
  <si>
    <t>Jihlava</t>
  </si>
  <si>
    <t>Trenčín</t>
  </si>
  <si>
    <t>Sparta</t>
  </si>
  <si>
    <t>Zlín</t>
  </si>
  <si>
    <t>Pardubice</t>
  </si>
  <si>
    <t>Vítkovice</t>
  </si>
  <si>
    <t>Vsetín</t>
  </si>
  <si>
    <t>Košice</t>
  </si>
  <si>
    <t>Plzeň</t>
  </si>
  <si>
    <t>Kladno</t>
  </si>
  <si>
    <t>Slávie</t>
  </si>
  <si>
    <t>Třinec</t>
  </si>
  <si>
    <t>celkem:</t>
  </si>
  <si>
    <t>předkolo</t>
  </si>
  <si>
    <t>výsledek série</t>
  </si>
  <si>
    <t>kde se začalo</t>
  </si>
  <si>
    <t>1. zápas</t>
  </si>
  <si>
    <t>2. zápas</t>
  </si>
  <si>
    <t>3. zápas</t>
  </si>
  <si>
    <t>4. zápas</t>
  </si>
  <si>
    <t>5. zápas</t>
  </si>
  <si>
    <t>6. zápas</t>
  </si>
  <si>
    <t>7. zápas</t>
  </si>
  <si>
    <t>doma</t>
  </si>
  <si>
    <t>venku</t>
  </si>
  <si>
    <t>skóre celkem</t>
  </si>
  <si>
    <t>ČTF</t>
  </si>
  <si>
    <t>6:7pp</t>
  </si>
  <si>
    <t>3:2pp</t>
  </si>
  <si>
    <t>3:2sn</t>
  </si>
  <si>
    <t>4:5sn</t>
  </si>
  <si>
    <t>3:4sn</t>
  </si>
  <si>
    <t>2:1sn</t>
  </si>
  <si>
    <t>bilance zápasů chezy</t>
  </si>
  <si>
    <t>SF</t>
  </si>
  <si>
    <t>6:5pp</t>
  </si>
  <si>
    <t>4:5pp</t>
  </si>
  <si>
    <t>8:7pp</t>
  </si>
  <si>
    <t>FIN</t>
  </si>
  <si>
    <t>UMÍSTĚNÍ LITVÍNOVA V NEJVYŠŠÍ LIZE  (vznik klubu 1945, 1952 postup do krajského přeboru, 1955-56 oblastní soutěž, 1956-59 2. liga a 1959 postup do 1. ligy, později extraligy)</t>
  </si>
  <si>
    <t>.</t>
  </si>
  <si>
    <t>sezóna</t>
  </si>
  <si>
    <t>umístění</t>
  </si>
  <si>
    <t>počet týmů</t>
  </si>
  <si>
    <t>1959/1960</t>
  </si>
  <si>
    <t>8.</t>
  </si>
  <si>
    <t>1985/1986</t>
  </si>
  <si>
    <t>4.</t>
  </si>
  <si>
    <t>playoff 8 týmů</t>
  </si>
  <si>
    <t>2011/2012</t>
  </si>
  <si>
    <t>13.</t>
  </si>
  <si>
    <t>Po 10 týmů  (3. místo ze 4 ve skupině o udržení)</t>
  </si>
  <si>
    <t>1960/1961</t>
  </si>
  <si>
    <t>9.</t>
  </si>
  <si>
    <t>1986/1987</t>
  </si>
  <si>
    <t>po 8 týmů</t>
  </si>
  <si>
    <t>2012/2013</t>
  </si>
  <si>
    <t>6.</t>
  </si>
  <si>
    <t>playoff 10 týmů</t>
  </si>
  <si>
    <t>1961/1962</t>
  </si>
  <si>
    <t>11.</t>
  </si>
  <si>
    <t>mělo se sestoupit</t>
  </si>
  <si>
    <t>1987/1988</t>
  </si>
  <si>
    <t>2013/2014</t>
  </si>
  <si>
    <t>1962/1963</t>
  </si>
  <si>
    <t>7.</t>
  </si>
  <si>
    <t>1988/1989</t>
  </si>
  <si>
    <t>2014/2015</t>
  </si>
  <si>
    <t>1.!!</t>
  </si>
  <si>
    <t>1963/1964</t>
  </si>
  <si>
    <t>1989/1990</t>
  </si>
  <si>
    <t>3.</t>
  </si>
  <si>
    <t>2015/2016</t>
  </si>
  <si>
    <t>baráž 4 týmy - 1. místo</t>
  </si>
  <si>
    <t>1964/1965</t>
  </si>
  <si>
    <t>1990/1991</t>
  </si>
  <si>
    <t>2.</t>
  </si>
  <si>
    <t>playoff 4 týmů</t>
  </si>
  <si>
    <t>2016/2017</t>
  </si>
  <si>
    <t>1965/1966</t>
  </si>
  <si>
    <t>1991/1992</t>
  </si>
  <si>
    <t>playoff 12 týmů  (liga rozdělena do 2 skupin)</t>
  </si>
  <si>
    <t>1966/1967</t>
  </si>
  <si>
    <t>1992/1993</t>
  </si>
  <si>
    <t>po 12 týmů  (LIT vítěz základní části)</t>
  </si>
  <si>
    <t>1967/1968</t>
  </si>
  <si>
    <t>1993/1994</t>
  </si>
  <si>
    <t>po 8 týmů    (vznik samostatné ELH)</t>
  </si>
  <si>
    <t>1968/1969</t>
  </si>
  <si>
    <t>1994/1995</t>
  </si>
  <si>
    <t>1969/1970</t>
  </si>
  <si>
    <t>1995/1996</t>
  </si>
  <si>
    <t>playoff 12 týmů</t>
  </si>
  <si>
    <t>1970/1971</t>
  </si>
  <si>
    <t>1996/1997</t>
  </si>
  <si>
    <t>po 8 týmů   (v Evropské lize čtvrtfinále)</t>
  </si>
  <si>
    <t>1971/1972</t>
  </si>
  <si>
    <t>1997/1998</t>
  </si>
  <si>
    <t>1972/1973</t>
  </si>
  <si>
    <t>1998/1999</t>
  </si>
  <si>
    <t>po 8 týmů   (v Evropské lize skupina)</t>
  </si>
  <si>
    <t>1973/1974</t>
  </si>
  <si>
    <t>1999/2000</t>
  </si>
  <si>
    <t>po 8 týmů   (!!!naposledy dvoubodový systém!!!)</t>
  </si>
  <si>
    <t>1974/1975</t>
  </si>
  <si>
    <t>2000/2001</t>
  </si>
  <si>
    <t>po 8 týmů   (semifinále Zepter Hockey cupu)</t>
  </si>
  <si>
    <t>1975/1976</t>
  </si>
  <si>
    <t>2001/2002</t>
  </si>
  <si>
    <t>po 8 týmů   (semifinále THC)</t>
  </si>
  <si>
    <t>1976/1977</t>
  </si>
  <si>
    <t>2002/2003</t>
  </si>
  <si>
    <t>po 8 týmů   (vítěz Tipsport hockey cupu)</t>
  </si>
  <si>
    <t>1977/1978</t>
  </si>
  <si>
    <t>2003/2004</t>
  </si>
  <si>
    <t>10.</t>
  </si>
  <si>
    <t>po 8 týmů   (v THC 3. místo ve skupině ze 4)</t>
  </si>
  <si>
    <t>1978/1979</t>
  </si>
  <si>
    <t>5.</t>
  </si>
  <si>
    <t>2004/2005</t>
  </si>
  <si>
    <t>1979/1980</t>
  </si>
  <si>
    <t>2005/2006</t>
  </si>
  <si>
    <t>12.</t>
  </si>
  <si>
    <t>1980/1981</t>
  </si>
  <si>
    <t>2006/2007</t>
  </si>
  <si>
    <t>1981/1982</t>
  </si>
  <si>
    <t>2007/2008</t>
  </si>
  <si>
    <t>po 10 týmů   (v THC 2. místo ve skupině ze 4)</t>
  </si>
  <si>
    <t>1982/1983</t>
  </si>
  <si>
    <t>2008/2009</t>
  </si>
  <si>
    <t>Po 10 týmů  (v THC 5. místo ve skup.z 5)</t>
  </si>
  <si>
    <t>1983/1984</t>
  </si>
  <si>
    <t>2009/2010</t>
  </si>
  <si>
    <t>Po 10 týmů  (v THC 3. místo ve skup.z 5)</t>
  </si>
  <si>
    <t>1984/1985</t>
  </si>
  <si>
    <t>2010/2011</t>
  </si>
  <si>
    <t>Po 10 týmů  (v THC 5. místo ve skup.z 5, 0 bodů)</t>
  </si>
  <si>
    <t>ÚSPĚCHY</t>
  </si>
  <si>
    <t>1. místo</t>
  </si>
  <si>
    <t>předposlední</t>
  </si>
  <si>
    <t>2. místo</t>
  </si>
  <si>
    <t>poslední</t>
  </si>
  <si>
    <t>3. místo</t>
  </si>
  <si>
    <t>vítěz zákl. části</t>
  </si>
  <si>
    <t>4. místo</t>
  </si>
  <si>
    <t>účast v playoff (včetně předkola)</t>
  </si>
  <si>
    <t>5. místo</t>
  </si>
  <si>
    <t>sezón</t>
  </si>
  <si>
    <t xml:space="preserve">UMÍSTĚNÍ TÝMŮ V ČESKÉ ELH </t>
  </si>
  <si>
    <t>X znamená, že daný tým nehrál ten rok ELH</t>
  </si>
  <si>
    <t>93/94</t>
  </si>
  <si>
    <t>94/95</t>
  </si>
  <si>
    <t>95/96</t>
  </si>
  <si>
    <t>96/97</t>
  </si>
  <si>
    <t>97/98</t>
  </si>
  <si>
    <t>98/99</t>
  </si>
  <si>
    <t>99/100</t>
  </si>
  <si>
    <t>00/01</t>
  </si>
  <si>
    <t>01/02 ..</t>
  </si>
  <si>
    <t>02/03 ..</t>
  </si>
  <si>
    <t>03/04 ..</t>
  </si>
  <si>
    <t>04/05 ..</t>
  </si>
  <si>
    <t>05/06 ..</t>
  </si>
  <si>
    <t>06/07 ..</t>
  </si>
  <si>
    <t>07/08 ..</t>
  </si>
  <si>
    <t>08/09 ..</t>
  </si>
  <si>
    <t>09/10 ..</t>
  </si>
  <si>
    <t>10/11 ..</t>
  </si>
  <si>
    <t>11/12 ..</t>
  </si>
  <si>
    <t>12/13 ..</t>
  </si>
  <si>
    <t>13/14 ..</t>
  </si>
  <si>
    <t>14/15 ..</t>
  </si>
  <si>
    <t>15/16 ..</t>
  </si>
  <si>
    <t>16/17 ..</t>
  </si>
  <si>
    <t>LIT</t>
  </si>
  <si>
    <t>3 (1. v z.č.)</t>
  </si>
  <si>
    <t>1 (1. v z.č.)</t>
  </si>
  <si>
    <t>1  (1. v z.č.)</t>
  </si>
  <si>
    <t>5    (1. v z.č.)</t>
  </si>
  <si>
    <t>3.  (1. v ZČ)</t>
  </si>
  <si>
    <t xml:space="preserve"> X (postup)</t>
  </si>
  <si>
    <t>14. (sestup)</t>
  </si>
  <si>
    <t>X (postup)</t>
  </si>
  <si>
    <t>X</t>
  </si>
  <si>
    <t>5 (1. v z.č.)</t>
  </si>
  <si>
    <t xml:space="preserve">   2 (1. v z.č.)</t>
  </si>
  <si>
    <t>2 (1. v z.č.)</t>
  </si>
  <si>
    <t>5  (1. v zč)</t>
  </si>
  <si>
    <t>1 (1. v z. č.)</t>
  </si>
  <si>
    <t>2 (1. v ZČ)</t>
  </si>
  <si>
    <t>12 (prodej)</t>
  </si>
  <si>
    <t>14 (sestup)</t>
  </si>
  <si>
    <t>x</t>
  </si>
  <si>
    <t xml:space="preserve">X </t>
  </si>
  <si>
    <t xml:space="preserve">2 (1.v zč.) </t>
  </si>
  <si>
    <t>X (koupě)</t>
  </si>
  <si>
    <t>X  (postup)</t>
  </si>
  <si>
    <t>11 (sestup)</t>
  </si>
  <si>
    <t>13. (sestup)</t>
  </si>
  <si>
    <t>ZNO</t>
  </si>
  <si>
    <t>13 (prodej)</t>
  </si>
  <si>
    <t>VSE</t>
  </si>
  <si>
    <t>14 (vyloučen)</t>
  </si>
  <si>
    <t>HAV</t>
  </si>
  <si>
    <t>13 (sestup)</t>
  </si>
  <si>
    <t>OPA</t>
  </si>
  <si>
    <t>JHR</t>
  </si>
  <si>
    <t>12 (sestup)</t>
  </si>
  <si>
    <t>UNL</t>
  </si>
  <si>
    <t>Výsledky v samostatné české extralize</t>
  </si>
  <si>
    <t>(sestup sportovní cestou, nikoliv prodejem nebo vyloučením)</t>
  </si>
  <si>
    <t>čtvrtfinále</t>
  </si>
  <si>
    <t>semifinále</t>
  </si>
  <si>
    <t>finále</t>
  </si>
  <si>
    <t>mistr</t>
  </si>
  <si>
    <t>sestup</t>
  </si>
  <si>
    <t xml:space="preserve">vítěz zákl. č. </t>
  </si>
  <si>
    <t>kontrola</t>
  </si>
  <si>
    <t>výsledky Litvínova</t>
  </si>
  <si>
    <t>všechny výsledky z pohledu Litvínova!!</t>
  </si>
  <si>
    <t xml:space="preserve">sezóna 2008/2009 </t>
  </si>
  <si>
    <t xml:space="preserve">sezóna 2009/2010 </t>
  </si>
  <si>
    <t>(6. místo)</t>
  </si>
  <si>
    <t>zákl. č.  (3.)</t>
  </si>
  <si>
    <t>(10. místo)</t>
  </si>
  <si>
    <t>zákl. č.  (10.)</t>
  </si>
  <si>
    <t>výsledky</t>
  </si>
  <si>
    <t>1. zápas doma</t>
  </si>
  <si>
    <t>2. zápas doma</t>
  </si>
  <si>
    <t>1. zápas venku</t>
  </si>
  <si>
    <t>2. zápas venku</t>
  </si>
  <si>
    <t>skóre celkově</t>
  </si>
  <si>
    <t>body</t>
  </si>
  <si>
    <t>bilance</t>
  </si>
  <si>
    <t>+</t>
  </si>
  <si>
    <t>-</t>
  </si>
  <si>
    <t>LIT-BUD</t>
  </si>
  <si>
    <t>LIT-BRN</t>
  </si>
  <si>
    <t>LIT-SLA</t>
  </si>
  <si>
    <t>=</t>
  </si>
  <si>
    <t>LIT-ZLN</t>
  </si>
  <si>
    <t>5:4SN</t>
  </si>
  <si>
    <t>LIT-PAR</t>
  </si>
  <si>
    <t>LIT-VIT</t>
  </si>
  <si>
    <t>4:3SN</t>
  </si>
  <si>
    <t>6:5sn</t>
  </si>
  <si>
    <t>LIT-LIB</t>
  </si>
  <si>
    <t>LIT-MBO</t>
  </si>
  <si>
    <t>1:2PP</t>
  </si>
  <si>
    <t>LIT-KVA</t>
  </si>
  <si>
    <t>LIT-SPA</t>
  </si>
  <si>
    <t>6:5SN</t>
  </si>
  <si>
    <t>LIT-TRI</t>
  </si>
  <si>
    <t>3:2SN</t>
  </si>
  <si>
    <t>LIT-PLZ</t>
  </si>
  <si>
    <t>LIT-KLA</t>
  </si>
  <si>
    <t>playoff:</t>
  </si>
  <si>
    <t>skóre</t>
  </si>
  <si>
    <t>Zápasy playoff:</t>
  </si>
  <si>
    <t>předkolo:</t>
  </si>
  <si>
    <t xml:space="preserve">sezóna 2007/2008 </t>
  </si>
  <si>
    <t xml:space="preserve">sezóna 2010/2011 </t>
  </si>
  <si>
    <t>zákl. č.  (8.)</t>
  </si>
  <si>
    <t>(5. místo)</t>
  </si>
  <si>
    <t>zákl. č.  (5.)</t>
  </si>
  <si>
    <t>(8. místo)</t>
  </si>
  <si>
    <t>1:2pp</t>
  </si>
  <si>
    <t>5:6pp</t>
  </si>
  <si>
    <t>LIT-ZNO</t>
  </si>
  <si>
    <t>LIT-UNL</t>
  </si>
  <si>
    <t>čtvrtfinále:</t>
  </si>
  <si>
    <t xml:space="preserve">sezóna 2006/2007 </t>
  </si>
  <si>
    <t>(12. místo)</t>
  </si>
  <si>
    <t>zákl. č.  (12.)</t>
  </si>
  <si>
    <t>začaly se jezdit samostatné nájezdy po 5 minutách prodloužení</t>
  </si>
  <si>
    <t xml:space="preserve">sezóna 2011/2012 </t>
  </si>
  <si>
    <t>zákl. č.  (13.)</t>
  </si>
  <si>
    <t>(13. místo)</t>
  </si>
  <si>
    <t>5:4pp</t>
  </si>
  <si>
    <t>LIT-VSE</t>
  </si>
  <si>
    <t>sezóna 2005/2006</t>
  </si>
  <si>
    <t>Nadstavba o 11.-14. místo</t>
  </si>
  <si>
    <t>sezóna 2012/2013</t>
  </si>
  <si>
    <t>zákl. č.  (6.)</t>
  </si>
  <si>
    <t>7:6pp</t>
  </si>
  <si>
    <t xml:space="preserve">Plzeň  </t>
  </si>
  <si>
    <t>Karovy Vary</t>
  </si>
  <si>
    <t>Liberec</t>
  </si>
  <si>
    <t>sezóna 2004/2005</t>
  </si>
  <si>
    <t>Chomutov</t>
  </si>
  <si>
    <t>0:1pp</t>
  </si>
  <si>
    <t>Playoff:</t>
  </si>
  <si>
    <t>Čtvrtfinále:</t>
  </si>
  <si>
    <t>sezóna 2013/2014</t>
  </si>
  <si>
    <t>zákl. č.  (11.)</t>
  </si>
  <si>
    <t>(11. místo)</t>
  </si>
  <si>
    <t>1:0sn</t>
  </si>
  <si>
    <t>LIT-JIH</t>
  </si>
  <si>
    <t>Playout :</t>
  </si>
  <si>
    <t>sezóna 2003/2004</t>
  </si>
  <si>
    <t>sezóna 2014/2015</t>
  </si>
  <si>
    <t>zákl. č.  (2.)</t>
  </si>
  <si>
    <t>sezóna 2002/2003</t>
  </si>
  <si>
    <t>Olomouc</t>
  </si>
  <si>
    <t>7.  zápas</t>
  </si>
  <si>
    <t>Semifinále:</t>
  </si>
  <si>
    <t>Finále:</t>
  </si>
  <si>
    <t>sezóna 2015/2016</t>
  </si>
  <si>
    <t>LIT-HAV</t>
  </si>
  <si>
    <t>sezóna 2001/2002</t>
  </si>
  <si>
    <t>sezóna 2016/2017</t>
  </si>
  <si>
    <t>sezóna 2000/2001</t>
  </si>
  <si>
    <t>(7. místo)</t>
  </si>
  <si>
    <t>zákl. č.  (4.)</t>
  </si>
  <si>
    <t>LIT-HRK</t>
  </si>
  <si>
    <t>!!!!!!!! OD TEĎ nahoru TŘÍBODOVÝ SYSTÉM  !!!!!!!!</t>
  </si>
  <si>
    <t>sezóna 1999/2000</t>
  </si>
  <si>
    <t>(4. místo)</t>
  </si>
  <si>
    <t>zákl. č.  (7.)</t>
  </si>
  <si>
    <t>sezóna 1998/1999</t>
  </si>
  <si>
    <t>(9. místo)</t>
  </si>
  <si>
    <t>zákl. č.  (9.)</t>
  </si>
  <si>
    <t>LIT-OPA</t>
  </si>
  <si>
    <t>sezóna 1997/1998</t>
  </si>
  <si>
    <t>sezóna 1996/1997</t>
  </si>
  <si>
    <t>LIT-OLO</t>
  </si>
  <si>
    <t>sezóna 1995/1996</t>
  </si>
  <si>
    <t>(2. místo)</t>
  </si>
  <si>
    <t>LIT-BNO</t>
  </si>
  <si>
    <t>5.4sn</t>
  </si>
  <si>
    <t>sezóna 1994/1995</t>
  </si>
  <si>
    <t>hrálo se na prodloužení, kdo prohrál v prodloužení, neměl ani bod, když nepadl gól, byla remíza</t>
  </si>
  <si>
    <t>sezóna 1993/1994</t>
  </si>
  <si>
    <t>LIT-JHR</t>
  </si>
  <si>
    <t>ROZDĚLENÍ FEDERÁLNÍ LIGY A OD TEĎ SAMOSTATNÁ ČESKÁ LIGA (ELH)</t>
  </si>
  <si>
    <t>sezóna 1992/1993</t>
  </si>
  <si>
    <t>zákl. č.  (1.)</t>
  </si>
  <si>
    <t>LIT-TRE</t>
  </si>
  <si>
    <t>LIT-KOS</t>
  </si>
  <si>
    <t>LIT-POP</t>
  </si>
  <si>
    <t>LIT-BRA</t>
  </si>
  <si>
    <t>o 3. místo</t>
  </si>
  <si>
    <t>sezóna 1991/1992</t>
  </si>
  <si>
    <t>(3. místo)</t>
  </si>
  <si>
    <t>zákl. č.  (ve skupině Západ 2., celk. 3.)</t>
  </si>
  <si>
    <t>8:9pp</t>
  </si>
  <si>
    <t>sezóna 1990/1991</t>
  </si>
  <si>
    <t>LIT-NIT</t>
  </si>
  <si>
    <t>počítám pouze základní část</t>
  </si>
  <si>
    <t>nadstavba a skupina o udržení není započítávána</t>
  </si>
  <si>
    <t>pokud vždy tříbodový systém</t>
  </si>
  <si>
    <t>pokud vždy dvoubodový systém</t>
  </si>
  <si>
    <t>61/62 se mělo sestoupit</t>
  </si>
  <si>
    <t>zápasů ZČ</t>
  </si>
  <si>
    <t>výhry pp, sn</t>
  </si>
  <si>
    <t>všechny výhry / zápasy</t>
  </si>
  <si>
    <t>výhry po 60 minutách / zápasy</t>
  </si>
  <si>
    <t>body / zápasy</t>
  </si>
  <si>
    <t>skutečné body</t>
  </si>
  <si>
    <t>Systém</t>
  </si>
  <si>
    <t>2017/2018</t>
  </si>
  <si>
    <t>remízy bez prodloužení</t>
  </si>
  <si>
    <t>už se zase hrálo na remízy bez prodloužení</t>
  </si>
  <si>
    <t>začaly se jezdit nájezdy po pěti minutách prodloužení, remízy jako takové zrušeny</t>
  </si>
  <si>
    <t>začal 3 bodový systém, prodloužení 5 minut, když nepadl gól, tak remíza, výhra po 60 minutách 3 body, výhra v prodloužení 2 body, remíza nebo prohra v prodloužení 1 bod</t>
  </si>
  <si>
    <t>hrálo se bez remízy do rozhodnutí, za prohru v prodloužení 0 bodů</t>
  </si>
  <si>
    <t>2 bodový systém, výhra 2 body, remíza 1 bod, remízy bez prodloužení</t>
  </si>
  <si>
    <t>Soupiska LIT</t>
  </si>
  <si>
    <t>1:6 (odečteno)</t>
  </si>
  <si>
    <t>(MISTŘI!!)</t>
  </si>
  <si>
    <t>sezóna 2017/2018</t>
  </si>
  <si>
    <t>zákl. č.  (14.)</t>
  </si>
  <si>
    <t>sezóna 2018/2019</t>
  </si>
  <si>
    <t>naposledy, kdo prohrál v prodloužení, neměl ani bod, když nepadl gól, byla remíza</t>
  </si>
  <si>
    <t>výhra 3 body, výhra pp,sn 2 body, prohra pp,sn, remíza 1 bod</t>
  </si>
  <si>
    <t>Průběh zápasu</t>
  </si>
  <si>
    <t>1. gól</t>
  </si>
  <si>
    <t>2. gól</t>
  </si>
  <si>
    <t>3. gól</t>
  </si>
  <si>
    <t>4. gól</t>
  </si>
  <si>
    <t>5. gól</t>
  </si>
  <si>
    <t>6. gól</t>
  </si>
  <si>
    <t>17/18 ..</t>
  </si>
  <si>
    <t>ČTF / sezón</t>
  </si>
  <si>
    <t>Umístění LIT</t>
  </si>
  <si>
    <t>Tabulka pravdy</t>
  </si>
  <si>
    <t>Petrásek – Iberer, Sklenička - Šesták, Čutta – Baránek, Doudera - Gula - F. Lukeš, Hübl, Jánský – Trávníček (C), Gerhát, M. Růžička - Černý, Mikúš, Hanzl – Jurčík, Válek, Řehoř. Připraven Kantor. Trenéři Šlégr, Stránský, Weissmann, Skuhrovec</t>
  </si>
  <si>
    <t>Kantor – Iberer, Šesták – Frolo, Čutta – Sklenička, Gula – Doudera – Lukeš, Hübl, Jánský – Trávníček (C), Řehoř, M. Růžička - Černý, Mikúš, Hanzl – Jurčík, Válek, Jícha. Připraven Petrásek. Trenéři Šlégr, Stránský, Weissmann, Skuhrovec</t>
  </si>
  <si>
    <t>Petrásek (21. Kantor) – Iberer, Sørvik – Baránek, Čutta – Frolo, Sklenička – Doudera – Lukeš, Mikúš, Černý – Trávníček (C), Řehoř, Růžička – Jurčík, Válek, Jícha – Matoušek, Hanzl, Jánský. Trenéři Šlégr, Stránský, Weissmann, Skuhrovec</t>
  </si>
  <si>
    <t>Kantor - Šesták, Sørvik – Baránek, Čutta – Frolo, Sklenička – Doudera – Lukeš, Mikúš, Černý – Trávníček (C), Řehoř, Růžička – Jurčík, Šimeček, Jícha – Matoušek, Hanzl, Jánský. Připraven Petrásek. Trenéři Šlégr, Stránský, Weissmann, Skuhrovec</t>
  </si>
  <si>
    <t>Petrásek - Iberer, Sørvik – Baránek, Čutta – Šesták, Gula – Doudera – Lukeš, Hübl, Jícha - Trávníček (C), Řehoř, M. Růžička – Jurčík, Válek, Hanzl - Matoušek, Mikúš, Černý. Připraven Kantor. Trenéři Šlégr, Stránský, Weissmann, Skuhrovec</t>
  </si>
  <si>
    <t>Petrásek (30. Kantor) – Iberer, Šesták – Gula, Čutta – Frolo, Doudera – Trávníček, Řehoř, Jánský – Matoušek, Válek, Doležal – Smolka, Šimeček, Stříbrný – Dufek, Jícha, Růžička – Mikúš. Trenéři Šlégr, Stránský, Weissmann, Skuhrovec</t>
  </si>
  <si>
    <t>Petrásek – Baránek, Sørvik – Frolo, Šesták – Sklenička, Gula – Černý, Mikúš, Hanzl – Trávníček (C), Řehoř, Matoušek – Lukeš, Hübl, Jánský – Jurčík, Válek, Jícha. Připraveni Kantor a Doudera. Trenéři Šlégr, Stránský, Weissmann, Skuhrovec</t>
  </si>
  <si>
    <t>Petrásek – Baránek, Sørvik – Frolo, Šesták – Sklenička, Gula – Černý, Mikúš, Gerhát – Trávníček (C), Řehoř, Matoušek – Lukeš, Hübl, Jánský – Jurčík, Válek, Jícha. Připraveni Kantor a Doudera. Trenéři Šlégr, Stránský, Weissmann, Skuhrovec</t>
  </si>
  <si>
    <t>Petrásek – Baránek, Sørvik – Frolo, Šesták – Sklenička, Gula – 21. Doudera - Černý, Mikúš, Gerhát – Trávníček (C), Řehoř, Matoušek – Lukeš, Hübl, Jánský – Jurčík, Válek, Jícha. Připraven Kantor. Trenéři Šlégr, Stránský, Weissmann, Skuhrovec</t>
  </si>
  <si>
    <t>Petrásek – Sørvik, Baránek – Iberer, Hunkes - Frolo, Sklenička – Černý, Mikúš, Gerhát – Lukeš, Hübl, Jánský - Trávníček (C), Řehoř, Matoušek – Jurčík, Válek, Hanzl. Připraveni Kantor a Doudera. Trenéři Šlégr, Stránský, Weissmann, Skuhrovec</t>
  </si>
  <si>
    <t>Petrásek – Sørvik, Baránek – Iberer, Hunkes – Frolo, Sklenička – 21. Doudera – Růžička, Mikúš, Hanzl – Lukeš, Hübl, Gerhát – Trávníček (C), Řehoř, Matoušek – Jurčík, Válek, Jícha. Připraven Kantor. Trenéři Šlégr, Stránský, Weissmann, Skuhrovec</t>
  </si>
  <si>
    <t>Petrásek – Baránek, Iberer – Šesták, Hunkes – Frolo, Sklenička – 41. Doudera – Černý, Mikúš, Hanzl – Lukeš, Hübl, Gerhát – Trávníček (C), Řehoř, Matoušek – Jurčík, Válek, Jícha. Připraven Kantor. Trenéři Šlégr, Stránský, Weissmann, Skuhrovec</t>
  </si>
  <si>
    <t>Petrásek (36. Kantor) – Baránek, Sørvik – Iberer, Hunkes – Frolo, Šesták – Doudera – Černý, Mikúš, Hanzl – Lukeš, Hübl, Gerhát – Trávníček (C), Řehoř, Matoušek – Jurčík (do 20. min.), Válek, Jícha. Trenéři Šlégr, Stránský, Weissmann, Skuhrovec</t>
  </si>
  <si>
    <t>Kantor – Baránek, Sørvik – Frolo, Gula – Čutta, Sklenička – Růžička, Mikúš, Hanzl – Lukeš, Hübl, Jánský – Trávníček, Gerhát, Řehoř – Černý, Válek, Matoušek. Připraveni Petrásek a Doudera. Trenéři Šlégr, Stránský, Weissmann, Skuhrovec</t>
  </si>
  <si>
    <t>Kantor – Baránek, Sørvik – Frolo, Gula – Čutta, Sklenička – 61. Doudera – Růžička, Mikúš, Hanzl – Lukeš, Hübl, Jánský – Trávníček (C), Gerhát, Řehoř – Černý, Válek, Matoušek. Připraven Petrásek. Trenéři Šlégr, Stránský, Weissmann, Skuhrovec</t>
  </si>
  <si>
    <t>Kantor – Baránek, Sørvik – Frolo, Gula – Iberer, Sklenička – Doudera – Černý, Mikúš, Hanzl – Lukeš, Hübl, Jánský – Trávníček (C), Gerhát, Řehoř – Válek, Matoušek. Připraven Petrásek. Trenéři Šlégr, Stránský, Weissmann, Skuhrovec</t>
  </si>
  <si>
    <t>Kantor – Baránek, Sørvik – Frolo, Gula – Iberer, Sklenička – Doudera – Černý, Mikúš, Hanzl – Lukeš, Hübl, Jánský – Trávníček (C), Gerhát, Řehoř – Matoušek, Válek, Jícha. Připraven Petrásek. Trenéři Šlégr, Stránský, Weissmann, Skuhrovec</t>
  </si>
  <si>
    <t>Počet</t>
  </si>
  <si>
    <t>M. Hanuljak</t>
  </si>
  <si>
    <t>2008/2007</t>
  </si>
  <si>
    <t>PLAYOFF</t>
  </si>
  <si>
    <t>3. zápas doma</t>
  </si>
  <si>
    <t>3. zápas venku</t>
  </si>
  <si>
    <t>4. zápas venku</t>
  </si>
  <si>
    <t>SF 14/15</t>
  </si>
  <si>
    <t>ČTF 10/11</t>
  </si>
  <si>
    <t>F 14/15</t>
  </si>
  <si>
    <t>PP 10/11</t>
  </si>
  <si>
    <t>ČTF 12/13</t>
  </si>
  <si>
    <t>ČTF 16/17</t>
  </si>
  <si>
    <t>Zápas venku</t>
  </si>
  <si>
    <t>ČTF 14/15</t>
  </si>
  <si>
    <t>ČTF 07/08</t>
  </si>
  <si>
    <t>ČTF 08/09</t>
  </si>
  <si>
    <t>P</t>
  </si>
  <si>
    <t>Janus (Hanuljak) – Baránek, Hunkes, Kubát, Sörvik, Ščotka, L. Doudera, Šesták – J. Černý (A), J. Mikúš, Petružálek – F. Lukeš, V. Hübl (A), Myšák – Trávníček (C), Gerhát, D. Tůma – Matoušek, M. Hanzl, Jurčík.</t>
  </si>
  <si>
    <t>6:0,, 6:2</t>
  </si>
  <si>
    <t>0:1,, 4:1,, 4:3</t>
  </si>
  <si>
    <t>2:0,, 2:1,, 3:1,, 3:2,, 5:2</t>
  </si>
  <si>
    <t>3:0,, 3:1,, 4:1</t>
  </si>
  <si>
    <t xml:space="preserve">16. Tomáš MATOUŠEK (Ondřej JURČÍK)  </t>
  </si>
  <si>
    <t xml:space="preserve">6. Karel KUBÁT (František LUKEŠ, František GERHÁT) (PP) </t>
  </si>
  <si>
    <t xml:space="preserve">37. Viktor HÜBL (František LUKEŠ, Jan MYŠÁK)  </t>
  </si>
  <si>
    <t>56. Juraj MIKÚŠ (Jakub PETRUŽÁLEK, František LUKEŠ)</t>
  </si>
  <si>
    <t xml:space="preserve">19. David TŮMA (Karel KUBÁT, František GERHÁT)  </t>
  </si>
  <si>
    <t xml:space="preserve">21. Juraj MIKÚŠ (Jakub PETRUŽÁLEK)  </t>
  </si>
  <si>
    <t xml:space="preserve">35. Karel KUBÁT (Jakub PETRUŽÁLEK)  </t>
  </si>
  <si>
    <t>1:0p</t>
  </si>
  <si>
    <t>0:1,, 1:1,, 1:3,, 3:3,, 4:3pp</t>
  </si>
  <si>
    <t>0:1,, 2:1</t>
  </si>
  <si>
    <t>Bodů celkově</t>
  </si>
  <si>
    <t>Janus (Hanuljak) – Baránek, Hunkes, Kubát, Šesták, Ščotka, L. Doudera, Romančík – J. Černý, J. Mikúš, Petružálek (A) – F. Lukeš, V. Hübl (A), Myšák – Trávníček (C), Gerhát, Tůma – Matoušek, M. Hanzl, Jurčík.</t>
  </si>
  <si>
    <t>Janus (Hanuljak) – Hunkes, Šesták, Romančík, Kubát, L. Doudera, Ščotka, Strejček – Petružálek (A), Gerhát, Trávníček (C) – Myšák, V. Hübl (A), F. Lukeš – D. Tůma, J. Mikúš, J. Černý – Jurčík, M. Hanzl, Matoušek.</t>
  </si>
  <si>
    <t>Janus (Hanuljak) – Hunkes, Baránek, Sörvik, Kubát, L. Doudera, Ščotka, Šesták – Petružálek, J. Mikúš, J. Černý – Myšák, V. Hübl, F. Lukeš – D. Tůma, Gerhát, Trávníček – Jurčík, M. Hanzl, Matoušek.</t>
  </si>
  <si>
    <t>Janus (Hanuljak) – Hunkes, Baránek, Šesták, Kubát, L. Doudera, Ščotka, Romančík – Petružálek (A), J. Mikúš, J. Černý – Myšák, V. Hübl (A), F. Lukeš – D. Tůma, Gerhát, Trávníček (C) – Jurčík, M. Hanzl, Matoušek.</t>
  </si>
  <si>
    <t xml:space="preserve">11. Jan MYŠÁK (František LUKEŠ, Viktor HÜBL)  </t>
  </si>
  <si>
    <t>59. David TŮMA (Michal TRÁVNÍČEK)  (EN)</t>
  </si>
  <si>
    <t>12. Jan ŠČOTKA</t>
  </si>
  <si>
    <t xml:space="preserve">16. Jan ŠČOTKA (Michal TRÁVNÍČEK, Lukáš DOUDERA)  </t>
  </si>
  <si>
    <t>27. František LUKEŠ (Karel KUBÁT, Viktor HÜBL)  (PP)</t>
  </si>
  <si>
    <t xml:space="preserve">47. Juraj MIKÚŠ (Jakub PETRUŽÁLEK)  </t>
  </si>
  <si>
    <t>50.  František GERHÁT (Jiří HUNKES, Viktor HÜBL)  (PP)</t>
  </si>
  <si>
    <t>17. František LUKEŠ (Jakub PETRUŽÁLEK)  (PP)</t>
  </si>
  <si>
    <t>26. František LUKEŠ (Viktor HÜBL)  (PP)</t>
  </si>
  <si>
    <t>24. Viktor HÜBL</t>
  </si>
  <si>
    <t>56. David TŮMA (František GERHÁT)</t>
  </si>
  <si>
    <t>Jel jsem, výjezd s fanklubem</t>
  </si>
  <si>
    <t xml:space="preserve">Janus (Hanuljak) – Šesták, Hunkes, Ščotka, L. Doudera, Trávníček (C), Romančík, Strejček – M. Hanzl, Gerhát, Petružálek (A) – F. Lukeš, V. Hübl (A), Myšák – J. Černý, J. Mikúš, D. Tůma – Matoušek, Řehoř, Jurčík. </t>
  </si>
  <si>
    <t>Janus (Hanuljak) – Hunkes, Šesták, Ščotka, L. Doudera, Romančík, Trávníček (C), Strejček – Petružálek (A), Gerhát, J. Černý – Myšák, V. Hübl (A), F. Lukeš – D. Tůma, M. Hanzl, Matoušek – Jurčík, Řehoř, M. Havelka.</t>
  </si>
  <si>
    <t xml:space="preserve">11. Jan MYŠÁK (Viktor HÜBL)  </t>
  </si>
  <si>
    <t xml:space="preserve">46. Jakub PETRUŽÁLEK (František GERHÁT)  </t>
  </si>
  <si>
    <t>49. Michal TRÁVNÍČEK (Martin HANZL, Jakub PETRUŽÁLEK) (PP)</t>
  </si>
  <si>
    <t xml:space="preserve">62. Viktor HÜBL (František LUKEŠ, Jaroslav JANUS)  </t>
  </si>
  <si>
    <t xml:space="preserve">33.  Jan ŠČOTKA (Juraj MIKÚŠ, Lukáš DOUDERA)  </t>
  </si>
  <si>
    <t>%</t>
  </si>
  <si>
    <t>45. František LUKEŠ (Karel KUBÁT)  (PP)</t>
  </si>
  <si>
    <t>Odehr. z.</t>
  </si>
  <si>
    <t>P. Kváča</t>
  </si>
  <si>
    <t>0:3,, 1:3</t>
  </si>
  <si>
    <t>Janus (Kváča) – Šesták, Hunkes, Ščotka, L. Doudera, Baránek, Romančík, Strejček – J. Černý, J. Mikúš (A), Petružálek – F. Lukeš (A), V. Hübl, Myšák – Trávníček (C), M. Hanzl, D. Tůma – Matoušek, Jurčík, M. Havelka.</t>
  </si>
  <si>
    <t>Kváča (Hanuljak) – Hunkes, Strejček, L. Doudera, Ščotka, Romančík, Baránek, Šesták – Petružálek (A), Gerhát, Trávníček (C) – Myšák, V. Hübl (A), F. Lukeš – D. Tůma, M. Hanzl, J. Černý – M. Havelka, Jurčík, Matoušek.</t>
  </si>
  <si>
    <t xml:space="preserve">37. František LUKEŠ (Jan MYŠÁK, Jan STREJČEK)  </t>
  </si>
  <si>
    <t>42. Viktor HÜBL (František LUKEŠ, Jakub PETRUŽÁLEK) (PP)</t>
  </si>
  <si>
    <t>1. čtvrtina celk.</t>
  </si>
  <si>
    <t>VP</t>
  </si>
  <si>
    <t>PP</t>
  </si>
  <si>
    <t>Skóre</t>
  </si>
  <si>
    <t>Bodů</t>
  </si>
  <si>
    <t>Doma</t>
  </si>
  <si>
    <t>Venku</t>
  </si>
  <si>
    <t>2. čtvrtina celk.</t>
  </si>
  <si>
    <t>3. čtvrtina celk.</t>
  </si>
  <si>
    <t>4. čtvrtina celk.</t>
  </si>
  <si>
    <t>Baráž celk.</t>
  </si>
  <si>
    <t>Playout celk.</t>
  </si>
  <si>
    <t>Základní část celk.</t>
  </si>
  <si>
    <t>59:68</t>
  </si>
  <si>
    <t>59:100</t>
  </si>
  <si>
    <t>118:168</t>
  </si>
  <si>
    <t>Statistiky zápasů po jednotlivých částech ligy - sezóna 2018/2019</t>
  </si>
  <si>
    <t>Statistiky zápasů po jednotlivých částech ligy - sezóna 2017/2018</t>
  </si>
  <si>
    <t>J. Suchánek</t>
  </si>
  <si>
    <t>Kontrola</t>
  </si>
  <si>
    <t>Odehráno zápasů</t>
  </si>
  <si>
    <t>Tým</t>
  </si>
  <si>
    <t>Ztraceno doma</t>
  </si>
  <si>
    <t>Drážďany</t>
  </si>
  <si>
    <t>Získáno venku</t>
  </si>
  <si>
    <t>Celkem</t>
  </si>
  <si>
    <t>Litvínov</t>
  </si>
  <si>
    <t>KV Arena</t>
  </si>
  <si>
    <t>Příprava na sezónu 2018/2019</t>
  </si>
  <si>
    <t>"body"</t>
  </si>
  <si>
    <t>Jméno hráče</t>
  </si>
  <si>
    <t>Věk</t>
  </si>
  <si>
    <t>Kdy odešel</t>
  </si>
  <si>
    <t>Jeli jsme s Katkou a Tomášem</t>
  </si>
  <si>
    <t>Jeli jsme, výjezd s fanklubem</t>
  </si>
  <si>
    <t>Byli jsme sami (hotel U Šimla)</t>
  </si>
  <si>
    <t>1:0,, 1:4</t>
  </si>
  <si>
    <t xml:space="preserve">56. Jakub ČERNÝ (Martin HANZL, Jakub PETRUŽÁLEK)  </t>
  </si>
  <si>
    <t>Janus (Hanuljak) – Hunkes, Baránek, Sörvik, Suchánek, Romančík, Ščotka, Šesták – Myšák, V. Hübl (A), F. Lukeš – J. Černý, Gerhát, Trávníček (C) – Jánský, Petružálek (A), M. Hanzl – Jurčík, Válek, Jícha.</t>
  </si>
  <si>
    <t>Janus (Hanuljak) – Baránek, Hunkes, Suchánek, Šesták, Ščotka, Romančík – F. Lukeš, V. Hübl (A), Myšák – Trávníček (C), Gerhát, J. Černý – M. Hanzl, Petružálek (A), Jánský – Jícha, Válek, Jurčík.</t>
  </si>
  <si>
    <t>Janus (Hanuljak) – Suchánek, Hunkes, Baránek, Sörvik, Šesták, Ščotka, Romančík – F. Lukeš, V. Hübl, Petružálek – Trávníček, Gerhát, Myšák – Jurčík, M. Hanzl, J. Černý – Matoušek, Válek, Jícha.</t>
  </si>
  <si>
    <t>Byl jsem?</t>
  </si>
  <si>
    <t>ANO</t>
  </si>
  <si>
    <t>soupeř</t>
  </si>
  <si>
    <t>Prohrané série</t>
  </si>
  <si>
    <t>Vyhrané série</t>
  </si>
  <si>
    <t>Vyhrané zápasy</t>
  </si>
  <si>
    <t>Prohrané zápasy</t>
  </si>
  <si>
    <t>Pořadí</t>
  </si>
  <si>
    <t>Můj výjezdový plán</t>
  </si>
  <si>
    <t>32. Viktor HÜBL (František LUKEŠ) (SH)</t>
  </si>
  <si>
    <t>2. Michal TRÁVNÍČEK (František GERHÁT)</t>
  </si>
  <si>
    <t>Janus (Hanuljak) – Hunkes, Suchánek, Sörvik, Baránek, Romančík, Ščotka, Strejček – Petružálek (A), V. Hübl (A), F. Lukeš – Myšák, Gerhát, Trávníček (C) – Válek, J. Mikúš, Řehoř – Jurčík, M. Hanzl, Matoušek.</t>
  </si>
  <si>
    <t>Janus (Hanuljak) – Sörvik, Baránek, Romančík, Suchánek, Strejček, Ščotka, Březák – Petružálek (A), V. Hübl (A), F. Lukeš – Myšák, Gerhát, Trávníček (C) – Válek, J. Mikúš, Řehoř – Jurčík, M. Hanzl, Matoušek.</t>
  </si>
  <si>
    <t>0:2,, 1:2,, 1:3,, 2:3,, 2:5</t>
  </si>
  <si>
    <t>0:1,, 1:1,, 2:1pp</t>
  </si>
  <si>
    <t>0:1,, 2:1,, 2:4,, 3:4</t>
  </si>
  <si>
    <t xml:space="preserve">64. Juraj MIKÚŠ (Jan ŠČOTKA, Jakub PETRUŽÁLEK)  </t>
  </si>
  <si>
    <t>39. František LUKEŠ (Viktor HÜBL, Daniel SÖRVIK (PP)</t>
  </si>
  <si>
    <t>52.  Martin HANZL (Jaroslav JANUS, Michal TRÁVNÍČEK) (PP)</t>
  </si>
  <si>
    <t>Janus (Hanuljak) – Baránek, Sörvik, Ščotka, Hunkes, Suchánek, Romančík, Březák – M. Hanzl, J. Mikúš, Petružálek (A) – F. Lukeš, V. Hübl (A), Válek – Trávníček (C), Gerhát, J. Černý – Jurčík, Řehoř, Jícha</t>
  </si>
  <si>
    <t>M. Porseland</t>
  </si>
  <si>
    <t>7. gól</t>
  </si>
  <si>
    <t>7 vstřelených gólů</t>
  </si>
  <si>
    <t>2:0,, 2:1,, 3:1,, 3:2,, 7:2</t>
  </si>
  <si>
    <t>Janus (Hanuljak) – Březák, Baránek, Hunkes, Ščotka, Romančík, Suchánek – Petružálek, J. Mikúš, M. Hanzl – Válek, V. Hübl, F. Lukeš – J. Černý, Gerhát, Trávníček – Jurčík, Řehoř, M. Havelka.</t>
  </si>
  <si>
    <t>Janus (17. Hanuljak) – Ščotka, Porseland, Baránek, Hunkes, Romančík – Válek, J. Mikúš (A), Petružálek – F. Lukeš (A), V. Hübl, Myšák (C) – Trávníček, Gerhát, Jurčík – Matoušek, M. Hanzl, Řehoř.</t>
  </si>
  <si>
    <t>Janus (od 41. Hanuljak) – Baránek, Sörvik, Suchánek, Romančík, Ščotka (A), Strejček, Březák – M. Hanzl, J. Mikúš, Petružálek – F. Lukeš, V. Hübl (A), Válek – Trávníček (C), Gerhát, Jurčík – Matoušek, Řehoř, Jícha.</t>
  </si>
  <si>
    <t>26.  Michal TRÁVNÍČEK (Juraj MIKÚŠ)</t>
  </si>
  <si>
    <t xml:space="preserve">39. Jakub PETRUŽÁLEK (Martin HANZL, Juraj MIKÚŠ)  </t>
  </si>
  <si>
    <t>21. Martin HANZL (Jakub PETRUŽÁLEK)</t>
  </si>
  <si>
    <t>21. Lukáš VÁLEK (Viktor HÜBL)</t>
  </si>
  <si>
    <t>57.  Michal TRÁVNÍČEK</t>
  </si>
  <si>
    <t>46. Michal TRÁVNÍČEK (František GERHÁT, Ondřej JURČÍK)</t>
  </si>
  <si>
    <t>0:1,, 1:1,, 1:2,, 2:2,, 2:4</t>
  </si>
  <si>
    <t>Janus (Hanuljak) – Ščotka, Porseland, Baránek, Hunkes, Suchánek, Romančík, L. Doudera – Válek, J. Mikúš, Petružálek – F. Lukeš, V. Hübl, Myšák – Trávníček, M. Hanzl, D. Tůma – Matoušek, Řehoř, Jurčík.</t>
  </si>
  <si>
    <t>Janus (Hanuljak) – Porseland, Ščotka, Hunkes, Baránek, Romančík, Suchánek, L. Doudera – Válek, J. Mikúš, Petružálek (A) – F. Lukeš, V. Hübl (A), Myšák – Trávníček (C), M. Hanzl, D. Tůma – Matoušek, Jurčík.</t>
  </si>
  <si>
    <t>Jakub Petružálek</t>
  </si>
  <si>
    <t>Jan Ščotka</t>
  </si>
  <si>
    <t>David Tůma</t>
  </si>
  <si>
    <t>Získáno bodů</t>
  </si>
  <si>
    <t>Plus/mínus</t>
  </si>
  <si>
    <t>L. Kašpar</t>
  </si>
  <si>
    <t>J. Kloz</t>
  </si>
  <si>
    <t>M. Korkiakoski</t>
  </si>
  <si>
    <t>1:0,, 1:3,, 2:3</t>
  </si>
  <si>
    <t>0:1,, 2:1,, 2:3</t>
  </si>
  <si>
    <t>5:0,, 5:2,, 6:2</t>
  </si>
  <si>
    <t>Janus (Hanuljak) – Porseland, Ščotka, L. Doudera, Baránek, Romančík, Suchánek, Březák – Petružálek, J. Mikúš, Kašpar – Válek, V. Hübl, F. Lukeš – Myšák, Gerhát, Jurčík – D. Tůma, J. Kloz, Matoušek.</t>
  </si>
  <si>
    <t xml:space="preserve">Janus (Hanuljak) – Porseland, Ščotka, Hunkes, L. Doudera, Romančík, Suchánek – Petružálek (A), J. Mikúš, Válek – Myšák, V. Hübl (A), F. Lukeš – D. Tůma, M. Hanzl, Trávníček (C) – Jurčík, M. Havelka, Matoušek. </t>
  </si>
  <si>
    <t>Janus (Hanuljak) – Ščotka, Porseland, L. Doudera, Hunkes, Suchánek, Březák – Válek, J. Mikúš, Petružálek (C) – F. Lukeš, V. Hübl (A), Myšák – Korkiakoski, J. Kloz, D. Tůma – Matoušek, M. Hanzl, M. Havelka.</t>
  </si>
  <si>
    <t>29.  Mathias PORSELAND (František LUKEŠ) (PP)</t>
  </si>
  <si>
    <t>49. Jiří HUNKES (Marek BARÁNEK, Martin HANZL)</t>
  </si>
  <si>
    <t>57. Lukáš VÁLEK (Jakub PETRUŽÁLEK)</t>
  </si>
  <si>
    <t>3. František GERHÁT (Michal TRÁVNÍČEK)</t>
  </si>
  <si>
    <t>6. Lukáš VÁLEK (Jakub PETRUŽÁLEK, Juraj MIKÚŠ)</t>
  </si>
  <si>
    <t>19. Michal TRÁVNÍČEK</t>
  </si>
  <si>
    <t>36.  Jakub PETRUŽÁLEK (Jan ŠČOTKA, Martin HANZL) (PP)</t>
  </si>
  <si>
    <t>39. Viktor HÜBL (Juraj MIKÚŠ, Mathias PORSELAND)   (PP)</t>
  </si>
  <si>
    <t>45. Juraj MIKÚŠ (Ondřej JURČÍK, Mathias PORSELAND) (PP)</t>
  </si>
  <si>
    <t>55. Ondřej JURČÍK (Viktor HÜBL, František LUKEŠ)  (PP)</t>
  </si>
  <si>
    <t>Vzájemné zápasy od sezóny 2007/2008</t>
  </si>
  <si>
    <t>32. Lukáš VÁLEK (Tomáš MATOUŠEK, Martin HAVELKA)</t>
  </si>
  <si>
    <t>55. Lukáš VÁLEK (Jakub PETRUŽÁLEK, Jakub SUCHÁNEK)</t>
  </si>
  <si>
    <t>16. Lukáš VÁLEK (Jakub PETRUŽÁLEK, Jan ŠČOTKA)  (PP)</t>
  </si>
  <si>
    <t>29.  František LUKEŠ (Juraj MIKÚŠ)</t>
  </si>
  <si>
    <t>7. Lukáš VÁLEK (František GERHÁT, Jakub BŘEZÁK)</t>
  </si>
  <si>
    <t>19. František LUKEŠ (Lukáš VÁLEK)</t>
  </si>
  <si>
    <t xml:space="preserve">31. Lukáš KAŠPAR (Juraj MIKÚŠ, Jakub PETRUŽÁLEK) </t>
  </si>
  <si>
    <t>34. Jan ŠČOTKA (Mathias PORSELAND, Jakub PETRUŽÁLEK)  (PP)</t>
  </si>
  <si>
    <t>35.  Ondřej JURČÍK (Jan KLOZ, David TŮMA)</t>
  </si>
  <si>
    <t>52. Ondřej JURČÍK ( Jakub PETRUŽÁLEK, František GERHÁT)</t>
  </si>
  <si>
    <t>Janus (Petrásek) – Porseland, Ščotka, L. Doudera, Baránek, Romančík, Suchánek, Březák – Petružálek (A), J. Mikúš, Kašpar – Válek, V. Hübl (A), F. Lukeš – Myšák, Gerhát, Trávníček (C) – D. Tůma, J. Kloz, Jurčík.</t>
  </si>
  <si>
    <t>57. František GERHÁT (Michal TRÁVNÍČEK, Jan ŠČOTKA) (SH)</t>
  </si>
  <si>
    <t>7.  Lukáš VÁLEK</t>
  </si>
  <si>
    <t>9. František LUKEŠ (SH)</t>
  </si>
  <si>
    <t>40.  Juraj MIKÚŠ (Jan ŠČOTKA, Lukáš KAŠPAR)  (PP)</t>
  </si>
  <si>
    <t xml:space="preserve">Janus (Petrásek) – Ščotka, Porseland, Baránek, L. Doudera, Suchánek, Romančík, Březák – Kašpar, J. Mikúš, Petružálek (A) – F. Lukeš, V. Hübl (A), Válek – Trávníček (C), Gerhát, Myšák – Jurčík, M. Hanzl, D. Tůma. </t>
  </si>
  <si>
    <t>Góly Litvínov</t>
  </si>
  <si>
    <t xml:space="preserve">30. J. Černý (M. Hanzl) </t>
  </si>
  <si>
    <t>27. Hanzl (Černý) (SH), 57. Lukeš (Hübl)</t>
  </si>
  <si>
    <t>31. Jánský (Lukeš) (PP), 44. Trávníček (Nicholls, Hanzl)(PP)</t>
  </si>
  <si>
    <t>52. Sørvik (Černý)(PP), 58. Černý (Lukeš) (EN), 59. Trávníček (Nicholls, Sklenička) (EN)</t>
  </si>
  <si>
    <t>46. Válek</t>
  </si>
  <si>
    <t>19. Černý (Hanzl, Pilař), 29. Lukeš (Nejezchleb, Jánský)</t>
  </si>
  <si>
    <t xml:space="preserve"> 41. Nejezchleb (Trávníček, Lukeš) (PP)</t>
  </si>
  <si>
    <t>44. Gerhát</t>
  </si>
  <si>
    <t>29. Doležal (Kubát), 35. Lukeš (Kubát, Hanzl) (PP), 59. Hanzl (Baránek, Lukeš)</t>
  </si>
  <si>
    <t>11. Lukeš (Kubát, Sørvik) (PP), 48. Sørvik (Lukeš, Hanzl) (PP), 52. Nejezchleb (Hanzl, Lukeš), nájezd Válek</t>
  </si>
  <si>
    <t>17. Černý (Kubát), 65. Gerhát (TS)</t>
  </si>
  <si>
    <t xml:space="preserve">20. Pilař (Jurčík), 48. Ihnačák (Černý) </t>
  </si>
  <si>
    <t>30. Trávníček (Pilař, Doudera), 37. Jánský (Lukeš, Sørvik) (PP), 38. Gerhát (Vandas, Trávníček), 46. Jánský (Gula, Hübl), nájezd Ihnačák</t>
  </si>
  <si>
    <t xml:space="preserve">6. Jánský (Lukeš), 29. Ihnačák (Jurčík, Matoušek), 33. Kubát (Sørvik, Hübl) (PP), 60. Hübl </t>
  </si>
  <si>
    <t>3. Sørvik (Kubát, Jánský) (PP), 3. Gula (Doudera, Ihnačák), 11. Jurčík (Kubát, Šimeček)</t>
  </si>
  <si>
    <t>55. Kubát (Gula, Ihnačák) (PP)</t>
  </si>
  <si>
    <t>34. Hübl (Kubát, Ihnačák) (PP), 58. Gerhát (Trávníček, Gula) (SH)</t>
  </si>
  <si>
    <t>15. Pilař (Kubát, Hübl) (PP), 33. Vandas, 36. Černý (PP), 51. Nejezchleb (Dietz, Hanzl), 57. Kubát (Hanzl, Gerhát), 60. Hübl (Jánský, Sørvik) (EN)</t>
  </si>
  <si>
    <t>13. Jánský (Černý, Hübl), 51. Nejezchleb (Ihnačák, Sørvik), 60. Gerhát (Kubát) (EN)</t>
  </si>
  <si>
    <t xml:space="preserve">14. Nejezchleb (Ihnačák), 20. Kubát (Gula, Ihnačák) (PP), 37. Matoušek (Jurčík, Gula) </t>
  </si>
  <si>
    <t>43. Hübl (Kubát) (PP), 61. Černý (Sørvik) (PP)</t>
  </si>
  <si>
    <t>33. Trávníček, 54. Válek (Matoušek, Jurčík)</t>
  </si>
  <si>
    <t>10. Vandas (Doudera)</t>
  </si>
  <si>
    <t>29. Ihnačák (Hübl, Hunkes) (PP), 31. Hübl (Hunkes, Gerhát), 59. Hübl (Hunkes, Trávníček)</t>
  </si>
  <si>
    <t>13. Gerhát (Hunkes, Lukeš), 26. Černý (Sørvik) (SH), 46. Hanzl (Hunkes, Trávníček)</t>
  </si>
  <si>
    <t>14. Sørvik (Černý, Ihnačák) (PP), 25. Lukeš (Hunkes, Hübl) (PP), 45. Vandas (Černý), 50. Lukeš (Hübl, Hunkes) (PP), 58. Gerhát (Hübl) (EN), 59. Trávníček (EN)</t>
  </si>
  <si>
    <t xml:space="preserve">1. Hübl (Lukeš, Hunkes), 16. Kubát </t>
  </si>
  <si>
    <t>4. Ihnačák (Sørvik), 17. Hunkes (Hübl, Kubát), 24. Hunkes (Hübl, Lukeš), 43. Hunkes (Kubát) (PP)</t>
  </si>
  <si>
    <t>20. Gerhát (Lukeš), 39. Hanzl</t>
  </si>
  <si>
    <t>22. Válek (Sklenička, Matoušek), 60. Jánský (Hübl) (EN)</t>
  </si>
  <si>
    <t xml:space="preserve">18. Gerhát (Hübl, Kubát) (PP), 38. Gerhát (Hübl, Lukeš) </t>
  </si>
  <si>
    <t>4. Hübl (Lukeš), 5. Matoušek (Hunkes, Kubát), 32. Vandas (Válek), 52. Hübl (Lukeš) (PP)</t>
  </si>
  <si>
    <t>10. Helt (Hanzl, Baránek)</t>
  </si>
  <si>
    <t>27. Hanzl (Pilař, Trávníček), 40. Lukeš (Hübl) (PP), 52. Hübl (Kubát, Lukeš) (PP)</t>
  </si>
  <si>
    <t xml:space="preserve">50. Havlíček (Hanzl, Doudera) </t>
  </si>
  <si>
    <t>1. Lukeš (Hübl, Doudera), 28. Lukeš (Gerhát), 38. Baránek (Hanzl, Havlíček) (PP), 44. Lukeš (Hübl, Gerhát) (PP)</t>
  </si>
  <si>
    <t>56. Hübl (Gerhát, Kubát) (PP)</t>
  </si>
  <si>
    <t>12. Gerhát (Pilař, Šesták), 32. Gerhát (Hübl, Kubát) (PP), 44. Trávníček (Gula, Gerhát)</t>
  </si>
  <si>
    <t xml:space="preserve">37. Lukeš (Šesták, Hübl) </t>
  </si>
  <si>
    <t>42. J. Mikúš (Hanzl) (PP)</t>
  </si>
  <si>
    <t xml:space="preserve">24. Baránek (Růžička, Mikúš), 49. Růžička (Mikúš, Iberer) </t>
  </si>
  <si>
    <t xml:space="preserve">36. Hanzl (Mikúš, Růžička), 38. Gerhát (Jurčík), 60. Hübl (Mikúš, Lukeš) </t>
  </si>
  <si>
    <t>26. Jurčík (Baránek, Gerhát), 58. Válek (Řehoř), 60. Trávníček (J. Mikúš, Gula)</t>
  </si>
  <si>
    <t>19. Mikúš (F. Lukeš, Hübl) (PP), 29. F. Lukeš (Mikúš, Kubát) (PP), 57. Doudera (Baránek, Gerhát), nájezd Mikúš</t>
  </si>
  <si>
    <t>20. Kubát (Lukeš, Mikúš) (PP), 27. Hübl (Lukeš) (SH), 48. Hübl (Čutta), 61. Lukeš (Hübl, Baránek)</t>
  </si>
  <si>
    <t xml:space="preserve">59. Mikúš (Trávníček, Hübl) </t>
  </si>
  <si>
    <t>8. Hanzl (Vandas), 61. Hübl (Lukeš)</t>
  </si>
  <si>
    <t>5. Mikúš (Gula, Černý), 25. Hübl (F. Lukeš), 35. Mikúš (Iberer) (PP), 64. Doudera (Hübl, M. Růžička)</t>
  </si>
  <si>
    <t>3. Válek (Jícha), 8. Řehoř (Trávníček, Čutta)</t>
  </si>
  <si>
    <t>52. Jurčík (Mikúš, Lukeš) (PP), 58. Matoušek (Válek, Jícha)</t>
  </si>
  <si>
    <t>38. Sørvik (Lukeš, Jurčík) (PP)</t>
  </si>
  <si>
    <t>60. Mikúš (Trávníček) (SH)</t>
  </si>
  <si>
    <t>19. Jánský (Řehoř) (PP), 56. Smolka (Jánský, Trávníček) (PP)</t>
  </si>
  <si>
    <t xml:space="preserve">2. Hübl (Mikúš, Lukeš) (PP), 29. Matoušek, 42. Jánský (Hübl) </t>
  </si>
  <si>
    <t xml:space="preserve">29. Hübl (Jurčík, Mikúš) (PP), 43. Řehoř (Trávníček, Frolo) </t>
  </si>
  <si>
    <t>58. Hübl (Lukeš, Mikúš) (PP)</t>
  </si>
  <si>
    <t>41. Jurčík (Lukeš, Hunkes) (PP), 43. Trávníček (Gerhát) (SH)</t>
  </si>
  <si>
    <t>26. Baránek (Sørvik, Matoušek), 27. Mikúš (Sørvik, Hanzl), 57. Baránek (Hanzl), 65. Doudera (Trávníček, Gerhát)</t>
  </si>
  <si>
    <t>17. Lukeš (Hübl, Šesták)</t>
  </si>
  <si>
    <t xml:space="preserve">15. Černý (Šesták, Gerhát) </t>
  </si>
  <si>
    <t>12. Lukeš (Hübl, Sørvik), 26. Baránek (Gula) (PP), 35. Lukeš (Hübl)</t>
  </si>
  <si>
    <t xml:space="preserve">29. Mikúš (Sørvik, Lukeš) </t>
  </si>
  <si>
    <t>6. Černý (Baránek, Gula) (PP), 53. Mikúš (Sørvik), 56. Gerhát (Sørvik, Iberer)</t>
  </si>
  <si>
    <t>63. Mikúš (Hübl, Lukeš) (PP)</t>
  </si>
  <si>
    <t>1. Černý (Sørvik), 6. Jánský (Lukeš), 27. Jícha (Válek, Iberer), 28. Lukeš (Mikúš), 43. Baránek (Válek)</t>
  </si>
  <si>
    <t>0:3,, 2:3,, 2:5</t>
  </si>
  <si>
    <t>Janus (Petrásek) – Ščotka, Porseland, Baránek, L. Doudera, Suchánek, Romančík – Kašpar, J. Mikúš, Petružálek (A) – F. Lukeš, V. Hübl (A), Válek – Trávníček (C), Gerhát, Myšák – Jurčík, M. Hanzl, D. Tůma.</t>
  </si>
  <si>
    <t>0:1,, 2:1,, 2:2,, 3:2,, 3:3,, 5:3</t>
  </si>
  <si>
    <t>3:0,, 3:2</t>
  </si>
  <si>
    <t>34. František LUKEŠ (TS) (SH)</t>
  </si>
  <si>
    <t>53.  Mathias PORSELAND (Jan ŠČOTKA) (PP)</t>
  </si>
  <si>
    <t>15. František LUKEŠ (TS) (SH)</t>
  </si>
  <si>
    <t>Janus (Petrásek) – Porseland, Ščotka, Piché, Baránek, L. Doudera, Suchánek – Petružálek, J. Mikúš, Kašpar – Válek, V. Hübl, F. Lukeš – J. Černý, Gerhát, Trávníček – D. Tůma, M. Hanzl, Jurčík.</t>
  </si>
  <si>
    <t>S. Piché</t>
  </si>
  <si>
    <t>R. Graborenko</t>
  </si>
  <si>
    <t>1:0,, 1:1,, 3:1,, 3:2</t>
  </si>
  <si>
    <t>17. Viktor HÜBL (Lukáš VÁLEK, Lukáš DOUDERA)</t>
  </si>
  <si>
    <t>39. Lukáš VÁLEK (Marek BARÁNEK, Viktor HÜBL) (PP)</t>
  </si>
  <si>
    <t>53. Jan ŠČOTKA (Lukáš KAŠPAR, Jakub PETRUŽÁLEK) (PP)</t>
  </si>
  <si>
    <t>56.  Lukáš VÁLEK (František LUKEŠ)</t>
  </si>
  <si>
    <t xml:space="preserve">7. František GERHÁT (Jakub SUCHÁNEK, Jakub ČERNÝ) </t>
  </si>
  <si>
    <t>12. František LUKEŠ (Jan ŠČOTKA)</t>
  </si>
  <si>
    <t>16. Lukáš VÁLEK (Mathias PORSELAND, František LUKEŠ) (PP)</t>
  </si>
  <si>
    <t>7. František GERHÁT (TS) (SH)</t>
  </si>
  <si>
    <t>0:2,, 1:2,, 1:4</t>
  </si>
  <si>
    <t>0:3,, 1:3,, 1:4</t>
  </si>
  <si>
    <t>Do 13. kola</t>
  </si>
  <si>
    <t>Do 26. kola</t>
  </si>
  <si>
    <t>Zápasů</t>
  </si>
  <si>
    <t>Body / zápas</t>
  </si>
  <si>
    <t>Od 14. kola do 26. kola</t>
  </si>
  <si>
    <t>33. Viktor HÜBL (František LUKEŠ) (SH)</t>
  </si>
  <si>
    <t>44. Juraj MIKÚŠ (Jakub PETRUŽÁLEK, Lukáš KAŠPAR)</t>
  </si>
  <si>
    <t xml:space="preserve"> Janus (Petrásek) – Ščotka, Porseland, Baránek, Graborenko, Suchánek, L. Doudera, Romančík – Kašpar, J. Mikúš (A), Petružálek – F. Lukeš (A), V. Hübl, Válek (C) – Trávníček, Gerhát, J. Černý – Jurčík, M. Hanzl, D. Tůma. </t>
  </si>
  <si>
    <t>Janus (Petrásek) – Porseland, Ščotka, Graborenko, Baránek, Piché, Suchánek, L. Doudera – Petružálek (A), J. Mikúš, Kašpar – Válek, V. Hübl (A), F. Lukeš – Myšák, Gerhát, Trávníček (C) – D. Tůma, M. Hanzl, Jurčík</t>
  </si>
  <si>
    <t>60. František GERHÁT (Lukáš DOUDERA)  (SH) (EN)</t>
  </si>
  <si>
    <t>Petrásek (Janus) – Ščotka, Porseland, Baránek, Graborenko, L. Doudera, Suchánek – Petružálek (C), J. Mikúš, Kašpar – F. Lukeš, V. Hübl (A), Válek – Jurčík, Myšák, D. Tůma – Helt, M. Hanzl, Jícha</t>
  </si>
  <si>
    <t>2:0,, 2:1,, 3:1,, 3:2,, 4:2,, 4:3,, 5:3</t>
  </si>
  <si>
    <t>1:0,, 1:2</t>
  </si>
  <si>
    <t>Petrásek (Janus) – Graborenko, Baránek, L. Doudera, Ščotka, Suchánek, Romančík – Válek, V. Hübl (A), F. Lukeš – M. Hanzl, J. Mikúš, Kašpar – Petružálek (A), Helt, Trávníček (C) – Jícha, M. Havelka, Jurčík</t>
  </si>
  <si>
    <t>Petrásek (Janus) – Graborenko, Piché, L. Doudera, Ščotka, Suchánek, Baránek – Válek, V. Hübl (A), F. Lukeš – Kašpar, J. Mikúš, Helt – Petružálek (A), M. Hanzl, Trávníček (C) – Jícha, M. Havelka, Jurčík.</t>
  </si>
  <si>
    <t>54. František LUKEŠ (Viktor HÜBL)</t>
  </si>
  <si>
    <t>35. Jan MYŠÁK (Martin HANZL)</t>
  </si>
  <si>
    <t>M. Trončinský</t>
  </si>
  <si>
    <t>P. Svoboda</t>
  </si>
  <si>
    <t>Janus (Petrásek) – Trončinský, Ščotka, Graborenko, L. Doudera, Suchánek, Baránek – Válek, V. Hübl (A), F. Lukeš – Petružálek (A), M. Hanzl, Trávníček (C) – Kašpar, Svoboda, Helt – Jícha, M. Havelka, Jurčík.</t>
  </si>
  <si>
    <t>Janus (Petrásek) – Trončinský, Ščotka, Graborenko, Piché, Suchánek, Baránek, L. Doudera – Válek (A), V. Hübl, F. Lukeš – Kašpar, J. Mikúš, Helt (A) – Petružálek, M. Hanzl (C), Trávníček – Jícha, M. Havelka, Jurčík.</t>
  </si>
  <si>
    <t>1:0,, 1:2,, 3:2</t>
  </si>
  <si>
    <t>3. Viktor HÜBL (František LUKEŠ, Lukáš VÁLEK)</t>
  </si>
  <si>
    <t>9. Viktor HÜBL (František LUKEŠ)</t>
  </si>
  <si>
    <t>10.  Lukáš KAŠPAR (Filip HELT)</t>
  </si>
  <si>
    <t>19. Lukáš VÁLEK (Sébastien PICHÉ, František LUKEŠ)</t>
  </si>
  <si>
    <t>54. Martin HANZL (Lukáš KAŠPAR, Sébastien PICHÉ)  (SH)</t>
  </si>
  <si>
    <t>60. Viktor HÜBL (Michal TRÁVNÍČEK, Roman GRABORENKO) (EN)</t>
  </si>
  <si>
    <t>0:4,, 1:4,, 1:7</t>
  </si>
  <si>
    <t>2:0,, 2:1,, 5:1</t>
  </si>
  <si>
    <t xml:space="preserve">3. Josef JÍCHA (František LUKEŠ)  </t>
  </si>
  <si>
    <t>23. Jakub PETRUŽÁLEK (PP)</t>
  </si>
  <si>
    <t>44.  Lukáš KAŠPAR (Filip HELT)</t>
  </si>
  <si>
    <t>40. Michal TRÁVNÍČEK (Roman GRABORENKO, Jan ŠČOTKA)  (PP)</t>
  </si>
  <si>
    <t>Janus (Petrásek) – Ščotka, Trončinský, L. Doudera, Graborenko, Baránek, Suchánek, Šesták – Trávníček (C), Gerhát, Petružálek (A) – Helt, Svoboda, Kašpar – Jurčík, V. Hübl (A), Válek – Jícha, M. Hanzl, M. Havelka</t>
  </si>
  <si>
    <t>Petrásek (Janus) – Trončinský, Ščotka, Graborenko, Šesták, Suchánek, Baránek, L. Doudera – Petružálek (A), Gerhát, Trávníček (C) – Kašpar, V. Hübl (A), Válek – M. Hanzl, J. Mikúš, Jurčík – Jícha, M. Havelka, Helt.</t>
  </si>
  <si>
    <t>Do 39. kola</t>
  </si>
  <si>
    <t>Od 27. kola do 39. kola</t>
  </si>
  <si>
    <t>Petrásek (Janus) – Hunkes, Ščotka, Graborenko, Šesták, Suchánek, Baránek, L. Doudera – Petružálek (A), Gerhát, Trávníček (C) – Kašpar, V. Hübl (A), Válek – M. Hanzl, J. Mikúš, Jurčík – Jícha, M. Havelka, Helt.</t>
  </si>
  <si>
    <t>40. Jakub PETRUŽÁLEK (Michal TRÁVNÍČEK)</t>
  </si>
  <si>
    <t>0:1,, 1:1,, 2:1sn (3:0 sn)</t>
  </si>
  <si>
    <t>0:1,, 1:1,, 1:2 sn (1:2 sn)</t>
  </si>
  <si>
    <t>Rozhodující nájezd Lukáš KAŠPAR</t>
  </si>
  <si>
    <t xml:space="preserve">Janus (Petrásek) – Ščotka, Trončinský, Šesták, Graborenko, Baránek, Hunkes, L. Doudera – Kašpar, J. Mikúš, Petružálek (A) – Válek, V. Hübl (A), Jurčík – Trávníček (C), Gerhát, M. Hanzl – Helt, M. Havelka, Jícha. </t>
  </si>
  <si>
    <t xml:space="preserve">Janus (Petrásek) – Ščotka, Trončinský, Graborenko, Baránek, Hunkes, L. Doudera – Kašpar, J. Mikúš, Petružálek (A) – Válek, V. Hübl (A), Jurčík – Trávníček (C), Gerhát, M. Hanzl – Helt, M. Havelka, Jícha. </t>
  </si>
  <si>
    <t>7. Viktor HÜBL (Lukáš KAŠPAR)</t>
  </si>
  <si>
    <t>8. Ondřej JURČÍK (Martin HANZL)</t>
  </si>
  <si>
    <t>43. Jakub PETRUŽÁLEK (Jan ŠČOTKA, František GERHÁT)</t>
  </si>
  <si>
    <t>44. Martin HANZL (Ondřej JURČÍK, Juraj MIKÚŠ)</t>
  </si>
  <si>
    <t>55. Josef JÍCHA</t>
  </si>
  <si>
    <t>Výsledek</t>
  </si>
  <si>
    <t>37.  Jakub PETRUŽÁLEK (Martin HAVELKA, Roman GRABORENKO)</t>
  </si>
  <si>
    <t>48. Jan ŠČOTKA (Michal TRÁVNÍČEK)  (PP)</t>
  </si>
  <si>
    <t>36. Marek TRONČINSKÝ (Juraj MIKÚŠ, Lukáš KAŠPAR)  (SH)</t>
  </si>
  <si>
    <t>Výhra/Prohra?</t>
  </si>
  <si>
    <t>Jeli jsme s Katkou</t>
  </si>
  <si>
    <t>Sezóna</t>
  </si>
  <si>
    <t>Pátek</t>
  </si>
  <si>
    <t>S Tomášem a Honzou, pak v Jesenicích</t>
  </si>
  <si>
    <t>S Tomášem, pak v Jesenicích</t>
  </si>
  <si>
    <t>Pondělí</t>
  </si>
  <si>
    <t>ZČ/Playoff?</t>
  </si>
  <si>
    <t>ZČ</t>
  </si>
  <si>
    <t>Předkolo</t>
  </si>
  <si>
    <t>S Tomášem</t>
  </si>
  <si>
    <t>Čtvrtfinále</t>
  </si>
  <si>
    <t>Úterý</t>
  </si>
  <si>
    <t>S fanklubem, první výjezd s fanklubem vůbec</t>
  </si>
  <si>
    <t>S Lubošem, pak v Praze na laborkách</t>
  </si>
  <si>
    <t>Neděle</t>
  </si>
  <si>
    <t>Sobota</t>
  </si>
  <si>
    <t xml:space="preserve">Můj první zápas v Litvínově? </t>
  </si>
  <si>
    <t>Seznam všech zápasů venku, na kterých jsem byl. Ze začátku pouze sporadicky. S fanklubem poprvé až v roce 2015. Semifinále a finále 2015 mi uteklo, nebylo moc času a peníze vůbec, teprve jsem dokončoval VŠ.</t>
  </si>
  <si>
    <t>S fanklubem</t>
  </si>
  <si>
    <t>Sám, vlakem</t>
  </si>
  <si>
    <t>S chlapy z chemičky</t>
  </si>
  <si>
    <t>S Katkou, vlakem</t>
  </si>
  <si>
    <t>S fanklubem, s Katkou</t>
  </si>
  <si>
    <t>Čtvrtek</t>
  </si>
  <si>
    <t>Pořádí</t>
  </si>
  <si>
    <t>Středa</t>
  </si>
  <si>
    <t>Potenciální soupeři na výjezd</t>
  </si>
  <si>
    <t>Sezóny</t>
  </si>
  <si>
    <t>Kolikrát jsem celkově navštívil extraligový zápas Litvínova</t>
  </si>
  <si>
    <t>Z toho playoff</t>
  </si>
  <si>
    <t>Z toho baráž</t>
  </si>
  <si>
    <t>Janus - Trončinský, Ščotka, Graborenko, Piché, Hunkes, L. Doudera – Petružálek, Gerhát, Trávníček (C) – Válek, V. Hübl, F. Lukeš – Kašpar, J. Mikúš, Helt – Jurčík, M. Hanzl, M. Havelka.</t>
  </si>
  <si>
    <t>0:1,, 1:1,, 1:3,, 3:3,, 3:4,, 4:4,, 5:4pp</t>
  </si>
  <si>
    <t>1:0,, 1:2,, 2:2,, 2:3,, 3:3,, 3:4,, 4:4,, 5:4pp</t>
  </si>
  <si>
    <t xml:space="preserve">Petrásek (Janus) – Trončinský, Ščotka, Graborenko, Piché, Hunkes, L. Doudera, Šesták – Petružálek (A), Gerhát, Trávníček (C) – Válek, V. Hübl (A), F. Lukeš – Kašpar, J. Mikúš, Helt – Jurčík, M. Hanzl, M. Havelka </t>
  </si>
  <si>
    <t xml:space="preserve">Petrásek (Janus) – Ščotka, Trončinský, Piché, Graborenko, L. Doudera, Hunkes, Šesták – Trávníček (C), M. Hanzl, Petružálek (A) – F. Lukeš, V. Hübl (A), Válek – Svoboda, J. Mikúš, Kašpar – Helt, M. Havelka, Jurčík. </t>
  </si>
  <si>
    <t>Přišel Kašpar</t>
  </si>
  <si>
    <t xml:space="preserve">Janus, od 23. Petrásek – Ščotka, Trončinský, Šesták, Graborenko, L. Doudera, Březák – Trávníček (C), M. Hanzl, Petružálek (A) – F. Lukeš, V. Hübl (A), Válek – Jurčík, J. Mikúš, Kašpar – Helt, M. Havelka, Svoboda. </t>
  </si>
  <si>
    <t>PLAYOUT 1</t>
  </si>
  <si>
    <t>PLAYOUT 2</t>
  </si>
  <si>
    <t>PLAYOUT 3</t>
  </si>
  <si>
    <t>PLAYOUT 4</t>
  </si>
  <si>
    <t>PLAYOUT 5</t>
  </si>
  <si>
    <t>PLAYOUT 6</t>
  </si>
  <si>
    <t>0:4,, 1:4</t>
  </si>
  <si>
    <t>0:1,, 1:1,, 1:3,, 2:3,, 2:4,, 3:4</t>
  </si>
  <si>
    <t xml:space="preserve">Janus (Petrásek) – Trončinský, Šesták, Březák, Ščotka, Graborenko, L. Doudera – Válek, V. Hübl (A), F. Lukeš – Petružálek (A), M. Hanzl, Trávníček (C) – Kašpar, J. Mikúš, Jurčík – M. Havelka, Jícha, Helt. </t>
  </si>
  <si>
    <t>1:0,, 1:2,, 4:2,, 4:3,, 6:3</t>
  </si>
  <si>
    <t>0:3,, 2:3,, 2:5,, 3:5</t>
  </si>
  <si>
    <t>43. Martin HANZL (Sébastien PICHÉ)</t>
  </si>
  <si>
    <t>9. Michal TRÁVNÍČEK (Sébastien PICHÉ)</t>
  </si>
  <si>
    <t>25. Sébastien PICHÉ (František GERHÁT)</t>
  </si>
  <si>
    <t>38. Juraj MIKÚŠ (Marek TRONČINSKÝ, František LUKEŠ) (PP)</t>
  </si>
  <si>
    <t>54. Ondřej JURČÍK (Marek TRONČINSKÝ, Martin HANZL) (SH)</t>
  </si>
  <si>
    <t>62. Juraj MIKÚŠ (Jan ŠČOTKA)</t>
  </si>
  <si>
    <t>22. Lukáš VÁLEK (Jan ŠČOTKA, Jakub PETRUŽÁLEK) (PP)</t>
  </si>
  <si>
    <t>38. Martin HANZL (Lukáš KAŠPAR)</t>
  </si>
  <si>
    <t>40. Lukáš KAŠPAR (Ondřej JURČÍK, Juraj MIKÚŠ)</t>
  </si>
  <si>
    <t>60. Marek TRONČINSKÝ (František LUKEŠ, Juraj MIKÚŠ)  (PP,6na4)</t>
  </si>
  <si>
    <t>63. Jan ŠČOTKA (František LUKEŠ, Viktor HÜBL)</t>
  </si>
  <si>
    <t>36. Juraj MIKÚŠ (Marek TRONČINSKÝ, Viktor HÜBL) (PP)</t>
  </si>
  <si>
    <t>39. Lukáš KAŠPAR (Ondřej JURČÍK)</t>
  </si>
  <si>
    <t>47. Ondřej JURČÍK (Marek TRONČINSKÝ)</t>
  </si>
  <si>
    <t>58. Viktor HÜBL (Juraj MIKÚŠ, Marek TRONČINSKÝ)</t>
  </si>
  <si>
    <r>
      <t xml:space="preserve">Petrásek (Janus) – Trončinský, Strejček, L. Doudera, Ščotka, Graborenko, Šesták – Petružálek (A), V. Hübl (A), F. Lukeš – Kašpar, J. Mikúš, Válek – Jurčík, M. Hanzl, Trávníček (C) – Jícha, M. Havelka, Helt  </t>
    </r>
    <r>
      <rPr>
        <sz val="11"/>
        <color rgb="FFFF0000"/>
        <rFont val="Calibri"/>
        <family val="2"/>
        <charset val="238"/>
        <scheme val="minor"/>
      </rPr>
      <t>odvolán Razým</t>
    </r>
  </si>
  <si>
    <t xml:space="preserve">Janus (Hanuljak) – Baránek, Hunkes, Kubát, Sörvik, Ščotka, L. Doudera – J. Černý (A), J. Mikúš, Petružálek – F. Lukeš, V. Hübl (A), Myšák – Trávníček (C), Gerhát, D. Tůma – Matoušek, M. Hanzl, Jurčík. Trenér Razým a Skuhrovec. </t>
  </si>
  <si>
    <t xml:space="preserve">Janus (Petrásek) – Šesták, Trončinský, Ščotka, L. Doudera, Strejček, Graborenko – F. Lukeš, V. Hübl, Myšák – Válek, J. Mikúš, Kašpar – Jícha, M. Hanzl, Petružálek – Trávníček, M. Havelka, Jurčík – Gerhát. </t>
  </si>
  <si>
    <t>S kým a jakým způsobem jsem jel?</t>
  </si>
  <si>
    <t>2019/2020</t>
  </si>
  <si>
    <t>zápasů Chezy jsem osobně v této sezóně navštívil</t>
  </si>
  <si>
    <t>67:62</t>
  </si>
  <si>
    <t>4:0,, 4:1,, 5:1</t>
  </si>
  <si>
    <t>Janus (Petrásek) – Trončinský, Ščotka, L. Doudera, Strejček, Graborenko, Březák – Myšák, V. Hübl (A), F. Lukeš – Kašpar, J. Mikúš, Válek – Petružálek (A), M. Hanzl, Jícha – Jurčík, M. Havelka, Trávníček (C).</t>
  </si>
  <si>
    <t>Od 40. kola do 52. kola</t>
  </si>
  <si>
    <t>61:85</t>
  </si>
  <si>
    <t>128:147</t>
  </si>
  <si>
    <t xml:space="preserve">Janus (Petrásek) – Šesták, Trončinský, Ščotka, L. Doudera, Strejček, Graborenko – F. Lukeš, V. Hübl (A), Myšák – Helt, Válek, Kašpar – Jícha, M. Hanzl, Petružálek (A) – Trávníček (C), M. Havelka, Jurčík. </t>
  </si>
  <si>
    <t>1:0,, 1:5</t>
  </si>
  <si>
    <t>3. Lukáš VÁLEK (Martin HANZL, Lukáš KAŠPAR)</t>
  </si>
  <si>
    <t>24.  Lukáš KAŠPAR (Juraj MIKÚŠ, Lukáš VÁLEK)</t>
  </si>
  <si>
    <t>27. Roman GRABORENKO (Marek TRONČINSKÝ) (PP)</t>
  </si>
  <si>
    <t>35. Lukáš KAŠPAR (Roman GRABORENKO, Marek TRONČINSKÝ)  (PP)</t>
  </si>
  <si>
    <t>51. Ondřej JURČÍK (Martin HAVELKA, Michal TRÁVNÍČEK)</t>
  </si>
  <si>
    <t>57. Michal TRÁVNÍČEK (Marek TRONČINSKÝ, David ŠESTÁK)</t>
  </si>
  <si>
    <t>26. Juraj MIKÚŠ (Lukáš KAŠPAR)</t>
  </si>
  <si>
    <t>37. Viktor HÜBL (František LUKEŠ, Jan MYŠÁK)</t>
  </si>
  <si>
    <t>55.  Jakub PETRUŽÁLEK (František LUKEŠ)</t>
  </si>
  <si>
    <t>1:0,, 1:1,, 2:1,, 2:2, 5:2, 5:3,, 6:3</t>
  </si>
  <si>
    <t xml:space="preserve">Petrásek (Janus) – Trončinský, Šesták, L. Doudera, Ščotka, Březák, Strejček – Kašpar, Helt, Válek – Svoboda, Myšák, F. Lukeš (C) – Jánský, M. Hanzl, Petružálek – Jurčík, M. Havelka, Jícha. </t>
  </si>
  <si>
    <t>Janus (Petrásek) – Trončinský, Šesták, L. Doudera, Ščotka, Graborenko, Strejček – Myšák, V. Hübl (A), F. Lukeš – Kašpar, J. Mikúš, Válek – Petružálek (A), M. Hanzl, Helt – Jurčík, M. Havelka, Trávníček (C) – Jícha; trenér Šlégr, Beránek, Skuhrovec</t>
  </si>
  <si>
    <t>Po základní části</t>
  </si>
  <si>
    <t>Kolik stačilo bodů na jaké umístění - od sezóny 2006/2007 (od této sezóny vymizely remízy a bylo zavedeno předkolo na týmy na 7. až 10. místě)</t>
  </si>
  <si>
    <t>Vítěz ZČ měl</t>
  </si>
  <si>
    <t>4. tým měl</t>
  </si>
  <si>
    <t>6. tým měl</t>
  </si>
  <si>
    <t>10. tým měl</t>
  </si>
  <si>
    <t>10. týmu stačilo</t>
  </si>
  <si>
    <t>6. týmu stačilo</t>
  </si>
  <si>
    <t>4. týmu stačilo</t>
  </si>
  <si>
    <t>Vítězi ZČ stačilo</t>
  </si>
  <si>
    <t>Minimum</t>
  </si>
  <si>
    <t>Maximum</t>
  </si>
  <si>
    <t>0:1,, 1:1,, 1:2,, 2:2,, 2:6,, 3:6</t>
  </si>
  <si>
    <t>3:0,, 3:1,, 4:1,, 4:2</t>
  </si>
  <si>
    <t xml:space="preserve">Janus (Petrásek) – L. Doudera, Ščotka, Graborenko, Strejček, Trončinský, Březák – Svoboda, V. Hübl (A), Válek – Kašpar (C), Myšák, Helt – Jánský, M. Hanzl, Jícha – Drašar, M. Havelka, Jurčík. </t>
  </si>
  <si>
    <t xml:space="preserve">Petrásek (Janus) – L. Doudera, Ščotka, Graborenko, Strejček, Trončinský, Březák, Hunkes – Svoboda, V. Hübl (A), Válek – Petružálek (A), Myšák, Helt – Jánský, M. Hanzl, Drašar – Jícha, M. Havelka, Trávníček (C). </t>
  </si>
  <si>
    <t>7. Lukáš DOUDERA (Viktor HÜBL)</t>
  </si>
  <si>
    <t xml:space="preserve"> 8. Lukáš KAŠPAR</t>
  </si>
  <si>
    <t xml:space="preserve">9. Lukáš DOUDERA (Jan MYŠÁK)  </t>
  </si>
  <si>
    <t>37. Martin HANZL (Lukáš KAŠPAR)</t>
  </si>
  <si>
    <t>48. Marek TRONČINSKÝ (Lukáš VÁLEK, Lukáš KAŠPAR)</t>
  </si>
  <si>
    <t>55. Jan STREJČEK (Jakub PETRUŽÁLEK)</t>
  </si>
  <si>
    <t>Celk. zápasů v sezóně</t>
  </si>
  <si>
    <t>základní část + playout</t>
  </si>
  <si>
    <t>Lukáš Kašpar</t>
  </si>
  <si>
    <t>Roman Graborenko</t>
  </si>
  <si>
    <t>Jakub Suchánek</t>
  </si>
  <si>
    <t>Marek Trončinský</t>
  </si>
  <si>
    <t>Jan Myšák</t>
  </si>
  <si>
    <t>Mathias Porseland</t>
  </si>
  <si>
    <t>Ladislav Romančík</t>
  </si>
  <si>
    <t>Jan Strejček</t>
  </si>
  <si>
    <t>Sébastien Piché</t>
  </si>
  <si>
    <t>Jakub Březák</t>
  </si>
  <si>
    <t>Přemysl Svoboda</t>
  </si>
  <si>
    <t>Jan Kloz</t>
  </si>
  <si>
    <t>Markus Korkiakoski</t>
  </si>
  <si>
    <t>David Drašar</t>
  </si>
  <si>
    <t>plus celkem</t>
  </si>
  <si>
    <t>mínus celkem</t>
  </si>
  <si>
    <t>Plus/mínus celkem</t>
  </si>
  <si>
    <t>2:0,, 2:1,, 3:1,, 3:3,, 4:3,, 4:4,, 5:4pp</t>
  </si>
  <si>
    <t xml:space="preserve">Janus (Petrásek) – Ščotka, L. Doudera, Strejček, Hunkes, Březák, Trončinský – F. Lukeš, Myšák, Svoboda – Trávníček, M. Hanzl, Válek – Drašar, Helt, Jánský – Jurčík, M. Havelka, Jícha </t>
  </si>
  <si>
    <t>0:2,, 4:2</t>
  </si>
  <si>
    <t>4:0,, 4:1,, 5:1,, 5:2</t>
  </si>
  <si>
    <t xml:space="preserve">Petrásek (Janus) – Ščotka, L. Doudera, Strejček, Hunkes (C), Březák, Trončinský – Petružálek (A), Myšák, Svoboda – Helt, Válek, Kašpar – Drašar, M. Hanzl, Berka – Jurčík, M. Havelka, Jícha. </t>
  </si>
  <si>
    <t xml:space="preserve">Pejsar (Janus) – Viedemann, L. Doudera, Baláž, Strejček, Háva, Březák – Stehlík, M. Havelka, Drašar – Helt, Svoboda, Myšák (C) – Jindra, Jurčík (A), M. Hanzl – Jícha, Berka, Bartoš </t>
  </si>
  <si>
    <t>O. Baláž</t>
  </si>
  <si>
    <t>J. Viedemann</t>
  </si>
  <si>
    <t>J. Háva</t>
  </si>
  <si>
    <t>M. Berka</t>
  </si>
  <si>
    <t>D. Jindra</t>
  </si>
  <si>
    <t>D. Bartoš</t>
  </si>
  <si>
    <t>3. Martin HAVELKA (Marek TRONČINSKÝ, Ondřej JURČÍK)</t>
  </si>
  <si>
    <t>25. Přemysl SVOBODA (Lukáš DOUDERA, Filip HELT)</t>
  </si>
  <si>
    <t>43. Martin HANZL (Jan MYŠÁK, František LUKEŠ) (PP)</t>
  </si>
  <si>
    <t>46.  Jan MYŠÁK (František LUKEŠ, Jan ŠČOTKA)</t>
  </si>
  <si>
    <t>49.  Jan ŠČOTKA (František LUKEŠ, Jan MYŠÁK)</t>
  </si>
  <si>
    <t>59. Jan MYŠÁK (František LUKEŠ)</t>
  </si>
  <si>
    <t>6.  Viktor HÜBL (Přemysl SVOBODA)</t>
  </si>
  <si>
    <t>15. David DRAŠAR</t>
  </si>
  <si>
    <t>21.  Jan MYŠÁK</t>
  </si>
  <si>
    <t>31.  Martin HANZL (Lukáš KAŠPAR, Jan ŠČOTKA) (PP)</t>
  </si>
  <si>
    <t>22.  Peter JÁNSKÝ (Martin HANZL)</t>
  </si>
  <si>
    <t>33. Jakub PETRUŽÁLEK (Jan MYŠÁK)</t>
  </si>
  <si>
    <t>55.  Jan ŠČOTKA (Martin HANZL)</t>
  </si>
  <si>
    <t>3. Josef JÍCHA (Martin HAVELKA)</t>
  </si>
  <si>
    <t>25. Přemysl SVOBODA (Jan MYŠÁK)</t>
  </si>
  <si>
    <t>38. Přemysl SVOBODA (Jakub BŘEZÁK, František LUKEŠ)</t>
  </si>
  <si>
    <t>54.  Josef JÍCHA (Jan ŠČOTKA, Martin HAVELKA)</t>
  </si>
  <si>
    <t>63. František LUKEŠ (Michal TRÁVNÍČEK)</t>
  </si>
  <si>
    <t>6. Martin HANZL (David DRAŠAR)</t>
  </si>
  <si>
    <t>31.  Jakub PETRUŽÁLEK (Přemysl SVOBODA, Jan ŠČOTKA) (PP)</t>
  </si>
  <si>
    <t>39 . Jan MYŠÁK (Jakub PETRUŽÁLEK) (PP)</t>
  </si>
  <si>
    <t>48. Filip HELT (Lukáš KAŠPAR, Lukáš DOUDERA) (PP)</t>
  </si>
  <si>
    <t>26. David JINDRA (Dan BARTOŠ, Jakub VIEDEMANN)</t>
  </si>
  <si>
    <t>27. Josef JÍCHA (Martin HAVELKA)</t>
  </si>
  <si>
    <t>29. Dan BARTOŠ (David JINDRA, Jakub VIEDEMANN)</t>
  </si>
  <si>
    <t>13. Jan MYŠÁK (Jakub PETRUŽÁLEK, Přemysl SVOBODA)</t>
  </si>
  <si>
    <t>David Jindra</t>
  </si>
  <si>
    <t>Dan Bartoš</t>
  </si>
  <si>
    <t>Jakub Viedemann</t>
  </si>
  <si>
    <t>Ondřej Baláž</t>
  </si>
  <si>
    <t>Jiří Háva</t>
  </si>
  <si>
    <t>Lukáš Stehlík</t>
  </si>
  <si>
    <t>Marek Berka</t>
  </si>
  <si>
    <t>Plus celkem</t>
  </si>
  <si>
    <t>Mínus celkem</t>
  </si>
  <si>
    <t>18/19 ..</t>
  </si>
  <si>
    <t>Litoměřice</t>
  </si>
  <si>
    <t>Příprava na sezónu 2019/2020</t>
  </si>
  <si>
    <t>sezóna 2019/2020</t>
  </si>
  <si>
    <t>19/20 ..</t>
  </si>
  <si>
    <t>poprvé v playoff 10 týmů (předkolo 7-10)</t>
  </si>
  <si>
    <t>J. Říha</t>
  </si>
  <si>
    <t>D. Honzík</t>
  </si>
  <si>
    <t>ZS Ivana Hlinky</t>
  </si>
  <si>
    <t>Kalich aréna</t>
  </si>
  <si>
    <t>ČEZ stadion</t>
  </si>
  <si>
    <t>Ško-Energo aréna</t>
  </si>
  <si>
    <t>Ústí nad Labem</t>
  </si>
  <si>
    <t>D. Štich</t>
  </si>
  <si>
    <t>P. Zygmunt</t>
  </si>
  <si>
    <t>A. Jánošík</t>
  </si>
  <si>
    <t>Home Credit Arena (LIB)</t>
  </si>
  <si>
    <t>Spartak Moskva</t>
  </si>
  <si>
    <t>Vladivostok</t>
  </si>
  <si>
    <t>Open air Dresden</t>
  </si>
  <si>
    <t>po</t>
  </si>
  <si>
    <t>J. Bečvář</t>
  </si>
  <si>
    <t>Krefeld</t>
  </si>
  <si>
    <t>Tipsport extraliga</t>
  </si>
  <si>
    <t>#</t>
  </si>
  <si>
    <t>Z</t>
  </si>
  <si>
    <t>B</t>
  </si>
  <si>
    <t>GPř</t>
  </si>
  <si>
    <t>VPř</t>
  </si>
  <si>
    <t>OGOs</t>
  </si>
  <si>
    <t>UOs</t>
  </si>
  <si>
    <t>VGOs</t>
  </si>
  <si>
    <t>Bílí Tygři Liberec</t>
  </si>
  <si>
    <t>170:125</t>
  </si>
  <si>
    <t>21.79</t>
  </si>
  <si>
    <t>86.61</t>
  </si>
  <si>
    <t>HC Oceláři Třinec</t>
  </si>
  <si>
    <t>153:117</t>
  </si>
  <si>
    <t>20.39</t>
  </si>
  <si>
    <t>83.60</t>
  </si>
  <si>
    <t>HC Škoda Plzeň</t>
  </si>
  <si>
    <t>178:116</t>
  </si>
  <si>
    <t>19.83</t>
  </si>
  <si>
    <t>93.39</t>
  </si>
  <si>
    <t>Mountfield HK</t>
  </si>
  <si>
    <t>147:125</t>
  </si>
  <si>
    <t>14.86</t>
  </si>
  <si>
    <t>85.71</t>
  </si>
  <si>
    <t>HC Kometa Brno</t>
  </si>
  <si>
    <t>149:133</t>
  </si>
  <si>
    <t>19.17</t>
  </si>
  <si>
    <t>84.40</t>
  </si>
  <si>
    <t>HC Olomouc</t>
  </si>
  <si>
    <t>127:136</t>
  </si>
  <si>
    <t>16.41</t>
  </si>
  <si>
    <t>80.79</t>
  </si>
  <si>
    <t>HC VÍTKOVICE RIDERA</t>
  </si>
  <si>
    <t>142:131</t>
  </si>
  <si>
    <t>14.16</t>
  </si>
  <si>
    <t>86.19</t>
  </si>
  <si>
    <t>BK Mladá Boleslav</t>
  </si>
  <si>
    <t>128:118</t>
  </si>
  <si>
    <t>81.72</t>
  </si>
  <si>
    <t>PSG Berani Zlín</t>
  </si>
  <si>
    <t>143:144</t>
  </si>
  <si>
    <t>16.43</t>
  </si>
  <si>
    <t>80.61</t>
  </si>
  <si>
    <t>HC Sparta Praha</t>
  </si>
  <si>
    <t>140:140</t>
  </si>
  <si>
    <t>16.75</t>
  </si>
  <si>
    <t>82.88</t>
  </si>
  <si>
    <t>14.69</t>
  </si>
  <si>
    <t>83.18</t>
  </si>
  <si>
    <t>HC Energie Karlovy Vary</t>
  </si>
  <si>
    <t>125:155</t>
  </si>
  <si>
    <t>13.36</t>
  </si>
  <si>
    <t>79.56</t>
  </si>
  <si>
    <t>Piráti Chomutov</t>
  </si>
  <si>
    <t>116:174</t>
  </si>
  <si>
    <t>13.46</t>
  </si>
  <si>
    <t>80.00</t>
  </si>
  <si>
    <t>HC Dynamo Pardubice</t>
  </si>
  <si>
    <t>102:187</t>
  </si>
  <si>
    <t>81.03</t>
  </si>
  <si>
    <t>Tipsport extraliga - VENKU</t>
  </si>
  <si>
    <t>81:61</t>
  </si>
  <si>
    <t>91.27</t>
  </si>
  <si>
    <t>18.95</t>
  </si>
  <si>
    <t>83.00</t>
  </si>
  <si>
    <t>70:69</t>
  </si>
  <si>
    <t>26.73</t>
  </si>
  <si>
    <t>18.82</t>
  </si>
  <si>
    <t>82.30</t>
  </si>
  <si>
    <t>73:75</t>
  </si>
  <si>
    <t>23.91</t>
  </si>
  <si>
    <t>83.76</t>
  </si>
  <si>
    <t>62:66</t>
  </si>
  <si>
    <t>14.58</t>
  </si>
  <si>
    <t>80.81</t>
  </si>
  <si>
    <t>69:78</t>
  </si>
  <si>
    <t>19.42</t>
  </si>
  <si>
    <t>82.93</t>
  </si>
  <si>
    <t>68:75</t>
  </si>
  <si>
    <t>13.27</t>
  </si>
  <si>
    <t>82.26</t>
  </si>
  <si>
    <t>61:77</t>
  </si>
  <si>
    <t>16.47</t>
  </si>
  <si>
    <t>78.10</t>
  </si>
  <si>
    <t>13.98</t>
  </si>
  <si>
    <t>63:80</t>
  </si>
  <si>
    <t>16.13</t>
  </si>
  <si>
    <t>75.00</t>
  </si>
  <si>
    <t>46:76</t>
  </si>
  <si>
    <t>83.19</t>
  </si>
  <si>
    <t>59:85</t>
  </si>
  <si>
    <t>76.09</t>
  </si>
  <si>
    <t>47:98</t>
  </si>
  <si>
    <t>82.31</t>
  </si>
  <si>
    <t>42:93</t>
  </si>
  <si>
    <t>83.20</t>
  </si>
  <si>
    <t>Tipsport extraliga - DOMA</t>
  </si>
  <si>
    <t>23.66</t>
  </si>
  <si>
    <t>91.09</t>
  </si>
  <si>
    <t>17.74</t>
  </si>
  <si>
    <t>89.69</t>
  </si>
  <si>
    <t>16.51</t>
  </si>
  <si>
    <t>90.00</t>
  </si>
  <si>
    <t>82:60</t>
  </si>
  <si>
    <t>21.62</t>
  </si>
  <si>
    <t>84.27</t>
  </si>
  <si>
    <t>25.78</t>
  </si>
  <si>
    <t>96.04</t>
  </si>
  <si>
    <t>14.85</t>
  </si>
  <si>
    <t>85.15</t>
  </si>
  <si>
    <t>16.36</t>
  </si>
  <si>
    <t>83.67</t>
  </si>
  <si>
    <t>80:64</t>
  </si>
  <si>
    <t>16.67</t>
  </si>
  <si>
    <t>86.96</t>
  </si>
  <si>
    <t>17.27</t>
  </si>
  <si>
    <t>82.76</t>
  </si>
  <si>
    <t>15.25</t>
  </si>
  <si>
    <t>87.23</t>
  </si>
  <si>
    <t>70:71</t>
  </si>
  <si>
    <t>83.49</t>
  </si>
  <si>
    <t>66:70</t>
  </si>
  <si>
    <t>14.41</t>
  </si>
  <si>
    <t>83.15</t>
  </si>
  <si>
    <t>69:76</t>
  </si>
  <si>
    <t>76.85</t>
  </si>
  <si>
    <t>60:94</t>
  </si>
  <si>
    <t>17.95</t>
  </si>
  <si>
    <t>78.50</t>
  </si>
  <si>
    <t>Baráž o extraligu</t>
  </si>
  <si>
    <t>85.96</t>
  </si>
  <si>
    <t>89.66</t>
  </si>
  <si>
    <t>HC Dukla Jihlava</t>
  </si>
  <si>
    <t>13.95</t>
  </si>
  <si>
    <t>84.44</t>
  </si>
  <si>
    <t>92.86</t>
  </si>
  <si>
    <t>Baráž o extraligu - VENKU</t>
  </si>
  <si>
    <t>25.00</t>
  </si>
  <si>
    <t>86.67</t>
  </si>
  <si>
    <t>15.00</t>
  </si>
  <si>
    <t>78.26</t>
  </si>
  <si>
    <t>21.17</t>
  </si>
  <si>
    <t>95.45</t>
  </si>
  <si>
    <t>Baráž o extraligu - DOMA</t>
  </si>
  <si>
    <t>90.91</t>
  </si>
  <si>
    <t>82.14</t>
  </si>
  <si>
    <t>12.00</t>
  </si>
  <si>
    <t>172:123</t>
  </si>
  <si>
    <t>19.72</t>
  </si>
  <si>
    <t>84.42</t>
  </si>
  <si>
    <t>146:101</t>
  </si>
  <si>
    <t>84.85</t>
  </si>
  <si>
    <t>143:122</t>
  </si>
  <si>
    <t>15.81</t>
  </si>
  <si>
    <t>88.84</t>
  </si>
  <si>
    <t>157:119</t>
  </si>
  <si>
    <t>17.86</t>
  </si>
  <si>
    <t>84.15</t>
  </si>
  <si>
    <t>148:121</t>
  </si>
  <si>
    <t>16.50</t>
  </si>
  <si>
    <t>83.85</t>
  </si>
  <si>
    <t>128:139</t>
  </si>
  <si>
    <t>83.17</t>
  </si>
  <si>
    <t>132:138</t>
  </si>
  <si>
    <t>17.80</t>
  </si>
  <si>
    <t>80.53</t>
  </si>
  <si>
    <t>129:136</t>
  </si>
  <si>
    <t>86.47</t>
  </si>
  <si>
    <t>121:140</t>
  </si>
  <si>
    <t>28.46</t>
  </si>
  <si>
    <t>84.96</t>
  </si>
  <si>
    <t>140:150</t>
  </si>
  <si>
    <t>82.70</t>
  </si>
  <si>
    <t>132:155</t>
  </si>
  <si>
    <t>25.60</t>
  </si>
  <si>
    <t>13.74</t>
  </si>
  <si>
    <t>81.15</t>
  </si>
  <si>
    <t>118:139</t>
  </si>
  <si>
    <t>17.14</t>
  </si>
  <si>
    <t>81.16</t>
  </si>
  <si>
    <t>106:139</t>
  </si>
  <si>
    <t>85.47</t>
  </si>
  <si>
    <t>15.32</t>
  </si>
  <si>
    <t>79.92</t>
  </si>
  <si>
    <t>65:60</t>
  </si>
  <si>
    <t>87.50</t>
  </si>
  <si>
    <t>81.00</t>
  </si>
  <si>
    <t>69:73</t>
  </si>
  <si>
    <t>15.15</t>
  </si>
  <si>
    <t>84.13</t>
  </si>
  <si>
    <t>68:67</t>
  </si>
  <si>
    <t>14.44</t>
  </si>
  <si>
    <t>83.96</t>
  </si>
  <si>
    <t>66:64</t>
  </si>
  <si>
    <t>18.85</t>
  </si>
  <si>
    <t>55:69</t>
  </si>
  <si>
    <t>87.60</t>
  </si>
  <si>
    <t>66:80</t>
  </si>
  <si>
    <t>16.30</t>
  </si>
  <si>
    <t>57:78</t>
  </si>
  <si>
    <t>55:82</t>
  </si>
  <si>
    <t>83.93</t>
  </si>
  <si>
    <t>63:85</t>
  </si>
  <si>
    <t>78.40</t>
  </si>
  <si>
    <t>57:82</t>
  </si>
  <si>
    <t>17.48</t>
  </si>
  <si>
    <t>76.72</t>
  </si>
  <si>
    <t>43:81</t>
  </si>
  <si>
    <t>77.60</t>
  </si>
  <si>
    <t>51:84</t>
  </si>
  <si>
    <t>82.98</t>
  </si>
  <si>
    <t>23.53</t>
  </si>
  <si>
    <t>84.76</t>
  </si>
  <si>
    <t>23.48</t>
  </si>
  <si>
    <t>84.16</t>
  </si>
  <si>
    <t>25.89</t>
  </si>
  <si>
    <t>88.78</t>
  </si>
  <si>
    <t>16.92</t>
  </si>
  <si>
    <t>83.72</t>
  </si>
  <si>
    <t>78:62</t>
  </si>
  <si>
    <t>18.18</t>
  </si>
  <si>
    <t>90.80</t>
  </si>
  <si>
    <t>89.47</t>
  </si>
  <si>
    <t>71:61</t>
  </si>
  <si>
    <t>16.28</t>
  </si>
  <si>
    <t>85.87</t>
  </si>
  <si>
    <t>74:70</t>
  </si>
  <si>
    <t>19.19</t>
  </si>
  <si>
    <t>83.56</t>
  </si>
  <si>
    <t>66:71</t>
  </si>
  <si>
    <t>18.97</t>
  </si>
  <si>
    <t>81.44</t>
  </si>
  <si>
    <t>69:70</t>
  </si>
  <si>
    <t>84.03</t>
  </si>
  <si>
    <t>88.24</t>
  </si>
  <si>
    <t>16.82</t>
  </si>
  <si>
    <t>86.81</t>
  </si>
  <si>
    <t>84.80</t>
  </si>
  <si>
    <t>2018 - 2019</t>
  </si>
  <si>
    <t>2017 - 2018</t>
  </si>
  <si>
    <t>136:102</t>
  </si>
  <si>
    <t>14.91</t>
  </si>
  <si>
    <t>84.09</t>
  </si>
  <si>
    <t>158:125</t>
  </si>
  <si>
    <t>89.19</t>
  </si>
  <si>
    <t>164:117</t>
  </si>
  <si>
    <t>85.31</t>
  </si>
  <si>
    <t>159:125</t>
  </si>
  <si>
    <t>19.27</t>
  </si>
  <si>
    <t>85.86</t>
  </si>
  <si>
    <t>128:126</t>
  </si>
  <si>
    <t>85.90</t>
  </si>
  <si>
    <t>158:139</t>
  </si>
  <si>
    <t>82.29</t>
  </si>
  <si>
    <t>149:154</t>
  </si>
  <si>
    <t>19.47</t>
  </si>
  <si>
    <t>79.64</t>
  </si>
  <si>
    <t>119:126</t>
  </si>
  <si>
    <t>81.97</t>
  </si>
  <si>
    <t>135:138</t>
  </si>
  <si>
    <t>18.36</t>
  </si>
  <si>
    <t>85.05</t>
  </si>
  <si>
    <t>132:148</t>
  </si>
  <si>
    <t>80.26</t>
  </si>
  <si>
    <t>126:155</t>
  </si>
  <si>
    <t>79.81</t>
  </si>
  <si>
    <t>123:127</t>
  </si>
  <si>
    <t>83.81</t>
  </si>
  <si>
    <t>107:160</t>
  </si>
  <si>
    <t>81.94</t>
  </si>
  <si>
    <t>128:180</t>
  </si>
  <si>
    <t>17.91</t>
  </si>
  <si>
    <t>82.27</t>
  </si>
  <si>
    <t>16.24</t>
  </si>
  <si>
    <t>80:63</t>
  </si>
  <si>
    <t>84.25</t>
  </si>
  <si>
    <t>72:76</t>
  </si>
  <si>
    <t>17.31</t>
  </si>
  <si>
    <t>57:70</t>
  </si>
  <si>
    <t>15.56</t>
  </si>
  <si>
    <t>86.51</t>
  </si>
  <si>
    <t>71:71</t>
  </si>
  <si>
    <t>88.46</t>
  </si>
  <si>
    <t>64:78</t>
  </si>
  <si>
    <t>15.53</t>
  </si>
  <si>
    <t>83.09</t>
  </si>
  <si>
    <t>62:71</t>
  </si>
  <si>
    <t>20.73</t>
  </si>
  <si>
    <t>80.91</t>
  </si>
  <si>
    <t>61:83</t>
  </si>
  <si>
    <t>20.88</t>
  </si>
  <si>
    <t>60:68</t>
  </si>
  <si>
    <t>83.06</t>
  </si>
  <si>
    <t>51:69</t>
  </si>
  <si>
    <t>83.82</t>
  </si>
  <si>
    <t>66:84</t>
  </si>
  <si>
    <t>15.69</t>
  </si>
  <si>
    <t>56:88</t>
  </si>
  <si>
    <t>77.42</t>
  </si>
  <si>
    <t>61:95</t>
  </si>
  <si>
    <t>14.77</t>
  </si>
  <si>
    <t>81.20</t>
  </si>
  <si>
    <t>36:82</t>
  </si>
  <si>
    <t>82.44</t>
  </si>
  <si>
    <t>18.25</t>
  </si>
  <si>
    <t>84.21</t>
  </si>
  <si>
    <t>15.45</t>
  </si>
  <si>
    <t>92.16</t>
  </si>
  <si>
    <t>13.51</t>
  </si>
  <si>
    <t>20.16</t>
  </si>
  <si>
    <t>17.36</t>
  </si>
  <si>
    <t>85.19</t>
  </si>
  <si>
    <t>88:71</t>
  </si>
  <si>
    <t>79.21</t>
  </si>
  <si>
    <t>86.44</t>
  </si>
  <si>
    <t>14.50</t>
  </si>
  <si>
    <t>79.38</t>
  </si>
  <si>
    <t>70:67</t>
  </si>
  <si>
    <t>73:67</t>
  </si>
  <si>
    <t>16.80</t>
  </si>
  <si>
    <t>89.42</t>
  </si>
  <si>
    <t>17.70</t>
  </si>
  <si>
    <t>84.88</t>
  </si>
  <si>
    <t>68:70</t>
  </si>
  <si>
    <t>76.29</t>
  </si>
  <si>
    <t>71:78</t>
  </si>
  <si>
    <t>25.69</t>
  </si>
  <si>
    <t>15.17</t>
  </si>
  <si>
    <t>81.25</t>
  </si>
  <si>
    <t>67:85</t>
  </si>
  <si>
    <t>20.35</t>
  </si>
  <si>
    <t>83.50</t>
  </si>
  <si>
    <t>2016 - 2017</t>
  </si>
  <si>
    <t>20.17</t>
  </si>
  <si>
    <t>25.49</t>
  </si>
  <si>
    <t>82.22</t>
  </si>
  <si>
    <t>80.36</t>
  </si>
  <si>
    <t>HC Slavia Praha</t>
  </si>
  <si>
    <t>13.79</t>
  </si>
  <si>
    <t>88.71</t>
  </si>
  <si>
    <t>83.33</t>
  </si>
  <si>
    <t>20.69</t>
  </si>
  <si>
    <t>72.97</t>
  </si>
  <si>
    <t>87.10</t>
  </si>
  <si>
    <t>83.87</t>
  </si>
  <si>
    <t>35.48</t>
  </si>
  <si>
    <t>80.95</t>
  </si>
  <si>
    <t>94.74</t>
  </si>
  <si>
    <t>14.71</t>
  </si>
  <si>
    <t>77.78</t>
  </si>
  <si>
    <t>93.55</t>
  </si>
  <si>
    <t>181:112</t>
  </si>
  <si>
    <t>21.54</t>
  </si>
  <si>
    <t>84.75</t>
  </si>
  <si>
    <t>200:132</t>
  </si>
  <si>
    <t>22.58</t>
  </si>
  <si>
    <t>82.87</t>
  </si>
  <si>
    <t>143:138</t>
  </si>
  <si>
    <t>85.00</t>
  </si>
  <si>
    <t>165:142</t>
  </si>
  <si>
    <t>18.77</t>
  </si>
  <si>
    <t>84.91</t>
  </si>
  <si>
    <t>117:115</t>
  </si>
  <si>
    <t>87.78</t>
  </si>
  <si>
    <t>152:141</t>
  </si>
  <si>
    <t>129:128</t>
  </si>
  <si>
    <t>16.44</t>
  </si>
  <si>
    <t>83.63</t>
  </si>
  <si>
    <t>130:144</t>
  </si>
  <si>
    <t>81.70</t>
  </si>
  <si>
    <t>132:149</t>
  </si>
  <si>
    <t>17.68</t>
  </si>
  <si>
    <t>122:126</t>
  </si>
  <si>
    <t>88.05</t>
  </si>
  <si>
    <t>143:149</t>
  </si>
  <si>
    <t>15.95</t>
  </si>
  <si>
    <t>79.65</t>
  </si>
  <si>
    <t>113:156</t>
  </si>
  <si>
    <t>17.21</t>
  </si>
  <si>
    <t>84.38</t>
  </si>
  <si>
    <t>110:138</t>
  </si>
  <si>
    <t>86.33</t>
  </si>
  <si>
    <t>113:180</t>
  </si>
  <si>
    <t>13.54</t>
  </si>
  <si>
    <t>79.67</t>
  </si>
  <si>
    <t>81:62</t>
  </si>
  <si>
    <t>23.15</t>
  </si>
  <si>
    <t>85.61</t>
  </si>
  <si>
    <t>81:79</t>
  </si>
  <si>
    <t>84.67</t>
  </si>
  <si>
    <t>86:79</t>
  </si>
  <si>
    <t>86.26</t>
  </si>
  <si>
    <t>55:64</t>
  </si>
  <si>
    <t>85.83</t>
  </si>
  <si>
    <t>53:67</t>
  </si>
  <si>
    <t>25.19</t>
  </si>
  <si>
    <t>86.82</t>
  </si>
  <si>
    <t>82.40</t>
  </si>
  <si>
    <t>71:87</t>
  </si>
  <si>
    <t>15.83</t>
  </si>
  <si>
    <t>79.72</t>
  </si>
  <si>
    <t>62:87</t>
  </si>
  <si>
    <t>15.70</t>
  </si>
  <si>
    <t>80.15</t>
  </si>
  <si>
    <t>53:76</t>
  </si>
  <si>
    <t>85.04</t>
  </si>
  <si>
    <t>55:88</t>
  </si>
  <si>
    <t>21.85</t>
  </si>
  <si>
    <t>17.53</t>
  </si>
  <si>
    <t>80.60</t>
  </si>
  <si>
    <t>49:79</t>
  </si>
  <si>
    <t>85.27</t>
  </si>
  <si>
    <t>52:88</t>
  </si>
  <si>
    <t>77.31</t>
  </si>
  <si>
    <t>47:83</t>
  </si>
  <si>
    <t>74.78</t>
  </si>
  <si>
    <t>85.51</t>
  </si>
  <si>
    <t>80.70</t>
  </si>
  <si>
    <t>20.29</t>
  </si>
  <si>
    <t>83.52</t>
  </si>
  <si>
    <t>82:61</t>
  </si>
  <si>
    <t>88.42</t>
  </si>
  <si>
    <t>14.39</t>
  </si>
  <si>
    <t>80.37</t>
  </si>
  <si>
    <t>89.13</t>
  </si>
  <si>
    <t>85:66</t>
  </si>
  <si>
    <t>20.18</t>
  </si>
  <si>
    <t>79:63</t>
  </si>
  <si>
    <t>17.65</t>
  </si>
  <si>
    <t>91.92</t>
  </si>
  <si>
    <t>74:64</t>
  </si>
  <si>
    <t>81.13</t>
  </si>
  <si>
    <t>16.22</t>
  </si>
  <si>
    <t>78.95</t>
  </si>
  <si>
    <t>87.29</t>
  </si>
  <si>
    <t>64:77</t>
  </si>
  <si>
    <t>17.52</t>
  </si>
  <si>
    <t>83.16</t>
  </si>
  <si>
    <t>58:92</t>
  </si>
  <si>
    <t>2015 - 2016</t>
  </si>
  <si>
    <t>183:117</t>
  </si>
  <si>
    <t>19.93</t>
  </si>
  <si>
    <t>84.84</t>
  </si>
  <si>
    <t>167:120</t>
  </si>
  <si>
    <t>20.27</t>
  </si>
  <si>
    <t>87.92</t>
  </si>
  <si>
    <t>153:135</t>
  </si>
  <si>
    <t>86.28</t>
  </si>
  <si>
    <t>194:140</t>
  </si>
  <si>
    <t>80.38</t>
  </si>
  <si>
    <t>136:131</t>
  </si>
  <si>
    <t>16.21</t>
  </si>
  <si>
    <t>85.49</t>
  </si>
  <si>
    <t>145:153</t>
  </si>
  <si>
    <t>17.45</t>
  </si>
  <si>
    <t>81.29</t>
  </si>
  <si>
    <t>144:133</t>
  </si>
  <si>
    <t>15.13</t>
  </si>
  <si>
    <t>88.04</t>
  </si>
  <si>
    <t>136:153</t>
  </si>
  <si>
    <t>14.92</t>
  </si>
  <si>
    <t>143:156</t>
  </si>
  <si>
    <t>16.79</t>
  </si>
  <si>
    <t>82.61</t>
  </si>
  <si>
    <t>156:164</t>
  </si>
  <si>
    <t>19.74</t>
  </si>
  <si>
    <t>128:131</t>
  </si>
  <si>
    <t>84.08</t>
  </si>
  <si>
    <t>110:146</t>
  </si>
  <si>
    <t>82.83</t>
  </si>
  <si>
    <t>126:167</t>
  </si>
  <si>
    <t>16.98</t>
  </si>
  <si>
    <t>106:181</t>
  </si>
  <si>
    <t>13.33</t>
  </si>
  <si>
    <t>77.89</t>
  </si>
  <si>
    <t>89:63</t>
  </si>
  <si>
    <t>20.45</t>
  </si>
  <si>
    <t>102:75</t>
  </si>
  <si>
    <t>26.88</t>
  </si>
  <si>
    <t>78.14</t>
  </si>
  <si>
    <t>74:71</t>
  </si>
  <si>
    <t>77:77</t>
  </si>
  <si>
    <t>83.75</t>
  </si>
  <si>
    <t>73:84</t>
  </si>
  <si>
    <t>83.95</t>
  </si>
  <si>
    <t>81.01</t>
  </si>
  <si>
    <t>57:66</t>
  </si>
  <si>
    <t>90.32</t>
  </si>
  <si>
    <t>58:69</t>
  </si>
  <si>
    <t>16.38</t>
  </si>
  <si>
    <t>85.38</t>
  </si>
  <si>
    <t>62:82</t>
  </si>
  <si>
    <t>14.73</t>
  </si>
  <si>
    <t>81.48</t>
  </si>
  <si>
    <t>59:74</t>
  </si>
  <si>
    <t>66:93</t>
  </si>
  <si>
    <t>80.45</t>
  </si>
  <si>
    <t>49:86</t>
  </si>
  <si>
    <t>48:95</t>
  </si>
  <si>
    <t>80.77</t>
  </si>
  <si>
    <t>43:89</t>
  </si>
  <si>
    <t>80.67</t>
  </si>
  <si>
    <t>22.78</t>
  </si>
  <si>
    <t>92.91</t>
  </si>
  <si>
    <t>19.51</t>
  </si>
  <si>
    <t>88.67</t>
  </si>
  <si>
    <t>85.60</t>
  </si>
  <si>
    <t>14.38</t>
  </si>
  <si>
    <t>89.74</t>
  </si>
  <si>
    <t>70:60</t>
  </si>
  <si>
    <t>84.55</t>
  </si>
  <si>
    <t>79:73</t>
  </si>
  <si>
    <t>16.77</t>
  </si>
  <si>
    <t>81.62</t>
  </si>
  <si>
    <t>92:65</t>
  </si>
  <si>
    <t>20.99</t>
  </si>
  <si>
    <t>83.46</t>
  </si>
  <si>
    <t>85.03</t>
  </si>
  <si>
    <t>87:67</t>
  </si>
  <si>
    <t>18.56</t>
  </si>
  <si>
    <t>85.62</t>
  </si>
  <si>
    <t>87.31</t>
  </si>
  <si>
    <t>81:74</t>
  </si>
  <si>
    <t>18.62</t>
  </si>
  <si>
    <t>83.69</t>
  </si>
  <si>
    <t>83:80</t>
  </si>
  <si>
    <t>82.54</t>
  </si>
  <si>
    <t>77:81</t>
  </si>
  <si>
    <t>19.44</t>
  </si>
  <si>
    <t>58:86</t>
  </si>
  <si>
    <t>74.83</t>
  </si>
  <si>
    <t>2014 - 2015</t>
  </si>
  <si>
    <t>208:100</t>
  </si>
  <si>
    <t>22.46</t>
  </si>
  <si>
    <t>84.47</t>
  </si>
  <si>
    <t>163:132</t>
  </si>
  <si>
    <t>20.85</t>
  </si>
  <si>
    <t>133:118</t>
  </si>
  <si>
    <t>19.91</t>
  </si>
  <si>
    <t>85.20</t>
  </si>
  <si>
    <t>136:119</t>
  </si>
  <si>
    <t>19.82</t>
  </si>
  <si>
    <t>83.40</t>
  </si>
  <si>
    <t>125:110</t>
  </si>
  <si>
    <t>19.90</t>
  </si>
  <si>
    <t>126:124</t>
  </si>
  <si>
    <t>15.98</t>
  </si>
  <si>
    <t>85.29</t>
  </si>
  <si>
    <t>150:139</t>
  </si>
  <si>
    <t>82.89</t>
  </si>
  <si>
    <t>162:146</t>
  </si>
  <si>
    <t>81.45</t>
  </si>
  <si>
    <t>147:155</t>
  </si>
  <si>
    <t>78.99</t>
  </si>
  <si>
    <t>134:136</t>
  </si>
  <si>
    <t>14.66</t>
  </si>
  <si>
    <t>82.03</t>
  </si>
  <si>
    <t>106:122</t>
  </si>
  <si>
    <t>86.23</t>
  </si>
  <si>
    <t>114:147</t>
  </si>
  <si>
    <t>17.13</t>
  </si>
  <si>
    <t>79.91</t>
  </si>
  <si>
    <t>98:154</t>
  </si>
  <si>
    <t>13.30</t>
  </si>
  <si>
    <t>79.13</t>
  </si>
  <si>
    <t>91:191</t>
  </si>
  <si>
    <t>78.04</t>
  </si>
  <si>
    <t>23.23</t>
  </si>
  <si>
    <t>94:67</t>
  </si>
  <si>
    <t>22.81</t>
  </si>
  <si>
    <t>86.29</t>
  </si>
  <si>
    <t>63:63</t>
  </si>
  <si>
    <t>79.84</t>
  </si>
  <si>
    <t>72:81</t>
  </si>
  <si>
    <t>20.95</t>
  </si>
  <si>
    <t>47:70</t>
  </si>
  <si>
    <t>14.14</t>
  </si>
  <si>
    <t>84.07</t>
  </si>
  <si>
    <t>51:66</t>
  </si>
  <si>
    <t>81.75</t>
  </si>
  <si>
    <t>67:74</t>
  </si>
  <si>
    <t>86.99</t>
  </si>
  <si>
    <t>70:97</t>
  </si>
  <si>
    <t>71.07</t>
  </si>
  <si>
    <t>50:82</t>
  </si>
  <si>
    <t>13.86</t>
  </si>
  <si>
    <t>79.17</t>
  </si>
  <si>
    <t>59:80</t>
  </si>
  <si>
    <t>44:88</t>
  </si>
  <si>
    <t>78.86</t>
  </si>
  <si>
    <t>40:75</t>
  </si>
  <si>
    <t>86.76</t>
  </si>
  <si>
    <t>43:99</t>
  </si>
  <si>
    <t>16.19</t>
  </si>
  <si>
    <t>78.20</t>
  </si>
  <si>
    <t>22.13</t>
  </si>
  <si>
    <t>89.90</t>
  </si>
  <si>
    <t>20.77</t>
  </si>
  <si>
    <t>85.42</t>
  </si>
  <si>
    <t>89.38</t>
  </si>
  <si>
    <t>18.37</t>
  </si>
  <si>
    <t>87.18</t>
  </si>
  <si>
    <t>85.59</t>
  </si>
  <si>
    <t>17.50</t>
  </si>
  <si>
    <t>83:65</t>
  </si>
  <si>
    <t>19.38</t>
  </si>
  <si>
    <t>23.76</t>
  </si>
  <si>
    <t>84.78</t>
  </si>
  <si>
    <t>79:65</t>
  </si>
  <si>
    <t>18.90</t>
  </si>
  <si>
    <t>80.18</t>
  </si>
  <si>
    <t>16.35</t>
  </si>
  <si>
    <t>81.37</t>
  </si>
  <si>
    <t>64:65</t>
  </si>
  <si>
    <t>80.73</t>
  </si>
  <si>
    <t>84:84</t>
  </si>
  <si>
    <t>15.91</t>
  </si>
  <si>
    <t>54:66</t>
  </si>
  <si>
    <t>79.52</t>
  </si>
  <si>
    <t>48:92</t>
  </si>
  <si>
    <t>13.64</t>
  </si>
  <si>
    <t>77.87</t>
  </si>
  <si>
    <t>2013 - 2014</t>
  </si>
  <si>
    <t>158:137</t>
  </si>
  <si>
    <t>19.23</t>
  </si>
  <si>
    <t>87.55</t>
  </si>
  <si>
    <t>138:111</t>
  </si>
  <si>
    <t>16.18</t>
  </si>
  <si>
    <t>81.19</t>
  </si>
  <si>
    <t>160:131</t>
  </si>
  <si>
    <t>84.98</t>
  </si>
  <si>
    <t>196:159</t>
  </si>
  <si>
    <t>86.85</t>
  </si>
  <si>
    <t>171:149</t>
  </si>
  <si>
    <t>80.80</t>
  </si>
  <si>
    <t>162:148</t>
  </si>
  <si>
    <t>20.49</t>
  </si>
  <si>
    <t>83.45</t>
  </si>
  <si>
    <t>142:146</t>
  </si>
  <si>
    <t>18.40</t>
  </si>
  <si>
    <t>80.43</t>
  </si>
  <si>
    <t>HC Mountfield</t>
  </si>
  <si>
    <t>135:149</t>
  </si>
  <si>
    <t>16.32</t>
  </si>
  <si>
    <t>81.14</t>
  </si>
  <si>
    <t>141:151</t>
  </si>
  <si>
    <t>17.43</t>
  </si>
  <si>
    <t>82.08</t>
  </si>
  <si>
    <t>155:161</t>
  </si>
  <si>
    <t>17.39</t>
  </si>
  <si>
    <t>79.53</t>
  </si>
  <si>
    <t>149:158</t>
  </si>
  <si>
    <t>82.20</t>
  </si>
  <si>
    <t>133:148</t>
  </si>
  <si>
    <t>15.23</t>
  </si>
  <si>
    <t>77.73</t>
  </si>
  <si>
    <t>137:178</t>
  </si>
  <si>
    <t>19.92</t>
  </si>
  <si>
    <t>79.37</t>
  </si>
  <si>
    <t>127:178</t>
  </si>
  <si>
    <t>78.37</t>
  </si>
  <si>
    <t>14.43</t>
  </si>
  <si>
    <t>75:72</t>
  </si>
  <si>
    <t>89.78</t>
  </si>
  <si>
    <t>75:69</t>
  </si>
  <si>
    <t>84.56</t>
  </si>
  <si>
    <t>74:82</t>
  </si>
  <si>
    <t>25.24</t>
  </si>
  <si>
    <t>72:85</t>
  </si>
  <si>
    <t>82.10</t>
  </si>
  <si>
    <t>60:80</t>
  </si>
  <si>
    <t>79.07</t>
  </si>
  <si>
    <t>83:90</t>
  </si>
  <si>
    <t>21.55</t>
  </si>
  <si>
    <t>86.90</t>
  </si>
  <si>
    <t>70:95</t>
  </si>
  <si>
    <t>22.68</t>
  </si>
  <si>
    <t>67:87</t>
  </si>
  <si>
    <t>18.39</t>
  </si>
  <si>
    <t>78.79</t>
  </si>
  <si>
    <t>60:87</t>
  </si>
  <si>
    <t>15.84</t>
  </si>
  <si>
    <t>84.00</t>
  </si>
  <si>
    <t>66:100</t>
  </si>
  <si>
    <t>17.71</t>
  </si>
  <si>
    <t>79.49</t>
  </si>
  <si>
    <t>51:85</t>
  </si>
  <si>
    <t>79.03</t>
  </si>
  <si>
    <t>49:92</t>
  </si>
  <si>
    <t>77.24</t>
  </si>
  <si>
    <t>113:69</t>
  </si>
  <si>
    <t>20.65</t>
  </si>
  <si>
    <t>86.79</t>
  </si>
  <si>
    <t>84.62</t>
  </si>
  <si>
    <t>90:63</t>
  </si>
  <si>
    <t>21.38</t>
  </si>
  <si>
    <t>85.34</t>
  </si>
  <si>
    <t>97:67</t>
  </si>
  <si>
    <t>79.55</t>
  </si>
  <si>
    <t>82.65</t>
  </si>
  <si>
    <t>81:64</t>
  </si>
  <si>
    <t>18.57</t>
  </si>
  <si>
    <t>79.31</t>
  </si>
  <si>
    <t>15.43</t>
  </si>
  <si>
    <t>86.11</t>
  </si>
  <si>
    <t>17.76</t>
  </si>
  <si>
    <t>81.11</t>
  </si>
  <si>
    <t>85:62</t>
  </si>
  <si>
    <t>85.58</t>
  </si>
  <si>
    <t>93:74</t>
  </si>
  <si>
    <t>22.90</t>
  </si>
  <si>
    <t>81.82</t>
  </si>
  <si>
    <t>82:63</t>
  </si>
  <si>
    <t>16.56</t>
  </si>
  <si>
    <t>76.04</t>
  </si>
  <si>
    <t>18.52</t>
  </si>
  <si>
    <t>83.84</t>
  </si>
  <si>
    <t>78:86</t>
  </si>
  <si>
    <t>67:83</t>
  </si>
  <si>
    <t>17.99</t>
  </si>
  <si>
    <t>2012 - 2013</t>
  </si>
  <si>
    <t>163:109</t>
  </si>
  <si>
    <t>17.25</t>
  </si>
  <si>
    <t>92.22</t>
  </si>
  <si>
    <t>HC Plzeň 1929</t>
  </si>
  <si>
    <t>181:146</t>
  </si>
  <si>
    <t>18.15</t>
  </si>
  <si>
    <t>84.83</t>
  </si>
  <si>
    <t>175:136</t>
  </si>
  <si>
    <t>83.55</t>
  </si>
  <si>
    <t>145:140</t>
  </si>
  <si>
    <t>17.32</t>
  </si>
  <si>
    <t>84.50</t>
  </si>
  <si>
    <t>129:127</t>
  </si>
  <si>
    <t>13.57</t>
  </si>
  <si>
    <t>86.43</t>
  </si>
  <si>
    <t>143:150</t>
  </si>
  <si>
    <t>17.87</t>
  </si>
  <si>
    <t>107:125</t>
  </si>
  <si>
    <t>84.87</t>
  </si>
  <si>
    <t>142:137</t>
  </si>
  <si>
    <t>84.31</t>
  </si>
  <si>
    <t>129:140</t>
  </si>
  <si>
    <t>14.35</t>
  </si>
  <si>
    <t>86.06</t>
  </si>
  <si>
    <t>146:143</t>
  </si>
  <si>
    <t>15.96</t>
  </si>
  <si>
    <t>90.23</t>
  </si>
  <si>
    <t>137:154</t>
  </si>
  <si>
    <t>140:158</t>
  </si>
  <si>
    <t>138:171</t>
  </si>
  <si>
    <t>80.23</t>
  </si>
  <si>
    <t>120:159</t>
  </si>
  <si>
    <t>81.23</t>
  </si>
  <si>
    <t>90.14</t>
  </si>
  <si>
    <t>13.49</t>
  </si>
  <si>
    <t>81.06</t>
  </si>
  <si>
    <t>74:79</t>
  </si>
  <si>
    <t>14.63</t>
  </si>
  <si>
    <t>77.94</t>
  </si>
  <si>
    <t>75:80</t>
  </si>
  <si>
    <t>14.56</t>
  </si>
  <si>
    <t>78:73</t>
  </si>
  <si>
    <t>16.39</t>
  </si>
  <si>
    <t>89.04</t>
  </si>
  <si>
    <t>64:80</t>
  </si>
  <si>
    <t>16.48</t>
  </si>
  <si>
    <t>83.57</t>
  </si>
  <si>
    <t>60:67</t>
  </si>
  <si>
    <t>13.48</t>
  </si>
  <si>
    <t>46:66</t>
  </si>
  <si>
    <t>68:89</t>
  </si>
  <si>
    <t>83.97</t>
  </si>
  <si>
    <t>59:82</t>
  </si>
  <si>
    <t>82.99</t>
  </si>
  <si>
    <t>54:79</t>
  </si>
  <si>
    <t>83.90</t>
  </si>
  <si>
    <t>48:85</t>
  </si>
  <si>
    <t>80.42</t>
  </si>
  <si>
    <t>58:97</t>
  </si>
  <si>
    <t>16.53</t>
  </si>
  <si>
    <t>78.01</t>
  </si>
  <si>
    <t>13.71</t>
  </si>
  <si>
    <t>106:66</t>
  </si>
  <si>
    <t>20.51</t>
  </si>
  <si>
    <t>94.53</t>
  </si>
  <si>
    <t>84:68</t>
  </si>
  <si>
    <t>84.95</t>
  </si>
  <si>
    <t>69:60</t>
  </si>
  <si>
    <t>85.44</t>
  </si>
  <si>
    <t>81:60</t>
  </si>
  <si>
    <t>75:61</t>
  </si>
  <si>
    <t>15.52</t>
  </si>
  <si>
    <t>88.89</t>
  </si>
  <si>
    <t>96:63</t>
  </si>
  <si>
    <t>86.87</t>
  </si>
  <si>
    <t>14.62</t>
  </si>
  <si>
    <t>78:69</t>
  </si>
  <si>
    <t>80:74</t>
  </si>
  <si>
    <t>82.79</t>
  </si>
  <si>
    <t>72:74</t>
  </si>
  <si>
    <t>17.61</t>
  </si>
  <si>
    <t>15.63</t>
  </si>
  <si>
    <t>91.82</t>
  </si>
  <si>
    <t>66:79</t>
  </si>
  <si>
    <t>14.89</t>
  </si>
  <si>
    <t>78.38</t>
  </si>
  <si>
    <t>2011 - 2012</t>
  </si>
  <si>
    <t>178:136</t>
  </si>
  <si>
    <t>86.83</t>
  </si>
  <si>
    <t>159:139</t>
  </si>
  <si>
    <t>162:137</t>
  </si>
  <si>
    <t>158:134</t>
  </si>
  <si>
    <t>79.42</t>
  </si>
  <si>
    <t>HC Eaton Pardubice</t>
  </si>
  <si>
    <t>146:125</t>
  </si>
  <si>
    <t>87.00</t>
  </si>
  <si>
    <t>158:131</t>
  </si>
  <si>
    <t>82.45</t>
  </si>
  <si>
    <t>140:131</t>
  </si>
  <si>
    <t>14.40</t>
  </si>
  <si>
    <t>153:145</t>
  </si>
  <si>
    <t>21.35</t>
  </si>
  <si>
    <t>80.99</t>
  </si>
  <si>
    <t>HC BENZINA Litvínov</t>
  </si>
  <si>
    <t>133:162</t>
  </si>
  <si>
    <t>82.55</t>
  </si>
  <si>
    <t>152:154</t>
  </si>
  <si>
    <t>21.13</t>
  </si>
  <si>
    <t>130:146</t>
  </si>
  <si>
    <t>15.27</t>
  </si>
  <si>
    <t>83.01</t>
  </si>
  <si>
    <t>115:142</t>
  </si>
  <si>
    <t>13.88</t>
  </si>
  <si>
    <t>82.85</t>
  </si>
  <si>
    <t>HC Vagnerplast Kladno</t>
  </si>
  <si>
    <t>105:172</t>
  </si>
  <si>
    <t>123:158</t>
  </si>
  <si>
    <t>69:64</t>
  </si>
  <si>
    <t>19.61</t>
  </si>
  <si>
    <t>71:74</t>
  </si>
  <si>
    <t>85.35</t>
  </si>
  <si>
    <t>75:81</t>
  </si>
  <si>
    <t>23.71</t>
  </si>
  <si>
    <t>87.12</t>
  </si>
  <si>
    <t>64:72</t>
  </si>
  <si>
    <t>80.58</t>
  </si>
  <si>
    <t>81:81</t>
  </si>
  <si>
    <t>70:82</t>
  </si>
  <si>
    <t>18.26</t>
  </si>
  <si>
    <t>62:74</t>
  </si>
  <si>
    <t>79.43</t>
  </si>
  <si>
    <t>82.58</t>
  </si>
  <si>
    <t>60:76</t>
  </si>
  <si>
    <t>65:106</t>
  </si>
  <si>
    <t>78.34</t>
  </si>
  <si>
    <t>45:74</t>
  </si>
  <si>
    <t>14.95</t>
  </si>
  <si>
    <t>52:79</t>
  </si>
  <si>
    <t>88.08</t>
  </si>
  <si>
    <t>43:93</t>
  </si>
  <si>
    <t>78.68</t>
  </si>
  <si>
    <t>85.98</t>
  </si>
  <si>
    <t>88:65</t>
  </si>
  <si>
    <t>82.91</t>
  </si>
  <si>
    <t>13.60</t>
  </si>
  <si>
    <t>89.52</t>
  </si>
  <si>
    <t>88.14</t>
  </si>
  <si>
    <t>94:62</t>
  </si>
  <si>
    <t>77.88</t>
  </si>
  <si>
    <t>77:61</t>
  </si>
  <si>
    <t>84.54</t>
  </si>
  <si>
    <t>83:63</t>
  </si>
  <si>
    <t>23.68</t>
  </si>
  <si>
    <t>70:68</t>
  </si>
  <si>
    <t>88.70</t>
  </si>
  <si>
    <t>61:68</t>
  </si>
  <si>
    <t>14.65</t>
  </si>
  <si>
    <t>83.02</t>
  </si>
  <si>
    <t>71:73</t>
  </si>
  <si>
    <t>62:79</t>
  </si>
  <si>
    <t>13.67</t>
  </si>
  <si>
    <t>71:79</t>
  </si>
  <si>
    <t>78.63</t>
  </si>
  <si>
    <t>2010 - 2011</t>
  </si>
  <si>
    <t>O2 extraliga</t>
  </si>
  <si>
    <t>162:128</t>
  </si>
  <si>
    <t>21.33</t>
  </si>
  <si>
    <t>154:129</t>
  </si>
  <si>
    <t>16.16</t>
  </si>
  <si>
    <t>79.77</t>
  </si>
  <si>
    <t>179:131</t>
  </si>
  <si>
    <t>18.89</t>
  </si>
  <si>
    <t>161:136</t>
  </si>
  <si>
    <t>81.59</t>
  </si>
  <si>
    <t>157:132</t>
  </si>
  <si>
    <t>15.90</t>
  </si>
  <si>
    <t>153:148</t>
  </si>
  <si>
    <t>15.97</t>
  </si>
  <si>
    <t>84.18</t>
  </si>
  <si>
    <t>142:151</t>
  </si>
  <si>
    <t>81.27</t>
  </si>
  <si>
    <t>19.85</t>
  </si>
  <si>
    <t>130:151</t>
  </si>
  <si>
    <t>17.60</t>
  </si>
  <si>
    <t>152:193</t>
  </si>
  <si>
    <t>16.99</t>
  </si>
  <si>
    <t>82.81</t>
  </si>
  <si>
    <t>135:152</t>
  </si>
  <si>
    <t>18.45</t>
  </si>
  <si>
    <t>81.85</t>
  </si>
  <si>
    <t>123:150</t>
  </si>
  <si>
    <t>14.67</t>
  </si>
  <si>
    <t>135:148</t>
  </si>
  <si>
    <t>83.62</t>
  </si>
  <si>
    <t>HC GEUS OKNA Kladno</t>
  </si>
  <si>
    <t>133:157</t>
  </si>
  <si>
    <t>85.89</t>
  </si>
  <si>
    <t>O2 extraliga - VENKU</t>
  </si>
  <si>
    <t>77:72</t>
  </si>
  <si>
    <t>78:70</t>
  </si>
  <si>
    <t>81.88</t>
  </si>
  <si>
    <t>70:64</t>
  </si>
  <si>
    <t>18.80</t>
  </si>
  <si>
    <t>14.96</t>
  </si>
  <si>
    <t>82:80</t>
  </si>
  <si>
    <t>62:68</t>
  </si>
  <si>
    <t>81.02</t>
  </si>
  <si>
    <t>78:81</t>
  </si>
  <si>
    <t>86.31</t>
  </si>
  <si>
    <t>76:106</t>
  </si>
  <si>
    <t>18.31</t>
  </si>
  <si>
    <t>73:86</t>
  </si>
  <si>
    <t>83.23</t>
  </si>
  <si>
    <t>63:81</t>
  </si>
  <si>
    <t>47:84</t>
  </si>
  <si>
    <t>80.25</t>
  </si>
  <si>
    <t>53:89</t>
  </si>
  <si>
    <t>49:90</t>
  </si>
  <si>
    <t>83.10</t>
  </si>
  <si>
    <t>O2 extraliga - DOMA</t>
  </si>
  <si>
    <t>109:67</t>
  </si>
  <si>
    <t>79.46</t>
  </si>
  <si>
    <t>84.11</t>
  </si>
  <si>
    <t>87:65</t>
  </si>
  <si>
    <t>79.28</t>
  </si>
  <si>
    <t>83:67</t>
  </si>
  <si>
    <t>21.29</t>
  </si>
  <si>
    <t>86.01</t>
  </si>
  <si>
    <t>75:67</t>
  </si>
  <si>
    <t>15.73</t>
  </si>
  <si>
    <t>81.40</t>
  </si>
  <si>
    <t>70:61</t>
  </si>
  <si>
    <t>13.99</t>
  </si>
  <si>
    <t>84:67</t>
  </si>
  <si>
    <t>89.62</t>
  </si>
  <si>
    <t>68:65</t>
  </si>
  <si>
    <t>72:67</t>
  </si>
  <si>
    <t>13.89</t>
  </si>
  <si>
    <t>84.17</t>
  </si>
  <si>
    <t>80:83</t>
  </si>
  <si>
    <t>81.54</t>
  </si>
  <si>
    <t>76:87</t>
  </si>
  <si>
    <t>15.88</t>
  </si>
  <si>
    <t>81.38</t>
  </si>
  <si>
    <t>71:75</t>
  </si>
  <si>
    <t>19.33</t>
  </si>
  <si>
    <t>2009 - 2010</t>
  </si>
  <si>
    <t>176:150</t>
  </si>
  <si>
    <t>21.90</t>
  </si>
  <si>
    <t>HC Moeller Pardubice</t>
  </si>
  <si>
    <t>162:149</t>
  </si>
  <si>
    <t>82.09</t>
  </si>
  <si>
    <t>HC Litvínov</t>
  </si>
  <si>
    <t>159:146</t>
  </si>
  <si>
    <t>86.05</t>
  </si>
  <si>
    <t>147:137</t>
  </si>
  <si>
    <t>19.18</t>
  </si>
  <si>
    <t>84.51</t>
  </si>
  <si>
    <t>145:151</t>
  </si>
  <si>
    <t>150:142</t>
  </si>
  <si>
    <t>16.49</t>
  </si>
  <si>
    <t>HC Lasselsberger Plzeň</t>
  </si>
  <si>
    <t>160:157</t>
  </si>
  <si>
    <t>18.24</t>
  </si>
  <si>
    <t>85.48</t>
  </si>
  <si>
    <t>145:132</t>
  </si>
  <si>
    <t>159:161</t>
  </si>
  <si>
    <t>16.55</t>
  </si>
  <si>
    <t>82.13</t>
  </si>
  <si>
    <t>167:175</t>
  </si>
  <si>
    <t>19.87</t>
  </si>
  <si>
    <t>84.46</t>
  </si>
  <si>
    <t>137:146</t>
  </si>
  <si>
    <t>84.29</t>
  </si>
  <si>
    <t>HC Znojemští Orli</t>
  </si>
  <si>
    <t>126:144</t>
  </si>
  <si>
    <t>78.93</t>
  </si>
  <si>
    <t>132:160</t>
  </si>
  <si>
    <t>14.81</t>
  </si>
  <si>
    <t>83.14</t>
  </si>
  <si>
    <t>131:146</t>
  </si>
  <si>
    <t>79.57</t>
  </si>
  <si>
    <t>78:74</t>
  </si>
  <si>
    <t>82.07</t>
  </si>
  <si>
    <t>72:86</t>
  </si>
  <si>
    <t>83.13</t>
  </si>
  <si>
    <t>70:85</t>
  </si>
  <si>
    <t>20.61</t>
  </si>
  <si>
    <t>17.19</t>
  </si>
  <si>
    <t>80.69</t>
  </si>
  <si>
    <t>15.20</t>
  </si>
  <si>
    <t>86.13</t>
  </si>
  <si>
    <t>65:76</t>
  </si>
  <si>
    <t>78.92</t>
  </si>
  <si>
    <t>67:84</t>
  </si>
  <si>
    <t>13.68</t>
  </si>
  <si>
    <t>81.10</t>
  </si>
  <si>
    <t>66:83</t>
  </si>
  <si>
    <t>62:85</t>
  </si>
  <si>
    <t>81.33</t>
  </si>
  <si>
    <t>57:90</t>
  </si>
  <si>
    <t>81.76</t>
  </si>
  <si>
    <t>80:105</t>
  </si>
  <si>
    <t>79.76</t>
  </si>
  <si>
    <t>47:74</t>
  </si>
  <si>
    <t>78.57</t>
  </si>
  <si>
    <t>52:95</t>
  </si>
  <si>
    <t>95:65</t>
  </si>
  <si>
    <t>88:61</t>
  </si>
  <si>
    <t>19.48</t>
  </si>
  <si>
    <t>98:76</t>
  </si>
  <si>
    <t>23.88</t>
  </si>
  <si>
    <t>86:60</t>
  </si>
  <si>
    <t>22.16</t>
  </si>
  <si>
    <t>87:60</t>
  </si>
  <si>
    <t>89.36</t>
  </si>
  <si>
    <t>97:76</t>
  </si>
  <si>
    <t>20.37</t>
  </si>
  <si>
    <t>80:65</t>
  </si>
  <si>
    <t>17.22</t>
  </si>
  <si>
    <t>86.32</t>
  </si>
  <si>
    <t>15.29</t>
  </si>
  <si>
    <t>88.18</t>
  </si>
  <si>
    <t>90:72</t>
  </si>
  <si>
    <t>87:70</t>
  </si>
  <si>
    <t>17.98</t>
  </si>
  <si>
    <t>90.63</t>
  </si>
  <si>
    <t>79:70</t>
  </si>
  <si>
    <t>79.44</t>
  </si>
  <si>
    <t>71:63</t>
  </si>
  <si>
    <t>88.00</t>
  </si>
  <si>
    <t>65:66</t>
  </si>
  <si>
    <t>77.39</t>
  </si>
  <si>
    <t>2008 - 2009</t>
  </si>
  <si>
    <t>166:111</t>
  </si>
  <si>
    <t>17.67</t>
  </si>
  <si>
    <t>87.03</t>
  </si>
  <si>
    <t>181:130</t>
  </si>
  <si>
    <t>146:120</t>
  </si>
  <si>
    <t>87.38</t>
  </si>
  <si>
    <t>162:141</t>
  </si>
  <si>
    <t>81.60</t>
  </si>
  <si>
    <t>145:141</t>
  </si>
  <si>
    <t>16.72</t>
  </si>
  <si>
    <t>135:145</t>
  </si>
  <si>
    <t>16.61</t>
  </si>
  <si>
    <t>82.71</t>
  </si>
  <si>
    <t>144:146</t>
  </si>
  <si>
    <t>85.32</t>
  </si>
  <si>
    <t>151:144</t>
  </si>
  <si>
    <t>15.28</t>
  </si>
  <si>
    <t>82.75</t>
  </si>
  <si>
    <t>174:172</t>
  </si>
  <si>
    <t>17.63</t>
  </si>
  <si>
    <t>84.82</t>
  </si>
  <si>
    <t>133:139</t>
  </si>
  <si>
    <t>17.56</t>
  </si>
  <si>
    <t>83.77</t>
  </si>
  <si>
    <t>131:149</t>
  </si>
  <si>
    <t>84.26</t>
  </si>
  <si>
    <t>147:157</t>
  </si>
  <si>
    <t>18.32</t>
  </si>
  <si>
    <t>80.63</t>
  </si>
  <si>
    <t>135:166</t>
  </si>
  <si>
    <t>HC Slovan Ústí nad Labem</t>
  </si>
  <si>
    <t>107:196</t>
  </si>
  <si>
    <t>15.33</t>
  </si>
  <si>
    <t>76.49</t>
  </si>
  <si>
    <t>80:60</t>
  </si>
  <si>
    <t>83.71</t>
  </si>
  <si>
    <t>73:74</t>
  </si>
  <si>
    <t>82.42</t>
  </si>
  <si>
    <t>62:65</t>
  </si>
  <si>
    <t>86.63</t>
  </si>
  <si>
    <t>16.34</t>
  </si>
  <si>
    <t>78.85</t>
  </si>
  <si>
    <t>63:79</t>
  </si>
  <si>
    <t>79.88</t>
  </si>
  <si>
    <t>56:80</t>
  </si>
  <si>
    <t>71:90</t>
  </si>
  <si>
    <t>79.50</t>
  </si>
  <si>
    <t>66:90</t>
  </si>
  <si>
    <t>85.99</t>
  </si>
  <si>
    <t>77.46</t>
  </si>
  <si>
    <t>52:86</t>
  </si>
  <si>
    <t>79.14</t>
  </si>
  <si>
    <t>62:93</t>
  </si>
  <si>
    <t>78.24</t>
  </si>
  <si>
    <t>51:111</t>
  </si>
  <si>
    <t>16.90</t>
  </si>
  <si>
    <t>73.24</t>
  </si>
  <si>
    <t>91.30</t>
  </si>
  <si>
    <t>84.93</t>
  </si>
  <si>
    <t>90.30</t>
  </si>
  <si>
    <t>89.15</t>
  </si>
  <si>
    <t>89:60</t>
  </si>
  <si>
    <t>22.41</t>
  </si>
  <si>
    <t>21.20</t>
  </si>
  <si>
    <t>88.32</t>
  </si>
  <si>
    <t>108:82</t>
  </si>
  <si>
    <t>23.43</t>
  </si>
  <si>
    <t>89.44</t>
  </si>
  <si>
    <t>88:62</t>
  </si>
  <si>
    <t>21.39</t>
  </si>
  <si>
    <t>88:66</t>
  </si>
  <si>
    <t>85.94</t>
  </si>
  <si>
    <t>72:66</t>
  </si>
  <si>
    <t>73:73</t>
  </si>
  <si>
    <t>79.01</t>
  </si>
  <si>
    <t>56:85</t>
  </si>
  <si>
    <t>13.92</t>
  </si>
  <si>
    <t>81.43</t>
  </si>
  <si>
    <t>2007 - 2008</t>
  </si>
  <si>
    <t>161:112</t>
  </si>
  <si>
    <t>86.74</t>
  </si>
  <si>
    <t>177:131</t>
  </si>
  <si>
    <t>86.22</t>
  </si>
  <si>
    <t>160:144</t>
  </si>
  <si>
    <t>82.51</t>
  </si>
  <si>
    <t>178:157</t>
  </si>
  <si>
    <t>19.60</t>
  </si>
  <si>
    <t>80.75</t>
  </si>
  <si>
    <t>162:158</t>
  </si>
  <si>
    <t>171:162</t>
  </si>
  <si>
    <t>19.75</t>
  </si>
  <si>
    <t>80.71</t>
  </si>
  <si>
    <t>136:124</t>
  </si>
  <si>
    <t>HC Rabat Kladno</t>
  </si>
  <si>
    <t>189:173</t>
  </si>
  <si>
    <t>22.43</t>
  </si>
  <si>
    <t>82.62</t>
  </si>
  <si>
    <t>117:129</t>
  </si>
  <si>
    <t>145:162</t>
  </si>
  <si>
    <t>16.31</t>
  </si>
  <si>
    <t>82.82</t>
  </si>
  <si>
    <t>141:141</t>
  </si>
  <si>
    <t>84.39</t>
  </si>
  <si>
    <t>HC Chemopetrol</t>
  </si>
  <si>
    <t>157:165</t>
  </si>
  <si>
    <t>17.40</t>
  </si>
  <si>
    <t>80.52</t>
  </si>
  <si>
    <t>141:173</t>
  </si>
  <si>
    <t>81.22</t>
  </si>
  <si>
    <t>Vsetínská hokejová</t>
  </si>
  <si>
    <t>88:192</t>
  </si>
  <si>
    <t>82.73</t>
  </si>
  <si>
    <t>79:80</t>
  </si>
  <si>
    <t>17.90</t>
  </si>
  <si>
    <t>18.99</t>
  </si>
  <si>
    <t>82.56</t>
  </si>
  <si>
    <t>65:68</t>
  </si>
  <si>
    <t>13.13</t>
  </si>
  <si>
    <t>77:91</t>
  </si>
  <si>
    <t>83.59</t>
  </si>
  <si>
    <t>59:72</t>
  </si>
  <si>
    <t>15.65</t>
  </si>
  <si>
    <t>83.25</t>
  </si>
  <si>
    <t>76:90</t>
  </si>
  <si>
    <t>60:86</t>
  </si>
  <si>
    <t>13.82</t>
  </si>
  <si>
    <t>81.07</t>
  </si>
  <si>
    <t>80.11</t>
  </si>
  <si>
    <t>78:96</t>
  </si>
  <si>
    <t>43:82</t>
  </si>
  <si>
    <t>84.94</t>
  </si>
  <si>
    <t>68:91</t>
  </si>
  <si>
    <t>76.62</t>
  </si>
  <si>
    <t>59:86</t>
  </si>
  <si>
    <t>57:93</t>
  </si>
  <si>
    <t>18.92</t>
  </si>
  <si>
    <t>38:108</t>
  </si>
  <si>
    <t>90.24</t>
  </si>
  <si>
    <t>20.31</t>
  </si>
  <si>
    <t>88.59</t>
  </si>
  <si>
    <t>102:67</t>
  </si>
  <si>
    <t>20.97</t>
  </si>
  <si>
    <t>88.27</t>
  </si>
  <si>
    <t>111:77</t>
  </si>
  <si>
    <t>26.70</t>
  </si>
  <si>
    <t>85:67</t>
  </si>
  <si>
    <t>86.30</t>
  </si>
  <si>
    <t>87.02</t>
  </si>
  <si>
    <t>14.93</t>
  </si>
  <si>
    <t>84.14</t>
  </si>
  <si>
    <t>85:76</t>
  </si>
  <si>
    <t>18.44</t>
  </si>
  <si>
    <t>85.23</t>
  </si>
  <si>
    <t>96:81</t>
  </si>
  <si>
    <t>20.48</t>
  </si>
  <si>
    <t>78.17</t>
  </si>
  <si>
    <t>84:80</t>
  </si>
  <si>
    <t>82.78</t>
  </si>
  <si>
    <t>50:84</t>
  </si>
  <si>
    <t>80.50</t>
  </si>
  <si>
    <t>2006 - 2007</t>
  </si>
  <si>
    <t>R</t>
  </si>
  <si>
    <t>152:94</t>
  </si>
  <si>
    <t>18.21</t>
  </si>
  <si>
    <t>87.72</t>
  </si>
  <si>
    <t>164:111</t>
  </si>
  <si>
    <t>17.44</t>
  </si>
  <si>
    <t>89.00</t>
  </si>
  <si>
    <t>122:103</t>
  </si>
  <si>
    <t>13.24</t>
  </si>
  <si>
    <t>90.20</t>
  </si>
  <si>
    <t>152:128</t>
  </si>
  <si>
    <t>16.37</t>
  </si>
  <si>
    <t>85.25</t>
  </si>
  <si>
    <t>117:110</t>
  </si>
  <si>
    <t>155:135</t>
  </si>
  <si>
    <t>14.49</t>
  </si>
  <si>
    <t>87.93</t>
  </si>
  <si>
    <t>135:142</t>
  </si>
  <si>
    <t>17.30</t>
  </si>
  <si>
    <t>82.92</t>
  </si>
  <si>
    <t>HC České Budějovice</t>
  </si>
  <si>
    <t>115:118</t>
  </si>
  <si>
    <t>14.33</t>
  </si>
  <si>
    <t>88.43</t>
  </si>
  <si>
    <t>130:134</t>
  </si>
  <si>
    <t>14.42</t>
  </si>
  <si>
    <t>120:128</t>
  </si>
  <si>
    <t>130:136</t>
  </si>
  <si>
    <t>113:140</t>
  </si>
  <si>
    <t>86.53</t>
  </si>
  <si>
    <t>114:168</t>
  </si>
  <si>
    <t>81.53</t>
  </si>
  <si>
    <t>80:152</t>
  </si>
  <si>
    <t>87.25</t>
  </si>
  <si>
    <t>52:62</t>
  </si>
  <si>
    <t>87.01</t>
  </si>
  <si>
    <t>54:61</t>
  </si>
  <si>
    <t>83.21</t>
  </si>
  <si>
    <t>15.75</t>
  </si>
  <si>
    <t>86.77</t>
  </si>
  <si>
    <t>16.26</t>
  </si>
  <si>
    <t>80.39</t>
  </si>
  <si>
    <t>65:78</t>
  </si>
  <si>
    <t>47:64</t>
  </si>
  <si>
    <t>89.09</t>
  </si>
  <si>
    <t>55:71</t>
  </si>
  <si>
    <t>84.35</t>
  </si>
  <si>
    <t>56:82</t>
  </si>
  <si>
    <t>53:78</t>
  </si>
  <si>
    <t>16.54</t>
  </si>
  <si>
    <t>41:72</t>
  </si>
  <si>
    <t>86.75</t>
  </si>
  <si>
    <t>49:108</t>
  </si>
  <si>
    <t>76.36</t>
  </si>
  <si>
    <t>30:78</t>
  </si>
  <si>
    <t>88.97</t>
  </si>
  <si>
    <t>90.73</t>
  </si>
  <si>
    <t>91.60</t>
  </si>
  <si>
    <t>82:64</t>
  </si>
  <si>
    <t>85.37</t>
  </si>
  <si>
    <t>16.46</t>
  </si>
  <si>
    <t>91.20</t>
  </si>
  <si>
    <t>15.58</t>
  </si>
  <si>
    <t>86.15</t>
  </si>
  <si>
    <t>18.42</t>
  </si>
  <si>
    <t>91.43</t>
  </si>
  <si>
    <t>72:68</t>
  </si>
  <si>
    <t>14.84</t>
  </si>
  <si>
    <t>88.52</t>
  </si>
  <si>
    <t>78:72</t>
  </si>
  <si>
    <t>83.05</t>
  </si>
  <si>
    <t>50:74</t>
  </si>
  <si>
    <t>2005 - 2006</t>
  </si>
  <si>
    <t>145:102</t>
  </si>
  <si>
    <t>89.56</t>
  </si>
  <si>
    <t>164:106</t>
  </si>
  <si>
    <t>19.49</t>
  </si>
  <si>
    <t>185:130</t>
  </si>
  <si>
    <t>22.66</t>
  </si>
  <si>
    <t>81.90</t>
  </si>
  <si>
    <t>164:127</t>
  </si>
  <si>
    <t>18.78</t>
  </si>
  <si>
    <t>149:121</t>
  </si>
  <si>
    <t>146:136</t>
  </si>
  <si>
    <t>83.26</t>
  </si>
  <si>
    <t>136:126</t>
  </si>
  <si>
    <t>86.55</t>
  </si>
  <si>
    <t>146:140</t>
  </si>
  <si>
    <t>90.04</t>
  </si>
  <si>
    <t>134:139</t>
  </si>
  <si>
    <t>83.07</t>
  </si>
  <si>
    <t>17.55</t>
  </si>
  <si>
    <t>137:163</t>
  </si>
  <si>
    <t>83.58</t>
  </si>
  <si>
    <t>118:166</t>
  </si>
  <si>
    <t>13.93</t>
  </si>
  <si>
    <t>102:163</t>
  </si>
  <si>
    <t>82.35</t>
  </si>
  <si>
    <t>90:195</t>
  </si>
  <si>
    <t>83.66</t>
  </si>
  <si>
    <t>91.84</t>
  </si>
  <si>
    <t>21.93</t>
  </si>
  <si>
    <t>91.91</t>
  </si>
  <si>
    <t>16.85</t>
  </si>
  <si>
    <t>89:74</t>
  </si>
  <si>
    <t>76:82</t>
  </si>
  <si>
    <t>21.28</t>
  </si>
  <si>
    <t>78.23</t>
  </si>
  <si>
    <t>70:78</t>
  </si>
  <si>
    <t>14.74</t>
  </si>
  <si>
    <t>88.55</t>
  </si>
  <si>
    <t>63:75</t>
  </si>
  <si>
    <t>81.46</t>
  </si>
  <si>
    <t>69:71</t>
  </si>
  <si>
    <t>80.14</t>
  </si>
  <si>
    <t>54:75</t>
  </si>
  <si>
    <t>82.84</t>
  </si>
  <si>
    <t>82.05</t>
  </si>
  <si>
    <t>58:77</t>
  </si>
  <si>
    <t>43:92</t>
  </si>
  <si>
    <t>80.34</t>
  </si>
  <si>
    <t>43:86</t>
  </si>
  <si>
    <t>83.78</t>
  </si>
  <si>
    <t>42:107</t>
  </si>
  <si>
    <t>83.92</t>
  </si>
  <si>
    <t>25.68</t>
  </si>
  <si>
    <t>79.79</t>
  </si>
  <si>
    <t>86.27</t>
  </si>
  <si>
    <t>91.35</t>
  </si>
  <si>
    <t>18.71</t>
  </si>
  <si>
    <t>87.63</t>
  </si>
  <si>
    <t>71:64</t>
  </si>
  <si>
    <t>76:62</t>
  </si>
  <si>
    <t>13.53</t>
  </si>
  <si>
    <t>92.00</t>
  </si>
  <si>
    <t>78:78</t>
  </si>
  <si>
    <t>81.31</t>
  </si>
  <si>
    <t>59:71</t>
  </si>
  <si>
    <t>48:88</t>
  </si>
  <si>
    <t>2004 - 2005</t>
  </si>
  <si>
    <t>176:107</t>
  </si>
  <si>
    <t>19.62</t>
  </si>
  <si>
    <t>89.45</t>
  </si>
  <si>
    <t>153:119</t>
  </si>
  <si>
    <t>22.50</t>
  </si>
  <si>
    <t>86.42</t>
  </si>
  <si>
    <t>150:116</t>
  </si>
  <si>
    <t>86.02</t>
  </si>
  <si>
    <t>148:138</t>
  </si>
  <si>
    <t>18.58</t>
  </si>
  <si>
    <t>152:127</t>
  </si>
  <si>
    <t>18.14</t>
  </si>
  <si>
    <t>154:134</t>
  </si>
  <si>
    <t>15.61</t>
  </si>
  <si>
    <t>152:157</t>
  </si>
  <si>
    <t>77.82</t>
  </si>
  <si>
    <t>138:140</t>
  </si>
  <si>
    <t>111:151</t>
  </si>
  <si>
    <t>15.22</t>
  </si>
  <si>
    <t>81.32</t>
  </si>
  <si>
    <t>129:154</t>
  </si>
  <si>
    <t>123:146</t>
  </si>
  <si>
    <t>14.94</t>
  </si>
  <si>
    <t>114:143</t>
  </si>
  <si>
    <t>81.28</t>
  </si>
  <si>
    <t>113:126</t>
  </si>
  <si>
    <t>84.65</t>
  </si>
  <si>
    <t>105:160</t>
  </si>
  <si>
    <t>13.16</t>
  </si>
  <si>
    <t>76:60</t>
  </si>
  <si>
    <t>20.54</t>
  </si>
  <si>
    <t>88.41</t>
  </si>
  <si>
    <t>63:62</t>
  </si>
  <si>
    <t>86.72</t>
  </si>
  <si>
    <t>69:79</t>
  </si>
  <si>
    <t>60:83</t>
  </si>
  <si>
    <t>20.19</t>
  </si>
  <si>
    <t>56:67</t>
  </si>
  <si>
    <t>15.24</t>
  </si>
  <si>
    <t>81.30</t>
  </si>
  <si>
    <t>57:74</t>
  </si>
  <si>
    <t>8.00</t>
  </si>
  <si>
    <t>80.88</t>
  </si>
  <si>
    <t>71:95</t>
  </si>
  <si>
    <t>16.96</t>
  </si>
  <si>
    <t>73.20</t>
  </si>
  <si>
    <t>54:86</t>
  </si>
  <si>
    <t>13.91</t>
  </si>
  <si>
    <t>77.70</t>
  </si>
  <si>
    <t>49:78</t>
  </si>
  <si>
    <t>50:86</t>
  </si>
  <si>
    <t>84.06</t>
  </si>
  <si>
    <t>50:71</t>
  </si>
  <si>
    <t>19.80</t>
  </si>
  <si>
    <t>43:95</t>
  </si>
  <si>
    <t>79.62</t>
  </si>
  <si>
    <t>51:90</t>
  </si>
  <si>
    <t>76.07</t>
  </si>
  <si>
    <t>47:96</t>
  </si>
  <si>
    <t>80.87</t>
  </si>
  <si>
    <t>24.26</t>
  </si>
  <si>
    <t>91.36</t>
  </si>
  <si>
    <t>96:60</t>
  </si>
  <si>
    <t>22.30</t>
  </si>
  <si>
    <t>97:60</t>
  </si>
  <si>
    <t>83.51</t>
  </si>
  <si>
    <t>85.26</t>
  </si>
  <si>
    <t>18.98</t>
  </si>
  <si>
    <t>89:62</t>
  </si>
  <si>
    <t>17.42</t>
  </si>
  <si>
    <t>79:68</t>
  </si>
  <si>
    <t>20.90</t>
  </si>
  <si>
    <t>82.64</t>
  </si>
  <si>
    <t>88.37</t>
  </si>
  <si>
    <t>81.65</t>
  </si>
  <si>
    <t>16.23</t>
  </si>
  <si>
    <t>58:64</t>
  </si>
  <si>
    <t>14.60</t>
  </si>
  <si>
    <t>88.99</t>
  </si>
  <si>
    <t>2003 - 2004</t>
  </si>
  <si>
    <t>Extraliga</t>
  </si>
  <si>
    <t>170:112</t>
  </si>
  <si>
    <t>84.52</t>
  </si>
  <si>
    <t>150:93</t>
  </si>
  <si>
    <t>17.41</t>
  </si>
  <si>
    <t>147:117</t>
  </si>
  <si>
    <t>187:147</t>
  </si>
  <si>
    <t>154:127</t>
  </si>
  <si>
    <t>21.18</t>
  </si>
  <si>
    <t>82.11</t>
  </si>
  <si>
    <t>149:140</t>
  </si>
  <si>
    <t>17.26</t>
  </si>
  <si>
    <t>165:153</t>
  </si>
  <si>
    <t>84.72</t>
  </si>
  <si>
    <t>154:139</t>
  </si>
  <si>
    <t>13.66</t>
  </si>
  <si>
    <t>HC Keramika Plzeň</t>
  </si>
  <si>
    <t>137:150</t>
  </si>
  <si>
    <t>15.47</t>
  </si>
  <si>
    <t>133:149</t>
  </si>
  <si>
    <t>13.00</t>
  </si>
  <si>
    <t>126:135</t>
  </si>
  <si>
    <t>19.64</t>
  </si>
  <si>
    <t>136:162</t>
  </si>
  <si>
    <t>134:160</t>
  </si>
  <si>
    <t>Havířovská hokejová společnost</t>
  </si>
  <si>
    <t>81:239</t>
  </si>
  <si>
    <t>Extraliga - VENKU</t>
  </si>
  <si>
    <t>90.48</t>
  </si>
  <si>
    <t>79:72</t>
  </si>
  <si>
    <t>15.79</t>
  </si>
  <si>
    <t>59:67</t>
  </si>
  <si>
    <t>73:92</t>
  </si>
  <si>
    <t>82.96</t>
  </si>
  <si>
    <t>67:75</t>
  </si>
  <si>
    <t>21.69</t>
  </si>
  <si>
    <t>81.51</t>
  </si>
  <si>
    <t>65:84</t>
  </si>
  <si>
    <t>57:83</t>
  </si>
  <si>
    <t>25.27</t>
  </si>
  <si>
    <t>56:89</t>
  </si>
  <si>
    <t>77.71</t>
  </si>
  <si>
    <t>57:97</t>
  </si>
  <si>
    <t>79.10</t>
  </si>
  <si>
    <t>43:91</t>
  </si>
  <si>
    <t>38:135</t>
  </si>
  <si>
    <t>77.27</t>
  </si>
  <si>
    <t>Extraliga - DOMA</t>
  </si>
  <si>
    <t>86.09</t>
  </si>
  <si>
    <t>125:68</t>
  </si>
  <si>
    <t>86.17</t>
  </si>
  <si>
    <t>20.83</t>
  </si>
  <si>
    <t>90:61</t>
  </si>
  <si>
    <t>77:60</t>
  </si>
  <si>
    <t>92:61</t>
  </si>
  <si>
    <t>23.60</t>
  </si>
  <si>
    <t>89.22</t>
  </si>
  <si>
    <t>90:73</t>
  </si>
  <si>
    <t>82.02</t>
  </si>
  <si>
    <t>91:69</t>
  </si>
  <si>
    <t>23.94</t>
  </si>
  <si>
    <t>88.66</t>
  </si>
  <si>
    <t>73.96</t>
  </si>
  <si>
    <t>43:104</t>
  </si>
  <si>
    <t>77.57</t>
  </si>
  <si>
    <t>2002 - 2003</t>
  </si>
  <si>
    <t>196:132</t>
  </si>
  <si>
    <t>100.00</t>
  </si>
  <si>
    <t>189:154</t>
  </si>
  <si>
    <t>151:134</t>
  </si>
  <si>
    <t>155:146</t>
  </si>
  <si>
    <t>158:132</t>
  </si>
  <si>
    <t>152:125</t>
  </si>
  <si>
    <t>153:140</t>
  </si>
  <si>
    <t>155:165</t>
  </si>
  <si>
    <t>142:162</t>
  </si>
  <si>
    <t>127:155</t>
  </si>
  <si>
    <t>161:189</t>
  </si>
  <si>
    <t>133:155</t>
  </si>
  <si>
    <t>120:164</t>
  </si>
  <si>
    <t>123:162</t>
  </si>
  <si>
    <t>95:70</t>
  </si>
  <si>
    <t>77:68</t>
  </si>
  <si>
    <t>90:82</t>
  </si>
  <si>
    <t>77:88</t>
  </si>
  <si>
    <t>74:81</t>
  </si>
  <si>
    <t>68:81</t>
  </si>
  <si>
    <t>51:81</t>
  </si>
  <si>
    <t>76:104</t>
  </si>
  <si>
    <t>57:85</t>
  </si>
  <si>
    <t>58:89</t>
  </si>
  <si>
    <t>48:90</t>
  </si>
  <si>
    <t>51:94</t>
  </si>
  <si>
    <t>101:62</t>
  </si>
  <si>
    <t>99:72</t>
  </si>
  <si>
    <t>84:73</t>
  </si>
  <si>
    <t>81:65</t>
  </si>
  <si>
    <t>76:70</t>
  </si>
  <si>
    <t>78:77</t>
  </si>
  <si>
    <t>85:85</t>
  </si>
  <si>
    <t>76:74</t>
  </si>
  <si>
    <t>2001 - 2002</t>
  </si>
  <si>
    <t>149:115</t>
  </si>
  <si>
    <t>151:139</t>
  </si>
  <si>
    <t>156:135</t>
  </si>
  <si>
    <t>141:130</t>
  </si>
  <si>
    <t>146:139</t>
  </si>
  <si>
    <t>132:126</t>
  </si>
  <si>
    <t>143:131</t>
  </si>
  <si>
    <t>164:163</t>
  </si>
  <si>
    <t>150:144</t>
  </si>
  <si>
    <t>156:154</t>
  </si>
  <si>
    <t>127:176</t>
  </si>
  <si>
    <t>141:180</t>
  </si>
  <si>
    <t>117:158</t>
  </si>
  <si>
    <t>64:64</t>
  </si>
  <si>
    <t>69:67</t>
  </si>
  <si>
    <t>62:78</t>
  </si>
  <si>
    <t>66:76</t>
  </si>
  <si>
    <t>58:74</t>
  </si>
  <si>
    <t>71:80</t>
  </si>
  <si>
    <t>72:84</t>
  </si>
  <si>
    <t>56:73</t>
  </si>
  <si>
    <t>50:76</t>
  </si>
  <si>
    <t>57:101</t>
  </si>
  <si>
    <t>52:76</t>
  </si>
  <si>
    <t>64:104</t>
  </si>
  <si>
    <t>69:119</t>
  </si>
  <si>
    <t>49:93</t>
  </si>
  <si>
    <t>98:68</t>
  </si>
  <si>
    <t>95:61</t>
  </si>
  <si>
    <t>72:61</t>
  </si>
  <si>
    <t>82:72</t>
  </si>
  <si>
    <t>84:70</t>
  </si>
  <si>
    <t>70:75</t>
  </si>
  <si>
    <t>2000 - 2001</t>
  </si>
  <si>
    <t>193:112</t>
  </si>
  <si>
    <t>166:116</t>
  </si>
  <si>
    <t>160:140</t>
  </si>
  <si>
    <t>192:154</t>
  </si>
  <si>
    <t>0.92</t>
  </si>
  <si>
    <t>151:113</t>
  </si>
  <si>
    <t>163:152</t>
  </si>
  <si>
    <t>151:140</t>
  </si>
  <si>
    <t>153:173</t>
  </si>
  <si>
    <t>140:169</t>
  </si>
  <si>
    <t>99.07</t>
  </si>
  <si>
    <t>100:138</t>
  </si>
  <si>
    <t>153:185</t>
  </si>
  <si>
    <t>121:164</t>
  </si>
  <si>
    <t>130:173</t>
  </si>
  <si>
    <t>117:161</t>
  </si>
  <si>
    <t>91:71</t>
  </si>
  <si>
    <t>54:64</t>
  </si>
  <si>
    <t>66:73</t>
  </si>
  <si>
    <t>53:85</t>
  </si>
  <si>
    <t>78:98</t>
  </si>
  <si>
    <t>61:92</t>
  </si>
  <si>
    <t>63:97</t>
  </si>
  <si>
    <t>51:79</t>
  </si>
  <si>
    <t>59:90</t>
  </si>
  <si>
    <t>56:94</t>
  </si>
  <si>
    <t>56:100</t>
  </si>
  <si>
    <t>102:60</t>
  </si>
  <si>
    <t>93:79</t>
  </si>
  <si>
    <t>65:64</t>
  </si>
  <si>
    <t>90:88</t>
  </si>
  <si>
    <t>71:83</t>
  </si>
  <si>
    <t>97.96</t>
  </si>
  <si>
    <t>61:67</t>
  </si>
  <si>
    <t>1999  - 2000</t>
  </si>
  <si>
    <t>184:92</t>
  </si>
  <si>
    <t>16.76</t>
  </si>
  <si>
    <t>91.76</t>
  </si>
  <si>
    <t>180:138</t>
  </si>
  <si>
    <t>81.96</t>
  </si>
  <si>
    <t>174:140</t>
  </si>
  <si>
    <t>17.89</t>
  </si>
  <si>
    <t>186:123</t>
  </si>
  <si>
    <t>30.85</t>
  </si>
  <si>
    <t>173:129</t>
  </si>
  <si>
    <t>82.16</t>
  </si>
  <si>
    <t>148:136</t>
  </si>
  <si>
    <t>84.71</t>
  </si>
  <si>
    <t>87.26</t>
  </si>
  <si>
    <t>147:140</t>
  </si>
  <si>
    <t>21.15</t>
  </si>
  <si>
    <t>81.36</t>
  </si>
  <si>
    <t>152:166</t>
  </si>
  <si>
    <t>15.85</t>
  </si>
  <si>
    <t>130:181</t>
  </si>
  <si>
    <t>16.59</t>
  </si>
  <si>
    <t>80.28</t>
  </si>
  <si>
    <t>HC Slezan Opava</t>
  </si>
  <si>
    <t>97:158</t>
  </si>
  <si>
    <t>79.19</t>
  </si>
  <si>
    <t>119:175</t>
  </si>
  <si>
    <t>83.41</t>
  </si>
  <si>
    <t>88:188</t>
  </si>
  <si>
    <t>79.32</t>
  </si>
  <si>
    <t>90.65</t>
  </si>
  <si>
    <t>72:62</t>
  </si>
  <si>
    <t>37.14</t>
  </si>
  <si>
    <t>88:72</t>
  </si>
  <si>
    <t>82.17</t>
  </si>
  <si>
    <t>19.63</t>
  </si>
  <si>
    <t>68:84</t>
  </si>
  <si>
    <t>21.70</t>
  </si>
  <si>
    <t>55:70</t>
  </si>
  <si>
    <t>42:84</t>
  </si>
  <si>
    <t>60:105</t>
  </si>
  <si>
    <t>57:88</t>
  </si>
  <si>
    <t>55:98</t>
  </si>
  <si>
    <t>36:106</t>
  </si>
  <si>
    <t>80.74</t>
  </si>
  <si>
    <t>27.97</t>
  </si>
  <si>
    <t>83.54</t>
  </si>
  <si>
    <t>93.33</t>
  </si>
  <si>
    <t>106:65</t>
  </si>
  <si>
    <t>18.88</t>
  </si>
  <si>
    <t>114:61</t>
  </si>
  <si>
    <t>80.49</t>
  </si>
  <si>
    <t>17.69</t>
  </si>
  <si>
    <t>88.76</t>
  </si>
  <si>
    <t>88.35</t>
  </si>
  <si>
    <t>88.17</t>
  </si>
  <si>
    <t>20.66</t>
  </si>
  <si>
    <t>78.65</t>
  </si>
  <si>
    <t>95:76</t>
  </si>
  <si>
    <t>19.39</t>
  </si>
  <si>
    <t>78.41</t>
  </si>
  <si>
    <t>70:76</t>
  </si>
  <si>
    <t>55:74</t>
  </si>
  <si>
    <t>52:82</t>
  </si>
  <si>
    <t>77.45</t>
  </si>
  <si>
    <t>dvoubodový systém</t>
  </si>
  <si>
    <t>1998  - 1999</t>
  </si>
  <si>
    <t>základní část</t>
  </si>
  <si>
    <t>2013 - 2012</t>
  </si>
  <si>
    <t>Umístění</t>
  </si>
  <si>
    <t>Průměr</t>
  </si>
  <si>
    <t>Landshut</t>
  </si>
  <si>
    <t>Výsledek pro MOST</t>
  </si>
  <si>
    <t>Zápas</t>
  </si>
  <si>
    <t>KLM-UK</t>
  </si>
  <si>
    <t>MOSTEČTÍ LVI – HC Roudnice nad Labem</t>
  </si>
  <si>
    <t>Soupiska Mostu</t>
  </si>
  <si>
    <t>Uher – Havlůj, Machač, Jonák, Plichta, Balázs, Kunrt, Kabeláč – T. Přeučil, Čmolík, Nedrda – Dalecký, Kousek, Šafařík – Smolík, Bořík, Kalina – Holčák. Trenér: Kašťák.</t>
  </si>
  <si>
    <t xml:space="preserve">4. Nedrda (Přeučil), 9. Přeučil (Havlůj, Nedrda), 10. Dalecký (Kousek, Šafařík), 13. Kousek (Šafařík), 14. Kalina (Smolík, Bořík), 37. Bořík (Holčák), 38. Havlůj (Nedrda, Přeučil), 42. Kousek (Dalecký), 58. Jonák (Dalecký), 60. Machač (Nedrda, Čmolík) </t>
  </si>
  <si>
    <t>5. Kousek (Šafařík), 14. Plichta (V., Kunrt), 24. Kousek (Plichta, V.), 31. Kousek (Havlůj), 33. Kousek (Čmolík, Plichta), 36. Nedrda (Čmolík), 41. Přeučil (V.), 46. Kalina (Šafařík), 49. Kousek (Dalecký), 52. Čmolík (V., Dalecký), 59. Havlůj (Šafařík)</t>
  </si>
  <si>
    <t>HC Klášterec nad Ohří – MOSTEČTÍ LVI</t>
  </si>
  <si>
    <t>Uher (Kopýtko) – Kabeláč, Balázs, Kunrt, Havlůj, Plichta, Přeučil, Dalecký, Kousek, Šafařík, Bořík, Smolík, Nedrda V., Kalina, Čmolík, Nedrda T. Trenér: Kašťák.</t>
  </si>
  <si>
    <t>MOSTEČTÍ LVI – HC Lovosice</t>
  </si>
  <si>
    <t>7. Bořík, 10. Čmolík (T. Přeučil, Balász), 12. Šafařík (Kousek), 18. T. Přeučil, 20. Bořík (Balász), 25. T. Přeučil (Čmolík, Havlůj), 26. Dalecký (Šafařík, Kousek), 35. Šafařík (Kousek), 41. V. Nedrda (T. Přeučil, Kabeláč), 53. Šafařík (Kousek), 57. Dalecký (Šafařík), 59. Čmolík (V. Nedrda, T. Přeučil)</t>
  </si>
  <si>
    <t>Kopýtko (Kovařík) – Kabeláč, Jonák, Balázs, Havlůj, Plichta, Přeučil T., Dalecký, Kousek, Šafařík, Bořík, Smolík, Nedrda V., Holčák, Kalina, Čmolík, Nedrda T. Trenér: Kašťák.</t>
  </si>
  <si>
    <t>Stadion Litoměřice B – MOSTEČTÍ LVI</t>
  </si>
  <si>
    <t>Uher (Kopýtko) – Kabeláč, Machač, Jonák. Balázs, Kunrt, Havlůj, Plichta – Přeučil, Dalecký, Kousek, Šafařík, Bořík, Smolík, Rameš, Nedrda V., Kalina, Čmolík, Nedrda T. Trenér: Kašťák.</t>
  </si>
  <si>
    <t>18. Čmolík (Přeučil), 28. Havlůj (Nedrda, Přeučil), 59. Kousek (Přeučil, Čmolík)</t>
  </si>
  <si>
    <t xml:space="preserve">4. Přeučil (Čmolík, V. Nedrda), 6. Kousek, 10. Čmolík (V. Nedrda, Kabeláč), 12. V. Nedrda (Čmolík, Kabeláč), 13. Šafařík (Plichta), 24. Čmolík (Přeučil), 28. Kousek (Kunrt), 32. Smolík (Jonák) </t>
  </si>
  <si>
    <t>MOSTEČTÍ LVI – HC Slovan Louny</t>
  </si>
  <si>
    <t>Kovařík – Havlůj, Kabeláč, Plichta, Kunrt, Balász, Jonák – Přeučil, Čmolík, V. Nedrda – Dalecký, Kousek, Šafařík – Rameš, Bořík, T. Nedrda – Smolík. Trenér: Kašťák.</t>
  </si>
  <si>
    <t>SK Kadaň B – MOSTEČTÍ LVI</t>
  </si>
  <si>
    <t>Kopýtko (Kovařík) – Kabeláč, Jonák, Balázs, Kunrt, Havlůj, Plichta, Přeučil T., Kousek, Šafařík, Bořík, Smolík, Rameš, Nedrda V., Komínek, Čmolík, Nedrda T. Trenér: Kašťák.</t>
  </si>
  <si>
    <t>5. Bořík, 10. Komínek (Šafařík), 17. Smolík (Nedrda T.), 18. Smolík (Rameš), 23. Kunrt (Šafařík), 30. Čmolík (Havlůj, Přeučil T.), 37. Kousek (Šafařík), 40. Šafařík (Plichta), 48. Čmolík (Havlůj), 57. Nedrda V. (Čmolík), 57. Kousek (Komínek)</t>
  </si>
  <si>
    <t>HC Roudnice nad Labem – MOSTEČTÍ LVI</t>
  </si>
  <si>
    <t>Kovařík (Uher) – Jonák, Balázs, Havlůj, Kunrt, Plichta, Rameš, Přeučil T., Čmolík, Nedrda V., Komínek, Kousek, Šafařík, Nedrda T., Bořík, Smolík, Kalina, Holčák. Trenér: Kašťák.</t>
  </si>
  <si>
    <t>3. Čmolík (Přeučil T.), 6. Nedrda V. (Čmolík), 9. Jonák (Kousek, Šafařík), 48. Komínek (Havlůj, Šafařík), 55. Kousek (Komínek), 59. Šafařík (Kousek)</t>
  </si>
  <si>
    <t>MOSTEČTÍ LVI – HC Klášterec nad Ohří</t>
  </si>
  <si>
    <t xml:space="preserve">15. J. Čmolík (Přeučil), 16. Přeučil (V. Nedrda, J. Čmolík), 22. Rameš, 28. J. Čmolík, 39. J. Čmolík (Přeučil, V. Nedrda), 40. J. Čmolík (V. Nedrda), 45. Přeučil (Havlůj, J. Čmolík), 58. Rameš (Šafařík), 60. Přeučil (Havlůj, V. Nedrda) </t>
  </si>
  <si>
    <t>Uher – Havlůj, Kunrt, Plichta, Kabeláč, M. Čmolík, Jonák – T. Přeučil, J. Čmolík, V. Nedrda – Bořík, Kousek, Šafařík – T. Nedrda, Rameš, Smolík – Pergl. Trenér: Kašťák.</t>
  </si>
  <si>
    <t>9. Nedrda T. (Bořík, Čmolík M.), 19. Kabeláč (Kousek, Šafařík), 20. Čmolík J. (17, Nedrda V.), 31. Přeučil T. (Nedrda V., Kunrt), 52. Nedrda V. (Kousek, Přeučil T.), 52. Čmolík J. (Havlůj, Přeučil T.), 54. Přeučil T. (Čmolík J.), 54. Nedrda V. (Přeučil T.), 59. Nedrda V. (Čmolík J.)</t>
  </si>
  <si>
    <t>Tlach Tomáš (2000), Kovařík Jakub (1998) – Kabeláč Petr (1991), Jonák Michal (1996), Balázs Martin (1998), Kunrt Martin (1987), Havlůj Aleš C (1982), Plichta Jan (1994), Čmolík Marek (1996) – Komínek Jakub (1997), Přeučil Tomáš A (1989), Dalecký Roman (1985), Kousek Michal (1985), Šafařík Marek (1988), Bořík Milan (1998), Smolík Martin (1991), Rameš Ladislav (1997), Nedrda Vítězslav A (1987), Čmolík Jakub (1993), Nedrda Tomáš (1996). Trenér: Kašťák Kamil.</t>
  </si>
  <si>
    <t>HC Lovosice – MOSTEČTÍ LVI</t>
  </si>
  <si>
    <t>0:1, 1:1, 1:3, 4:3, 4:5, 9:5</t>
  </si>
  <si>
    <t>28. Přeučil (Havlůj, Kunrt), 30. Nedrda (Čmolík), 41. Čmolík (Kunrt, Havlůj), 51. Čmolík (Kunrt, Nedrda), 58. Kousek (Plichta)</t>
  </si>
  <si>
    <t>MOSTEČTÍ LVI – Stadion Litoměřice B</t>
  </si>
  <si>
    <t>Uher, Kopýtko – Kabeláč, Machač, Jonák, Kunrt, Havlůj, Plichta – Přeučil T., Dalecký, Kousek, Šafařík, Bořík, Kalina, Smolík, Nedrda V., Komínek, Čmolík</t>
  </si>
  <si>
    <t>HC Slovan Louny – MOSTEČTÍ LVI</t>
  </si>
  <si>
    <t>7. Nedrda V. (Komínek), 8. Bořík, 48. Přeučil T., 51. Plichta (Přeučil T.), 60. Přeučil T.</t>
  </si>
  <si>
    <t>Uher, Kovařík – Kabeláč, Jonák, Balázs, Havlůj, Plichta, Čmolík M. – Přeučil T., Šafařík, Bořík, Kalina, Smolík, Rameš, Nedrda V., Komínek, Čmolík, Nedrda T. Trenér: Kašťák.</t>
  </si>
  <si>
    <t>Založení klubu léto 2017, sezóna 2017/2018 - krajský přebor</t>
  </si>
  <si>
    <t>Góly Mostu</t>
  </si>
  <si>
    <t>R. Jarůšek</t>
  </si>
  <si>
    <t xml:space="preserve">10. V. Nedrda (Přeučil), 15. Balász, 15. V. Nedrda (Havlůj), 28. Kalina (Jonák), 31. J. Čmolík (Havlůj, Kunrt), 35. Kunrt (Přeučil), 38. Přeučil (Kunrt, Havlůj), 39. Přeučil (Havlůj), 52. Kalina (T. Nedrda), 52. Přeučil (V. Nedrda), 56. J. Čmolík, 57. Přeučil (Kunrt), 60. V. Nedrda (Kunrt) </t>
  </si>
  <si>
    <t>Kovařík – Havlůj, Kunrt, Plichta, Kabeláč, M. Čmolík, Jonák, Balász – Přeučil, J. Čmolík, V. Nedrda – Rameš, Bořík, Šafařík – T. Nedrda, Smolík, Kalina. Trenér: Kašťák.</t>
  </si>
  <si>
    <t>MOSTEČTÍ LVI – SK Kadaň B</t>
  </si>
  <si>
    <t>Kopýtko (Uher) – Balázs, Kurt, Havlůj, Plichta, Žižka – Přeučil T. Kousek, Šafařík, Bořík, Kalina, Přeučil P., Rameš, Nedrda V., Komínek, Čmolík J., Nedrda T. Trenér: Kašťák.</t>
  </si>
  <si>
    <t>2. Šafařík (Kousek), 29. V. Nedrda (Havlůj), 33. T. Přeučil (Havlůj, P. Přeučil), 45. Šafařík (Kousek), 55. V. Nedrda (Havlůj, P. Přeučil), 58. V. Nedrda (T. Přeučil)</t>
  </si>
  <si>
    <t>1:0, 1:1, 3:1, 3:2, 4:2, 4:3, 6:3</t>
  </si>
  <si>
    <t>4. V. Nedrda (J. Čmolík, Přeučil), 16. Přeučil (Havlůj, Kunrt), 21. Přeučil (V. Nedrda, Havlůj), 29. Havlůj (Kunrt, Přeučil), 34. J. Čmolík (Kunrt, V. Nedrda), 40. V. Nedrda (Přeučil), 55. Přeučil (V. Nedrda), 55. V. Nedrda (Havlůj), 57. V. Nedrda (Přeučil, Havlůj)</t>
  </si>
  <si>
    <t>Kovařík – Jonák, Balázs, Kunrt, Havlůj, Plichta, M. Čmolík, T. Přeučil, Dalecký, Kousek, Šafařík, Bořík, Smolík, Rameš, V. Nedrda, Komínek, J. Čmolík, T. Nedrda</t>
  </si>
  <si>
    <t>1:0, 1:2, 5:2, 5:3, 6:3, 6:6, 9:6</t>
  </si>
  <si>
    <t>0:2, 1:2, 1:3, 2:3, 2:4, 3:4, 3:5</t>
  </si>
  <si>
    <t>2:0, 2:1, 11:1</t>
  </si>
  <si>
    <t>8:0, 8:1, 9:1, 9:2, 10:2</t>
  </si>
  <si>
    <t>0:1, 7:1, 7:2, 9:2</t>
  </si>
  <si>
    <t>Uher – Havlůj, Kunrt, Plichta, Kabeláč, Balázs, Čmolík M., Jonák – Přeučil T., Čmolík, Nedrda V. – Tauš, Přeučil P., Komínek – Nedrda T., Kousek, Šafařík</t>
  </si>
  <si>
    <t xml:space="preserve">12. T. Přeučil (Havlůj, V. Nedrda), 16. J. Čmolík (Havlůj), 19. V. Nedrda (J.Čmolík, T. Přeučil), 28. J. Čmolík (Kunrt), 32. J. Čmolík (Kunrt), 35. J. Čmolík (Kunrt), 44. T. Nedrda (Šafařík, Kousek), 58. Šafařík (Kousek), 58. Kousek (Šafařík) </t>
  </si>
  <si>
    <t>Uher (Kovařík) – Kabeláč, Kunrt, Havlůj, Plichta, Sklenička, Čmolík M. – Přeučil T., Kousek, Šafařík, Bořík, Mical, Smolík, Přeučil P., Nedrda V., Čmolík J., Nedrda T.</t>
  </si>
  <si>
    <t>2. Plichta (Komínek), 3. Havlůj (Přeučil T., Nedrda V.), 18. Nedrda V. (Přeučil T.), 20. Nedrda T. (Bořík), 22. Havlůj (Čmolík), 26. Komínek, 27. Kousek (Šafařík), 37. Přeučil T. (Kunrt), 39. Přeučil T. (Komínek), 45. Komínek (Mical), 49. Přeučil T. (Nedrda V., Havlůj), 50. Sklenička (Plichta, Kousek), 57. Kousek (Havlůj), 58. Kousek (Šafařík), 60. Havlůj (Nedrda V., Mical)</t>
  </si>
  <si>
    <t>Kopýtko (Kovařík) – Balázs, Kunrt, Havlůj, Plichta, Sklenička, Čmolík M., Přeučil T., Kousek, Šafařík, Nedrda V., Mical, Komínek, Čmolík J., Nedrda T., Bořík</t>
  </si>
  <si>
    <t>1. V. Nedrda (P. Přeučil, Havlůj), 11. Šafařík (Komínek), 15. P. Přeučil (T. Přeučil, Havlůj), 27. T. Přeučil (V. Nedrda), 34. V. Nedrda (T. Přeučil, Kabeláč), 40. Komínek (Smolík), 43. Komínek (Smolík), 49. Havlůj (P. Přeučil, T. Přeučil), 53. V. Nedrda (T. Přeučil, P. Přeučil), 56. Havlůj (V. Nedrda)</t>
  </si>
  <si>
    <t>Kovařík (Uher) – Kabeláč, Jonák, Balázs, Žižka, Havlůj, Plichta, Sklenička, Přeučil T., Šafařík, Bořík, Smolík, Přeučil P., Rameš, Nedrda V., Komínek, Nedrda T. Trenér: Kašťák.</t>
  </si>
  <si>
    <t>4:0, 4:1, 5:1, 5:2, 10:2, 10:3</t>
  </si>
  <si>
    <t>5:0, 5:1, 7:1, 7:2, 8:2, 8:5</t>
  </si>
  <si>
    <t>0:1, 6:1, 6:2, 7:2, 7:4, 9:4, 9:6, 11:6</t>
  </si>
  <si>
    <t>3:0, 3:1, 6:1</t>
  </si>
  <si>
    <t>0:1, 4:1, 4:2, 5:2, 5:3, 9:3</t>
  </si>
  <si>
    <t>1:0 sn</t>
  </si>
  <si>
    <t>1:0, 1:1, 2:1, 2:3, 4:3, 4:4, 5:4sn</t>
  </si>
  <si>
    <t>0:1, 3:1, 3:2, 4:2, 4:3, 5:3, 5:4, 8:4, 8:5, 10:5, 10:6, 13:6</t>
  </si>
  <si>
    <t>0:1, 1:1, 1:2, 3:2, 3:3, 4:3, 4:4, 5:4sn</t>
  </si>
  <si>
    <t>4. Mical (Kousek), 18. Čmolík (Nedrda, Kabeláč), 27. Nedrda (Kunrt), 39. Mical (Kabeláč), rozh. náj. Čmolík</t>
  </si>
  <si>
    <t>2:0, 2:1, 7:1, 7:2, 8:2, 8:3, 9:3, 9:4, 12:4, 12:5, 15:5</t>
  </si>
  <si>
    <t>Uher (Kopýtko) – Kabeláč, Jonák, Kunrt, Havlůj, Plichta, Přeučil T., Kousek, Šafařík, Bořík, Smolík, Nedrda V., Mical, Komínek, Čmolík, Nedrda T. Trenér: Kašťák.</t>
  </si>
  <si>
    <t>0:1, 1:1, 1:2, 3:2, 3:3, 6:3</t>
  </si>
  <si>
    <t>6. Smolík (Bořík, Šafařík), 24. Komínek, 26. Mical (Plichta, Komínek), 51. Čmolík (Nedrda), 57. Havlůj (Nedrda), 59. Přeučil (Čmolík, Nedrda)</t>
  </si>
  <si>
    <t>Uher (Kopýtko) – Kabeláč, Jonák, Balázs, Havlůj, Plichta, Čmolík M., Přeučil T., Kousek, Šafařík, Bořík, Smolík, Přeučil P., Mical, Komínek, Čmolík J., Nedrda T. Trenér: Kašťák.</t>
  </si>
  <si>
    <t xml:space="preserve"> 9. Bořík, 13. Komínek (Mical), 14. Kabeláč (Havlůj, Čmolík J.), 18. Čmolík J. (Přeučil T.), 18. Přeučil P. (Čmolík J.), 34. Havlůj (Přeučil T.), 36. Kabeláč (Přeučil T., Havlůj), 56. Mical (Komínek, Plichta), 58. Havlůj </t>
  </si>
  <si>
    <t>1:0, 1:2, 5:2, 5:4, 7:4, 7:7, 9:7</t>
  </si>
  <si>
    <t>Kopýtko – Plichta, Kunrt, Čmolík M., Balázs, Jonák, Přeučil T., Čmolík J., Nedrda V., Mical, Kousek, Šafařík, Nedrda T., Bořík, Komínek. Trenér: Kašťák.</t>
  </si>
  <si>
    <t>10. Čmolík J. (Nedrda V.), 13. Nedrda V. (Čmolík J., Jonák), 15. Přeučil T. (Kunrt), 16. Mical (Čmolík M.), 23. Šafařík (Mical), 25. Nedrda V. (Čmolík J.), 27. Mical (Šafařík, Balázs), 32. Mical (Kunrt), 34. Komínek (Bořík, Nedrda T.), 42. Šafařík (Kousek), 46. Čmolík J. (Čmolík M.), 52. Čmolík M. (Nedrda V., Kunrt), 57. Komínek (Nedrda T.), 59. Nedrda V. (Čmolík J.)</t>
  </si>
  <si>
    <t>0:1, 10:1, 10:2, 11:2, 11:3, 14:3</t>
  </si>
  <si>
    <t>8. P. Přeučil (Mical), 14. Bořík (Mical), 14. P. Přeučil (T. Přeučil, Plichta), 19. Jonák (Mical, Kabeláč), 38. V. Nedrda (Bořík), 50. T. Nedrda (Komínek), 56. T. Přeučil (V. Nedrda)</t>
  </si>
  <si>
    <t>Kovařík – Plichta, Kunrt, Kabeláč, Jonák, M. Čmolík, Balász, Žižka – T. Přeučil, J. Čmolík, V. Nedrda – Mical, P. Přeučil, Šafařík – T. Nedrda, Komínek, Bořík. Trenér: Kašťák.</t>
  </si>
  <si>
    <t>0:1, 3:1, 3:2, 5:2, 5:4, 7:4, 7:5</t>
  </si>
  <si>
    <t>Uher (Kovařík) – Havlůj, Kunrt, Plichta, Jonák, Čmolík M., Balázs, Přeučil T., Čmolík J., Přeučil P., Mical, Kousek, Šafařík, Nedrda T., Komínek, Smolí, Bořík. Trenér: Kašťák.</t>
  </si>
  <si>
    <t>4. Čmolík (Přeučil, Kunrt), 4. Mical, 9. Přeučil (Kunrt), 13. Kousek (Šafařík, Plichta), 22. Havlůj (Přeučil, Přeučil), 25. Mical (Kousek, Havlůj), 27. Smolík (Bořík), 31. Přeučil (Čmolík, Přeučil), 35. Přeučil (Čmolík, Kunrt), 42. Čmolík (Kunrt, Havlůj), 44. Kunrt (Čmolík, Čmolík), 45. Čmolík (Přeučil, Přeučil), 56. Mical (Jonák, Čmolík)</t>
  </si>
  <si>
    <t>0:1, 2:1, 2:2, 4:2, 4:3, 5:3, 5:5, 10:5, 10:6, 12:6, 12:7, 13:7</t>
  </si>
  <si>
    <t xml:space="preserve">7. J. Čmolík (V. Nedrda, Havlůj), 38. V. Nedrda (J. Čmolík, T. Přeučil), 41. Havlůj (Kunrt, T. Přeučil), 43. P. Přeučil, 48. Havlůj (Kunrt), 54. Mical (T. Přeučil), 56. J. Čmolík (T. Přeučil, V. Nedrda) </t>
  </si>
  <si>
    <t>Kovařík (Kopýtko) – Havlůj, Kunrt, Plichta, Kabeláč, M. Čmolík, Jonák, Balász – T. Přeučil, J. Čmolík, V. Nedrda – Mical, Kousek, P. Přeučil – T. Nedrda, Bořík, Šafařík – Smolík. Trenér: Kašťák.</t>
  </si>
  <si>
    <t>1:0, 1:2, 3:2, 3:3, 7:3</t>
  </si>
  <si>
    <t>Přebor - Playoff SF</t>
  </si>
  <si>
    <t>MOSTEČTÍ LVI – HC Klášterec n/O</t>
  </si>
  <si>
    <t>stav 1:0</t>
  </si>
  <si>
    <t>Kovařík – Havlůj, Jonák, Plichta, Kabeláč, M. Čmolík, Balász, Žižka – T. Přeučil, J. Čmolík, V. Nedrda – Mical, P. Přeučil, Šafařík – T. Nedrda, Kousek, Komínek – Bořík. Trenér: Kašťák.</t>
  </si>
  <si>
    <t>6. T. Přeučil (Havlůj), 19. Šafařík (P. Přeučil), 21. T. Přeučil (Havlůj), 31. Mical, 35. Kousek (Komínek, T. Nedrda), 47. T. Přeučil (V. Nedrda, Havlůj), 53. Mical (Havlůj), 58. Kabeláč (J. Čmolík, T. Přeučil), 59. Komínek (T. Nedrda), 60. Přeučil (Šafařík, Mical)</t>
  </si>
  <si>
    <t>0:1, 3:1, 3:3, 5:3, 5:4, 10:4</t>
  </si>
  <si>
    <t>stav 1:1</t>
  </si>
  <si>
    <t>stav 2:0</t>
  </si>
  <si>
    <t>Kovařík (Uher) – Kabeláč, Jonák, Balázs, Kunrt, Havlůj, Plichta, Čmolík, Přeučil, Kousek, Šafařík, Bořík, Smolík, Nedrda, Mical, Komínek, Čmolík J., Nedrda T. Trenér: Kašťák.</t>
  </si>
  <si>
    <t>2. M.Čmolík (Jonák, Kousek), 3. Nedrda (T.Přeučil, J.Čmolík), 7. Plichta, 10. Mical (Šafařík), 13. Čmolík (Nedrda, T.Přeučil), 18. Komínek (Plichta), 32. Bořík (Mical), 60. Nedrda</t>
  </si>
  <si>
    <t>0:1, 1:1, 1:2, 7:2, 7:6, 8:6</t>
  </si>
  <si>
    <t>Přebor - Playoff F</t>
  </si>
  <si>
    <t>stav 2:1</t>
  </si>
  <si>
    <t>stav 0:1</t>
  </si>
  <si>
    <t>Uher (Kovařík) – Kabeláč, Jonák, Kunrt, Havlůj, Plichta, Sklenička, Čmolík M., Přeučil T., Kousek, Šafařík, Bořík, Přeučil P., Nedrda V., Mical, Čmolík J., Nedrda T. Trenér: Kašťák.</t>
  </si>
  <si>
    <t xml:space="preserve">12. Kunrt (P. Přeučil, Šafařík), 21. V. Nedrda (J. Čmolík), 37. J. Čmolík (V. Nedrda, Kunrt), 43. T. Přeučil (Havlůj) </t>
  </si>
  <si>
    <t>0:4, 2:4, 2:5, 3:5, 3:6, 4:6, 4:10</t>
  </si>
  <si>
    <t>Kovařík (Uher) – Jonák, Balázs, Kunrt, Havlůj, Plichta, Sklenička, Přeučil T., Kousek, Bořík, Beneš, Přeučil P., Nedrda V., Mical, Komínek, Čmolík J., Nedrda T. Trenér: Kašťák.</t>
  </si>
  <si>
    <t>8. Přeučil T. (Havlůj), 9. Mical (Přeučil P.), 12. Přeučil T. (Nedrda V.), 15. Přeučil T. (Nedrda V., Kunrt), 28. Havlůj (Přeučil T., Nedrda V.), 33. Balázs (Kousek)</t>
  </si>
  <si>
    <t>4:0, 4:1, 6:1, 6:5</t>
  </si>
  <si>
    <t xml:space="preserve">6. J. Čmolík (Jonák, V. Nedrda), 13. P. Přeučil (Plichta), 15. V. Nedrda (Kunrt, Havlůj), 29. T. Přeučil (J. Čmolík), 36. T. Přeučil (Kunrt), 38. J. Čmolík (Kunrt, V. Nedrda), 41. J. Čmolík (Havlůj, T. Přeučil), 42. Mical (Komínek), 50. T. Přeučil (V. Nedrda), 55. T. Nedrda (Sklenička, Jonák), 57. Mical (Komínek, Havlůj) </t>
  </si>
  <si>
    <t>Kovařík – Havlůj, Kunrt, Plichta, Kabeláč, Balász, Jonák – T. Přeučil, J. Čmolík, V. Nedrda – Mical, P. Přeučil, Komínek – T. Nedrda, Bořík, Sklenička – Šafařík. Trenér: Kašťák.</t>
  </si>
  <si>
    <t>1:0, 1:1, 3:1, 3:3, 11:3, 11:4</t>
  </si>
  <si>
    <t>2. liga, sezóna 2019/2020</t>
  </si>
  <si>
    <t>MOSTEČTÍ LVI — TJ HC Jablonec nad Nisou</t>
  </si>
  <si>
    <t>3. Smolka (Kýhos), 4. Drašar (Havlůj, Přibyl), 5. Čmolík (Havlík, Přibyl), 6. Mical (Řehoř, Kuncl), 6. Mical (Řehoř, Drašar), 18. Nedrda (Čejka, Čmolík), 40. Řehoř (Smolka, Fučík), 42. Mical (Řehoř, Urbánek), 43. Čmolík (Čejka), 54. Čmolík (Nedrda, Čejka)</t>
  </si>
  <si>
    <t>5:0, 5:1, 6:1, 6:2, 10:2, 10:3</t>
  </si>
  <si>
    <t>Hosnedl, Kovařík – Fučík, Kuncl, Mála, Kýhos, Smolka – Havlůj, Urbánek, Mical, Řehoř, Drašar – Havlík, Přibyl, Nedrda, Čejka, Čmolík – Polák, Böhm. Trenér: Machulda.</t>
  </si>
  <si>
    <t>Výsledek třetin pro Most</t>
  </si>
  <si>
    <t>Průběh zápasu pro Most</t>
  </si>
  <si>
    <t>0:1; 2:1</t>
  </si>
  <si>
    <t>Janus (Honzík) – Jánošík, Kubát, J. Říha, Ščotka, L. Doudera, Baránek, Trončinský – Jurčík, Helt, Trávníček (C) – Válek, V. Hübl (A), F. Lukeš – Jarůšek, Myšák, Kašpar (A) – Gerhát, J. Mikúš, M. Hanzl</t>
  </si>
  <si>
    <t>2. Drašar (Řehoř)</t>
  </si>
  <si>
    <t>HC Trutnov — MOSTEČTÍ LVI</t>
  </si>
  <si>
    <t>Hosnedl (Kovařík)- Přibyl, Kuncl, Havlík, Havlůj (C), Fučík, Urbánek – Nedrda (A), Bakrlík, Mála, Smolka, Mical, Řehoř, Čejka, Böhm, Čmolík, Kýhos, Drašar. Trenér: Machulda.</t>
  </si>
  <si>
    <t>1:0; 1:5</t>
  </si>
  <si>
    <t>MOSTEČTÍ LVI — TJ HC Řisuty</t>
  </si>
  <si>
    <t>2. Bakrlík (Přibyl, Čejka), 4. Řehoř (Urbánek, Čejka), 15. Mical (Urbánek, Havlůj), 20. Bakrlík (Čmolík, Havlík), 26. Mála (Kýhos), 27. Řehoř, 31. Kuncl (Kýhos, Nedrda), 39. Řehoř (Havlůj, Mical), 46. Řehoř (Drašar, Mical), 49. Drašar (Řehoř, Mical), 54. Kuncl (Fučík)</t>
  </si>
  <si>
    <t>Hosnedl (Kovařík) – Přibyl, Kuncl, Havlík, Havlůj (C), Fučík, Urbánek – Čejka, Čmolík, Mical, Nedrda (A), Kýhos, Bakrlík, Řehoř, Mála, Böhm, Drašar. Trenér: Machulda.</t>
  </si>
  <si>
    <t>0:3; 2:3</t>
  </si>
  <si>
    <t>0:1; 1:1; 1:2</t>
  </si>
  <si>
    <t xml:space="preserve">Honzík (Janus) – Kubát, Trončinský, Ščotka, J. Říha, Jánošík, Štich, L. Doudera – Zygmunt, V. Hübl (A), Gerhát (A) – Kašpar (A), Myšák, Jarůšek – Petružálek, J. Mikúš, M. Hanzl – Trávníček (C), Helt, Jurčík </t>
  </si>
  <si>
    <t xml:space="preserve">Janus (Honzík) – Jánošík, Kubát, Trončinský, Ščotka, J. Říha, L. Doudera – Válek, V. Hübl (A), F. Lukeš – Jarůšek, Myšák, Kašpar (A) – Gerhát, M. Hanzl, Petružálek – Jurčík, Helt, Trávníček (C) </t>
  </si>
  <si>
    <t>MOSTEČTÍ LVI — HC Stadion Vrchlabí</t>
  </si>
  <si>
    <t>2. liga - skupina Sever</t>
  </si>
  <si>
    <t>0:3, 2:3, 2:4</t>
  </si>
  <si>
    <t>Hosnedl (Kovařík) – Přibyl, Kuncl, Havlík, Havlůj (C), Fučík, Urbánek, Polák – Mical, Drašar, Nedrda (A), Mála, Bakrlík, Řehoř, Čmolík, Böhm, Smolka, Kýhos. Trenér: Machulda.</t>
  </si>
  <si>
    <t>30. Mála, 35. Řehoř (Urbánek)</t>
  </si>
  <si>
    <t>HC Děčín – MOSTEČTÍ LVI</t>
  </si>
  <si>
    <t>3. Mical (Čmolík, Nedrda), 7. Bakrlík (Smolka), 9. Smolka (Bakrlík), 26. Bakrlík (Smolka), 37. Bakrlík (Smolka, Mical), 39. Smolka (Bakrlík, Mical), 47. Hrdlička (Čmolík, Polák), 51. Kýhos (Mála), 58. Přeučil (Urbánek, Nedrda)</t>
  </si>
  <si>
    <t xml:space="preserve"> #31 Chabr, #97 Hanuljak – #3 Urbánek, #4 Polák, #19 Havlůj (C), #25 Fučík, #82 Sklenička, #90 Kuncl – #9 Přeučil (A), #10 Hrdlička, #11 Bakrlík, #14 Kýhos, #15 Beneš, #55 Smolka, #71 Nedrda (A), #77 Mical, #91 Čmolík, #93 Mála</t>
  </si>
  <si>
    <t>3:0, 3:1, 5:1, 5:2, 6:2, 6:3, 7:3, 7:4, 9:4</t>
  </si>
  <si>
    <t>MOSTEČTÍ LVI – HC Kobra Praha</t>
  </si>
  <si>
    <t>0:1, 1:1, 1:2, 3:2, 3:3, 4:3, 4:4, 4:5sn</t>
  </si>
  <si>
    <t>#97 Hanuljak Miroslav (#69 Kovařík Jakub) – #3 Urbánek Štěpán, #4 Polák Miroslav, #17 Kunrt Martin, C#19 Havlůj Aleš, #25 Fučík Roman, #44 Plichta Jan, #90 Kuncl Miroslav – A#9 Přeučil Tomáš, #10 Hrdlička Lukáš, #11 Bakrlík František, #14 Kýhos Vladimír, #15 Böhm Milan, #33 Přeučil Petr, #55 Smolka Pavel, #77 Mical Martin, #91 Čmolík Jakub, #93 Mála František. Trenér: Kašťák.</t>
  </si>
  <si>
    <t>27. Hrdlička (Polák), 35. Fučík (Smolka, Bakrlík), 38. Mical (Smolka), 47. Bakrlík (Čmolík, Mical)</t>
  </si>
  <si>
    <t>HC Baník Sokolov – MOSTEČTÍ LVI</t>
  </si>
  <si>
    <t>25. Mála (Čmolík), 28. Smolka (V.Nedrda), 58. Hrdlička (Kýhos), 59. Mical, 60. Kýhos (Hrdlička)</t>
  </si>
  <si>
    <t>Hanuljak (21. Chabr) – Urbánek, Polák, Kunrt, Havlůj (C), Fučík, Plichta, Kuncl – T. Přeučil (A), Hrdlička, Bakrlík, Kýhos, Böhm, P. Přeučil, Smolka, V. Nedrda, Mical, Čmolík, Mála, T. Nedrda. Trenéři: Kamil Kašťák, Vladimír Šafner.</t>
  </si>
  <si>
    <t>0:4, 2:4, 2:6, 5:6</t>
  </si>
  <si>
    <t>MOSTEČTÍ LVI – TJ HC Řisuty</t>
  </si>
  <si>
    <t>Hanuljak (Chabr) – Urbánek, Polák, Havlůj (C), Fučík, Plichta, Kuncl – Přeučil T. (A), Hrdlička, Bakrlík, Kýhos, Böhm, Smolka, Nedrda V., Mical, Čmolík, Mála. Trenér: Kamil Kašťák, Vladimír Šafner.</t>
  </si>
  <si>
    <t>1. Smolka (Polák), 11. Havlůj (Nedrda, Böhm), 15. Mála (Kýhos), 17. Bakrlík (Smolka), 21. Kýhos (Mála, Kuncl), 24. Mála (Polák, Kuncl), 25. Smolka (Bakrlík, Mical), 39. Mála (Polák, Kuncl), 43. Kuncl (Nedrda), 54. Urbánek (Nedrda, Böhm), 60. Kýhos (Nedrda)</t>
  </si>
  <si>
    <t>7:0, 7:1, 8:1, 8:2, 9:2, 9:3, 10:3, 10:4, 11:4</t>
  </si>
  <si>
    <t>HC Draci Bílina – MOSTEČTÍ LVI</t>
  </si>
  <si>
    <t>Hanuljak (Chabr) – Urbánek, Polák, Havlůj (C), Fučík, Plichta, Sklenička, Kuncl – Přeučil T. (A), Hrdlička, Bakrlík, Kýhos, Böhm, Smolka, Nedrda V., Mical, Čmolík, Mála. Trenér: Kamil Kašťák, Vladimír Šafner.</t>
  </si>
  <si>
    <t>2. Čmolík (T. Přeučil, Urbánek), 10. Böhm (Havlůj), 14. Smolka (Bakrlík, Sklenička), 39. Nedrda (Smolka, Mical), 40. Smolka (Bakrlík, Mical), 52. Mála (Kýhos, Hrdlička), 56. Přeučil</t>
  </si>
  <si>
    <t>3:0, 3:1, 7:1</t>
  </si>
  <si>
    <t>MOSTEČTÍ LVI – HC Klatovy</t>
  </si>
  <si>
    <t>#97 Hanuljak, #31 Chabr – #3 Urbánek, #4 Polák, #17 Kunrt, #19 Havlůj, #25 Fučík, #82 Sklenička, #90 Kuncl – #9 Přeučil T., #10 Hrdlička, #11 Bakrlík, #14 Kýhos, #15 Böhm, #55 Smolka, #71 Nedrda V., #77 Mical, #93 Mála, #96 Nedrda T. Trenér: Kašťák.</t>
  </si>
  <si>
    <t>13. Smolka (Mical), 28. Mical (Smolka), 30. Mála (Kýhos), 35. Mical (Smolka), 40. Smolka, 44. Mála (Kýhos, Hrdlička), 46. Havlůj (Vítězslav, Böhm), 59. Mical (Bakrlík, Smolka), 60. Böhm (Přeučil)</t>
  </si>
  <si>
    <t>4:0, 4:1, 9:1</t>
  </si>
  <si>
    <t>MOSTEČTÍ LVI – HC Trutnov</t>
  </si>
  <si>
    <t>3:0, 3:1, 5:1</t>
  </si>
  <si>
    <t xml:space="preserve"> #97 Hanuljak, #69 Kovařík – #3 Urbánek, #4 Polák, #17 Kunrt, #19 Havlůj, #25 Fučík, #82 Sklenička, #90 Kuncl – #10 Hrdlička, #11 Bakrlík, #14 Kýhos, #15 Böhm, #33 Přeučil P., #71 Nedrda V. (A), #77 Mical, #Čmolík J., #93 Mála, #96 Nedrda T. Trenér: Kašťák.</t>
  </si>
  <si>
    <t>4. Mical (Fučík), 16. Kýhos (Hrdlička, Mála), 22. Mical (Nedrda, Bakrlík), 34. Mála (Hrdlička), 38. Mical (Fučík, Bakrlík)</t>
  </si>
  <si>
    <t>MOSTEČTÍ LVI – HC Děčín</t>
  </si>
  <si>
    <t>9. Kýhos (Kuncl), 17. Mála (Přeučil, Kýhos), 36. Mical (Smolka, Bakrlík), 45. Mála (Nedrda), 59. Smolka (Kýhos), 61. Mical (Hanuljak)</t>
  </si>
  <si>
    <t>#97 Hanuljak, #31 Chabr – #3 Urbánek, #4 Polák, #19 Havlůj, #25 Fučík, #44 Plichta, #90 Kuncl – #9 Přeučil T. (A), #11 Bakrlík, #12 Chlán, #14 Kýhos, #15 Böhm, #55 Smolka, #71 Nedrda V. (A), #77 Mical, #91 Čmolík J., #93 Mála. Trenér: Kašťák.</t>
  </si>
  <si>
    <t>0:1, 1:1, 1:2, 2:2, 2:3, 3:3, 3:4, 4:4, 5:4pp</t>
  </si>
  <si>
    <t>0:2; 1:2; 1:3; 2:3; 2:4; 3:4; 3:5</t>
  </si>
  <si>
    <t>HC Kobra Praha – MOSTEČTÍ LVI</t>
  </si>
  <si>
    <t>26. Nedrda (Havlůj, Smolka), 32. Přeučil (Urbánek), 58. Hrdlička (Mála)</t>
  </si>
  <si>
    <t>Hanuljak (Kovařík) – Polák, Urbánek, Havlůj (C), Kuncl, Fučík, Čmolík – Přeučil (A), Hrdlička, Böhm, Kýhos, Nedrda V. (A), Mical, Bakrlík, Mála, Smolka. Trenér: Kašťák, Šafner.</t>
  </si>
  <si>
    <t>MOSTEČTÍ LVI – HC Baník Sokolov</t>
  </si>
  <si>
    <t>Chabr (Kovařík) – Polák, Urbánek, Sklenička, Kunrt, Havlůj (C), Fučík, Čmolík – Přeučil T. (A), Hrdlička, Böhm, Kýhos, Nedrda V. (A), Mical, Bakrlík, Mála, Smolka. Trenér: Kašťák, Šafner.</t>
  </si>
  <si>
    <t>0:3, 1:3, 1:4</t>
  </si>
  <si>
    <t>44. Přeučil (Mála, Kýhos)</t>
  </si>
  <si>
    <t>TJ HC Řisuty – MOSTEČTÍ LVI</t>
  </si>
  <si>
    <t>11. Polák (Kuncl), 24. Mála (Kýhos), 25. Čmolík (Havlůj, Urbánek), 31. Mical (Šmolka, Fučík), 35. Kýhos (Přeučil T., Mála), 37. Bakrlík (Smolka, Kunrt), 44. Smolka (Mical)</t>
  </si>
  <si>
    <t>Hanuljak, Chabr – Polák, Urbánek, Sklenička, Kunrt, Havlůj, Kuncl, Fučík – Přeučil T., Kýhos, Mical, Bakrlík, Beran, Mála, Čmolík, Smolka, Nedrda T. Trenér: Kašťák, Šafner.</t>
  </si>
  <si>
    <t>1:0, 1:2, 2:2, 2:3, 3:3, 3:4, 6:4, 6:5, 7:5, 7:6</t>
  </si>
  <si>
    <t>MOSTEČTÍ LVI – HC Draci Bílina</t>
  </si>
  <si>
    <t>3. Vašíček (Urbánek, Havlůj), 12. Kýhos (Mála, Přeučil), 17. Mála (Přeučil, kýhos), 28. Přeučil (Mála, Kýhos), 34. Mála (Kýhos, Nedrda), 39. Bakrlík (Nedrda, Fučík), 39. Mical (Kuncl, Kýhos), 48. Smolka (Nedrda, Bakrlík), 50. Smolka (Bakrlík), 55. Smolka (Bakrlík, Nedrda), 60. Mála (Nedrda)</t>
  </si>
  <si>
    <t>Hanuljak (Chabr) – Polák, Urbánek, Kunrt, Havlůj (C), Kuncl, Fučík – Přeučil T. (A), Beran, Vašíček, Kýhos, Nedrda V. (A), Mical, Bakrlík, Mála, Čmolík, Smolka. Trenéři: Kamil Kašťák, Vladimír Šafner.</t>
  </si>
  <si>
    <t>1:0, 1:1, 3:1, 3:3, 4:3, 4:4, 7:4, 7:5, 10:5, 10:6, 11:6</t>
  </si>
  <si>
    <t>HC Stadion Vrchlabí – MOSTEČTÍ LVI</t>
  </si>
  <si>
    <t>HC Klatovy – MOSTEČTÍ LVI</t>
  </si>
  <si>
    <t>Chabr (24. Kovařík) – Polák, Urbánek, Sklenička, Kunrt (A), Havlůj (C), Kuncl – Beran (J), Vašíček, Böhm, Kýhos, Nedrda V. (A), Mical, Bakrlík, Čmolík, Nedrda T. Trenér: Kašťák, Šafner.</t>
  </si>
  <si>
    <t>Hanuljak (Chabr) – Polák, Urbánek, Havlůj, Kuncl, Fučík, Čmolík – Přeučil, Vašíček, Böhm, Kýhos, Nedrda, Mical, Bakrlík, Mála, Smolka. Trenér: Kašťák, Šafner.</t>
  </si>
  <si>
    <t>0:7; 1:7</t>
  </si>
  <si>
    <t>50. Bakrlík (Čmolík, Mical)</t>
  </si>
  <si>
    <t>15. Kýhos (Přeučil, Mála), 28. Bakrlík (Nedrda), 29. Smolka, 60. Fučík (Kýhos)</t>
  </si>
  <si>
    <t>0:1, 1:1, 1:2, 3:2, 3:4, 4:4, 4:5pp</t>
  </si>
  <si>
    <t>MOSTEČTÍ LVI – TJ HC Jablonec nad Nisou</t>
  </si>
  <si>
    <t>Chabr, Kovařík – Polák, Urbánek, Kunrt (A), Havlůj (C), Kuncl, Fučík, Přeučil (A), Hrdlička, Vašíček, Böhm, Kýhos, Mical, Bakrlík, Mála, Smolka. Trenér: Kašťák, Šafner.</t>
  </si>
  <si>
    <t>Chabr, Kovařík – Kuncl, Polák, Přeučil (A), Kýhos, Mála, Fučík, Smolík, Nedrda V. (A), Smolka, Bakrlík, Havlůj (C), Urbánek, Mical, Böhm, Hrdlička, Sklenička. Trenér: Kašťák, Šafner.</t>
  </si>
  <si>
    <t>3. Mical (Hrdlička), 11. Nedrda (Smolka, Mála), 24. Přeučil (Kýhos, Polák), 25. Čmolík (Bakrlík), 46. Přeučil (Mála, Polák), 48. Smolka (Bakrlík, Fučík), 60. Nedrda (Smolka, Bakrlík)</t>
  </si>
  <si>
    <t xml:space="preserve">8. Kýhos (Kuncl), 25. Mical (Vašíček, Urbánek), 36. Přeučil (Kýhos, Mála), 49. Vašíček (Urbánek) </t>
  </si>
  <si>
    <t>1:0, 1:1, 2:1, 2:3, 4:3, 4:4, 7:4</t>
  </si>
  <si>
    <t>1:0, 1:5, 2:5, 2:7, 4:7</t>
  </si>
  <si>
    <t>0:1, 1:1, 1:4, 2:4, 2:5</t>
  </si>
  <si>
    <t>Hanuljak (Chabr) – Polák, Urbánek, Havlůj (C), Kuncl, Fučík, Čmolík, Přeučil (A), Hrdlička, Vašíček, Böhm, Kýhos, Nedrda V. (A), Mical, Bakrlík, Mála, Smolka. Trenér: Kašťák, Šafner.</t>
  </si>
  <si>
    <t>13. Böhm (Vašíček, Urbánek), 52. Mical (Böhm)</t>
  </si>
  <si>
    <t>Janus (Honzík) – Trončinský, L. Doudera, J. Říha, Ščotka, Štich, Jánošík, Kubát – Gerhát, V. Hübl (A), Petružálek – Jarůšek, M. Hanzl, Kašpar (A) – Válek, J. Mikúš, Zygmunt – Jurčík, Helt, Trávníček ©</t>
  </si>
  <si>
    <t>NED Hockey Nymburk – MOSTEČTÍ LVI</t>
  </si>
  <si>
    <t>6. Mála (Hrdlička, Havlůj), 28. Vašíček, 40. Bakrlík (Kýhos, Mical), 43. Böhm (Vašíček), 43. Mical, 57. Mical (Smolka)</t>
  </si>
  <si>
    <t>Hanuljak (Chabr) – Polák, Urbánek, Sklenička, Kunrt, Havlůj (C), Fučík, Čmolík – Přeučil T. (A), Hrdlička, Vašíček, Böhm, Kýhos, Nedrda V. (A), Mical, Bakrlík, Mála, Smolka. Trenér: Kašťák, Šafner.</t>
  </si>
  <si>
    <t>1:0, 1:2, 6:2</t>
  </si>
  <si>
    <t>MOSTEČTÍ LVI – SC Kolín</t>
  </si>
  <si>
    <t>Hanuljak (Chabr) – Polák, Urbánek, Kunrt, Havlůj (C), Fučík, Čmolík – T. Přeučil (A),Hrdlička, Böhm, Kýhos, Nedrda (A), Mical, Bakrlík, Mála, Smolka. Trenéři: Kašťák, Šafner.</t>
  </si>
  <si>
    <t>Hanuljak (11. Chabr) – Polák, Urbánek, Sklenička, Havlůj (C), Fučík, Čmolík – Přeučil T. (A), Vašíček, Böhm, Kýhos, Nedrda V. (A), Mical, Bakrlík, Mála, Smolka. Trenér: Kašťák, Šafner.</t>
  </si>
  <si>
    <t>24. Mical (Mála, Smolka)</t>
  </si>
  <si>
    <t>9. Fučík (Přeučil, Hrdlička), 60. Kýhos (Smolka), 63. Smolka (Mical, Havlůj)</t>
  </si>
  <si>
    <t>0:1, 1:1, 1:2, 2:2, 3:2oo</t>
  </si>
  <si>
    <t>0:6, 1:6, 1:13</t>
  </si>
  <si>
    <t>HC Letci Letňany – MOSTEČTÍ LVI</t>
  </si>
  <si>
    <t>Hanuljak (Chabr) – Polák, Urbánek, Sklenička, Kunrt (A), Havlůj (C), Fučík, Čmolík – T. Přeučil (A), Hrdlička, Vašíček, Böhm, Kýhos, Mical, Bakrlík, Mála, Smolka. Trenéři: Kašťák, Šafner.</t>
  </si>
  <si>
    <t>Hanuljak (Chabr) – Polák, Urbánek, Sklenička, Havlůj (C), Fučík, Čmolík – T. Přeučil (A), Hrdlička, Vašíček, Böhm, Kýhos, Böhm, Nedrda (A), Mical, Bakrlík, Mála, Smolka. Trenéři: Kamil Kašťák, Vladimír Šafner.</t>
  </si>
  <si>
    <t>17. Smolka (Mical, Urbánek), 51. Smolka, 51. Böhm (Hrdlička, Přeučil), 60. Mála (Nedrda, Kýhos)</t>
  </si>
  <si>
    <t>15. Smolka (Bakrlík, Havlůj), 34. Bakrlík (Čmolík, Havlůj), 40. Bakrlík (Smolka), 51. Hrdlička (Kýhos)</t>
  </si>
  <si>
    <t>0:1, 1:1, 1:2, 4:2</t>
  </si>
  <si>
    <t>0:1, 1:1, 1:3, 2:3, 2:4, 3:4, 3:5, 4:5</t>
  </si>
  <si>
    <t>4:0, 4:1, 6:1, 6:3, 7:3</t>
  </si>
  <si>
    <t>1. Mála (Kýhos, Hrdlička), 4. Bakrlík (Nedrda), 6. Fučík (Chlán, Přeučil), 13. Přeučil (Mála, Nedrda), 45. Hrdlička (Kýhos, Mála), 48. Smolka (Nedrda), 59. Bakrlík (Nedrda, Smolka)</t>
  </si>
  <si>
    <t>Hanuljak, Chabr – Polák, Urbánek, Havlůj (C), Fučík, Čmolík – Přeučil T. (A), Hrdlička, Böhm, Kýhos, Nedrda V. (A), Mical, Bakrlík, Chlán, Mála, Smolka. Trenéři: Kašťák, Šafner.</t>
  </si>
  <si>
    <t>Hosnedl (Kovařík) – Havlík, Kuncl, Urbánek, Havlůj (C), Fučík, Polák – Mical, Mála, Smolka, Nedrda (A), Bakrlík, Böhm, Čmolík, Kýhos, Drašar</t>
  </si>
  <si>
    <t>4:0, 4:1, 7:1</t>
  </si>
  <si>
    <t>MOSTEČTÍ LVI – HC Dvůr Králové n. Labem</t>
  </si>
  <si>
    <t>Hanuljak (Chabr) – Polák, Urbánek, Havlůj (C), Kuncl, Fučík, Novák, Čmolík, – Přeučil T. (A), Hrdlička, Böhm, Kýhos, Nedrda V. (A), Mical, Bakrlík, Mála, Smolka. Trenéři: Kašťák, Šafner.</t>
  </si>
  <si>
    <t>10. Smolka (Bakrlík), 16. Mála (Hrdlička, Kuncl), 24. Mála (Kýhos, Hrdlička), 26. Böhm (Nedrda, Čmolík), 26. Polák, 42. Bakrlík (Hrdlička, Havlůj)</t>
  </si>
  <si>
    <t>2:0, 2:1, 5:1, 5:3, 6:3</t>
  </si>
  <si>
    <t>HC Trutnov – MOSTEČTÍ LVI</t>
  </si>
  <si>
    <t>17. Mála (Hrdlička), 18. Bakrlík (Mical), 20. Böhm (Přeučil), 58. Mála (Mical)</t>
  </si>
  <si>
    <t>Chabr (Hanuljak) – Polák, Urbánek, Havlůj (C), Kuncl, Fučík, Novák – Přeučil (A), Hrdlička, Böhm, Nedrda (A), Mical, Bakrlík, Mála, Čmolík, Smolka.. Trenéři: Kašťák, Šafner.</t>
  </si>
  <si>
    <t>0:2, 3:2, 3:5, 4:5, 4:6</t>
  </si>
  <si>
    <t>MOSTEČTÍ LVI – HC Stadion Vrchlabí</t>
  </si>
  <si>
    <t>Hanuljak, Chabr – Polák, Urbánek, Sklenička, Havlůj (C), Fučík, Novák, Čmolík – Přeučil (A), Hrdlička, Böhm, Kýhos, Nedrda V. (A), Mical, Bakrlík, Mála. Trenér: Kašťák, Šafner.</t>
  </si>
  <si>
    <t>Hanuljak (Chabr) – Polák, Urbánek, Žižka (J), Havlůj (C), Fučík, Novák, Čmolík – Přeučil (A), Hrdlička, Beran (J), Böhm, Kýhos, Nedrda V. (A), Mical, Bakrlík, Mála, Smolka, Pergl (J). Trenér: Kašťák, Šafner.</t>
  </si>
  <si>
    <t xml:space="preserve"> 15. Bakrlík (Böhm), 33. Bakrlík (Hrdlička), 48. Mála (Čmolík)</t>
  </si>
  <si>
    <t>1. Mical (Bakrlík, Havlůj), 6. Nedrda (Fučík, Böhm), 43. Bakrlík (Mical), 51. Bakrlík (Smolka), 54. Nedrda (Böhm, Mical)</t>
  </si>
  <si>
    <t>1:0, 1:2, 2:2, 2:4, 3:4, 3:5, 4:5, 4:6, 5:6, 5:8</t>
  </si>
  <si>
    <t>0:2, 1:2, 1:3, 2:3, 2:4, 3:4</t>
  </si>
  <si>
    <t>TJ HC Jablonec nad Nisou – MOSTEČTÍ LVI</t>
  </si>
  <si>
    <t>Hanuljak (40. Chabr) – Polák, Žižka (J), Sklenička, Kunrt, Havlůj (C), Novák, Čmolík – Přeučil (A), Böhm, Kýhos, Nedrda V. (A), Mical, Bakrlík, Mála, Smolka. Trenér: Šafner.</t>
  </si>
  <si>
    <t>Hanuljak (37. Chabr) – Polák, Žižka (J), Sklenička, Havlůj (C), Fučík, Novák, Čmolík – Přeučil (A), Hrdlička, Vašíček, Kýhos, Nedrda V. (A), Mical, Bakrlík, Mála. Trenér: Šafner.</t>
  </si>
  <si>
    <t>12. Kýhos (Polák, Nedrda), 14. Bakrlík (Nedrda, Přeučil), 40. Mical (Přeučil, Havlůj), 46. Bakrlík (Chabr)</t>
  </si>
  <si>
    <t>36. Mical (Smolka, Bakrlík), 46. Havlůj (Kunrt, Smolka)</t>
  </si>
  <si>
    <t>0:5, 1:5, 1:6, 2:6, 2:8</t>
  </si>
  <si>
    <t>0:2, 2:2, 2:7, 4:7, 4:9</t>
  </si>
  <si>
    <t>MOSTEČTÍ LVI – NED Hockey Nymburk</t>
  </si>
  <si>
    <t>SC Kolín – MOSTEČTÍ LVI</t>
  </si>
  <si>
    <t>Chabr (Hanuljak) – Polák, Žižka (J), Kunrt, Havlůj (C), Kuncl, Fučík, Novák – Přeučil (A), Hrdlička, Vašíček, Kýhos, Nedrda V. (A), Mical, Mála, Čmolík, Smolka. Trenér: Kašťák, Šafner.</t>
  </si>
  <si>
    <t>Hanuljak (Chabr) – Polák, Urbánek, Kunrt, Havlůj (C), Kuncl, Fučík, Novák – Přeučil (A), Beran (J), Vašíček, Böhm, Kýhos, Nedrda V. (A), Mical, Bakrlík, Smolka. Trenér: Kašťák.</t>
  </si>
  <si>
    <t>Chabr (44. Kovařík) – Polák, Urbánek, Kunrt, Havlůj (C), Kuncl, Novák – Přeučil T. (A), Hrdlička, Böhm, Kýhos, Nedrda V. (A), Mical, Bakrlík, Mála, Smolka. Trenér: Kašťák.</t>
  </si>
  <si>
    <t>29. Přeučil (Urbánek, Havlůj), 60. Havlůj (Bakrlík, Urbánek)</t>
  </si>
  <si>
    <t>27. Kýhos (Kuncl, Mical), 48. Mical (Kýhos), 49. Kýhos (Nedrda, Mical)</t>
  </si>
  <si>
    <t>6. Kýhos (Polák, Nedrda), 15. Smolka (Nedrda, Mical), 28. Havlůj (Smolka, Mála)</t>
  </si>
  <si>
    <t>2:0, 2:3, 3:3, 3:6</t>
  </si>
  <si>
    <t>0:3, 1:3, 1:4, 3:4, 3:6</t>
  </si>
  <si>
    <t>0:3, 1:3, 1:11, 2:11</t>
  </si>
  <si>
    <t>4. Böhm (Čmolík), 6. Drašar (Mála, Bakrlík), 8. Smolka (Mical, Kýhos), 9. Nedrda (Čmolík), 25. Drašar (Bakrlík), 46. Mical (Smolka), 48. Mical (Kuncl, Polák)</t>
  </si>
  <si>
    <t>MOSTEČTÍ LVI – HC Letci Letňany</t>
  </si>
  <si>
    <t>HC Dvůr Králové n. Labem – MOSTEČTÍ LVI</t>
  </si>
  <si>
    <t>Štěpánek (Kovařík) – Polák, Urbánek, Žítek (J), Havlůj (C), Kuncl (A), Fučík, Novák – Přeučil T. (A), Hrdlička, Vašíček, Böhm, Kýhos, Mical, Bakrlík, Mála, Smolka. Trenér: Machulda.</t>
  </si>
  <si>
    <t>Chabr, Štěpánek – Polák, Urbánek, Havlůj (C), Kuncl (A), Fučík, Novák, Hoffmann (J) – Přeučil T. (A), Hrdlička, Žítek (J), Vašíček, Böhm, Kýhos, Mical, Mála, Smolka. Trenér: Machulda.</t>
  </si>
  <si>
    <t>Štěpánek (Chabr) – Polák, Urbánek, Havlůj (C), Kuncl, Fučík, Novák – Přeučil T. (A), Hrdlička, Vašíček, Böhm, Kýhos, Nedrda V. (A), Mical, Bakrlík, Mála, Smolka. Trenér: Machulda.</t>
  </si>
  <si>
    <t>4. Hrdlička (Böhm), 11. Smolka (Kýhos, Mical), 25. Nedrda (Přeučil, Bakrlík), 40. Havlůj (Přeučil, Bakrlík), 50. Mical (Smolka, Štěpánek)</t>
  </si>
  <si>
    <t>3. Kýhos (Smolka, Mical), 43. Žítek (Vašíček), 43. Smolka (Mical), 56. Vašíček (Přeučil)</t>
  </si>
  <si>
    <t>33. Mical (Smolka), 58. Havlůj (Bakrlík, Přeučil)</t>
  </si>
  <si>
    <t>4:0; 4:1</t>
  </si>
  <si>
    <t>0:4, 2:4, 2:5</t>
  </si>
  <si>
    <t>Štěpánek (Chabr) – Polák, Urbánek, Žítek (J), Kunrt (A), Havlůj (C), Kuncl – Přeučil (A), Hrdlička, Vašíček, Böhm, Kýhos, Mical, Bakrlík, Mála, Smolka. Trenér: Machulda.</t>
  </si>
  <si>
    <t>Kovařík (Chabr) – Polák, Žítek (J), Havlůj (C), Kuncl, Fučík, Novák – Přeučil (A), Hrdlička, Böhm, Kýhos, Nedrda V. (A), Mical, Bakrlík, Mála, Smolka. Trenér: Machulda.</t>
  </si>
  <si>
    <t>Štěpánek (Kovařík) – Polák, Žítek (J), Havlůj (C), Kuncl (A), Fučík, Novák, Hoffmann (J) – Přeučil T. (A), Hrdlička, Vašíček, Böhm, Kýhos, Mical, Bakrlík, Mála, Smolka. Trenér: Machulda.</t>
  </si>
  <si>
    <t>14. Nedrda (Žítek), 20. Smolka (Mical, Kýhos), 22. Havlůj (Fučík, Bakrlík), 56. Smolka (Kýhos), 29. Kýhos (Smolka), 30. Böhm (Nedrda, Hrdlička), 49. Přeučil (Fučík, Bakrlík)</t>
  </si>
  <si>
    <t>37. Mical (Smolka, Polák), 38. Mála (Přeučil), 51. Přeučil (Urbánek, Havlůj), 62. Mála</t>
  </si>
  <si>
    <t>0:2, 7:2, 7:3</t>
  </si>
  <si>
    <t>0:2, 2:2, 2:3, 3:3, 4:3pp</t>
  </si>
  <si>
    <t>5. Bakrlík (Přeučil, Havlůj), 6. Kýhos (Mical, Polák), 28. Přeučil (Mála, Bakrlík), 56. Mical (Kýhos)</t>
  </si>
  <si>
    <t>2:0, 2:1, 3:1, 3:2, 4:2, 4:4, 4:5pp</t>
  </si>
  <si>
    <t>0:1p</t>
  </si>
  <si>
    <t>stav 3:1</t>
  </si>
  <si>
    <t>Playoff, ČTF sever</t>
  </si>
  <si>
    <t>Playoff, SF sever</t>
  </si>
  <si>
    <t>Štěpánek (Chabr) – Polák, Urbánek, Žítek (J), Kunrt, Havlůj (C), Kuncl, Fučík – Přeučil (A), Hrdlička, Vašíček, Böhm, Kýhos, Nedrda V. (A), Mical, Bakrlík, Mála, Smolka. Trenér: Machulda.</t>
  </si>
  <si>
    <t>Štěpánek (Chabr) – Polák, Urbánek, Kunrt, Havlůj (C), Kuncl, Fučík – Přeučil T. (A), Hrdlička, Vašíček, Böhm, Kýhos, Nedrda V. (A), Mála, Čmolík, Smolka. Trenér: Machulda.</t>
  </si>
  <si>
    <t>Kovařík, Štěpánek – Polák, Urbánek, Kunrt, Havlůj (C), Kuncl, Fučík, Novák – Přeučil (A), Hrdlička, Vašíček, Böhm, Kýhos, Nedrda V. (A), Bakrlík, Mála, Čmolík, Smolka. Trenér: Machulda.</t>
  </si>
  <si>
    <t>Štěpánek (Kovařík) – Polák, Urbánek, Žítek (J), Havlůj (C), Kuncl, Fučík, Novák – Přeučil (A), Hrdlička, Kýhos, Nedrda V. (A), Mical, Bakrlík, Mála, Čmolík, Smolka. Trenér: Machulda.</t>
  </si>
  <si>
    <t xml:space="preserve">3. Bakrlík (Přeučil), 13. Mála, 20. Mála (Bakrlík, Přeučil), 36. Čmolík (Kýhos, Mical), 42. Mála (Bakrlík, Havlůj), 43. Nedrda (Mical, Kuncl), 44. Kýhos (Mála), 55. Polák (Kýhos, Nedrda) </t>
  </si>
  <si>
    <t>41. Smolka (Kýhos)</t>
  </si>
  <si>
    <t>12. Přeučil (Mála, Urbánek), 25. Čmolík (Böhm), 42. Hrdlička, 60. Smolka (Kýhos)</t>
  </si>
  <si>
    <t>11. Nedrda (Přeučil, Urbánek), 15. Kýhos (Smolka), 19. Mála (Bakrlík), 39. Böhm (Nedrda, Hrdlička)</t>
  </si>
  <si>
    <t>0:1, 3:1, 3:2, 4:2, 4:3</t>
  </si>
  <si>
    <t>0:1, 1:1, 1:2, 2:2, 2:3, 4:3</t>
  </si>
  <si>
    <t>0:7, 1:7, 1:9</t>
  </si>
  <si>
    <t>3:0, 3:1, 8:1</t>
  </si>
  <si>
    <t>stav 0:2</t>
  </si>
  <si>
    <t>stav 0:3</t>
  </si>
  <si>
    <t>Štěpánek (25. Kovařík) – Polák, Urbánek, Žítek (J), Kuncl (A), Fučík – Přeučil (A), Hrdlička, Beran (J), Vašíček, Kýhos, Nedrda V. (C), Mical, Mála, Čmolík, Smolka. Trenér: Machulda.</t>
  </si>
  <si>
    <t>Štěpánek (Kovařík) – Polák, Urbánek, Kunrt, Havlůj (C), Kuncl, Fučík – Přeučil (A), Beran (J), Vašíček, Böhm, Kýhos, Nedrda (A), Mical, Bakrlík, Mála, Čmolík, Smolka. Trenér: Machulda.</t>
  </si>
  <si>
    <t>Kovařík, Štěpánek – Polák, Urbánek, Havlůj (C), Kuncl, Fučík – Přeučil (A), Hrdlička, Vašíček, Böhm, Kýhos, Nedrda V. (A), Mical, Bakrlík, Mála, Smolka. Trenér: Machulda.</t>
  </si>
  <si>
    <t>47. Havlůj (Kuncl, Mála)</t>
  </si>
  <si>
    <t>3. Smolka (Fučík, Kuncl), 11. Čmolík (Fučík, Kuncl), 18. Smolka (Polák)</t>
  </si>
  <si>
    <t>31. Přeučil (Žítek, Mála), 35. Mical (Polák), 37. Smolka (Kýhos, Mical), 39. Smolka (Mical, Kýhos), 47. Fučík (Přeučil, Mála)</t>
  </si>
  <si>
    <t>0:5, 2:5, 2:6, 3:6, 3:7, 5:7, 5:9</t>
  </si>
  <si>
    <t>1:0, 1:1, 3:1, 3:3, 3:4sn</t>
  </si>
  <si>
    <t>9:0, 9:1, 10:1</t>
  </si>
  <si>
    <t>17. Mical (Havlůj, Urbánek), 21. Drašar (Mála, Bakrlík), 27. Bakrlík (Havlůj), 31. Čejka (Kýhos, Nedrda), 34. Mical, 36. Bakrlík (Havlůj, Urbánek), 37. Böhm (Čejka, Nedrda), 38. Bakrlík, 40. Smolka (Mical, Kýhos), 53. Mála (Drašar)</t>
  </si>
  <si>
    <t>Hosnedl (Kovařík) – Havlík, Kuncl, Urbánek, Havlůj (C), Polák, Přibyl – Böhm, Čmolík, Kýhos – Drašar, Mála, Mical – Smolka, Bakrlík, Čejka – Nedrda (A) Trenér: Vladimír Machulda.</t>
  </si>
  <si>
    <t>0:5; 1:5</t>
  </si>
  <si>
    <t>1:0; 1:2; 3:2; 3:4; 4:4; 4:5; 6:5</t>
  </si>
  <si>
    <t>1. Kýhos (Nedrda), 25. Bakrlík (Urbánek, Havlůj)</t>
  </si>
  <si>
    <t>1:0, 1:1, 2:1</t>
  </si>
  <si>
    <t>Hosnedl (Kovařík) – Havlík, Havlůj (C), Urbánek, Přibyl, Kuncl, Polák – Nedrda (A), Bakrlík, Mála, Kýhos, Mical, Řehoř, Čejka, Böhm, Smolka. Trenér: Machulda.</t>
  </si>
  <si>
    <t>BK Nová Paka — MOSTEČTÍ LVI</t>
  </si>
  <si>
    <t>9. František GERHÁT (Martin HANZL, Juraj MIKÚŠ)</t>
  </si>
  <si>
    <t>29.  Jan MYŠÁK (Lukáš KAŠPAR, Richard JARŮŠEK)</t>
  </si>
  <si>
    <t>40.  Pawel ZYGMUNT (Jan ŠČOTKA, Jiří ŘÍHA)</t>
  </si>
  <si>
    <t>52. Lukáš KAŠPAR (Martin HANZL, Richard JARŮŠEK)</t>
  </si>
  <si>
    <t>27. David ŠTICH (Richard JARŮŠEK)</t>
  </si>
  <si>
    <t>37. Ondřej JURČÍK (Adam JÁNOŠÍK, Karel KUBÁT)</t>
  </si>
  <si>
    <t>43. Viktor HÜBL (Jakub PETRUŽÁLEK)</t>
  </si>
  <si>
    <t>51. Lukáš VÁLEK (Karel KUBÁT, Jakub PETRUŽÁLEK)</t>
  </si>
  <si>
    <t xml:space="preserve">Janus (41. Honzík) – Kubát, Jánošík, Ščotka, J. Říha, Šesták, Štich, L. Doudera – F. Lukeš (A), V. Hübl, Jarůšek (A) – Kašpar, M. Hanzl, Myšák – Petružálek, Gerhát, Válek (C) – Trávníček, Helt, Jurčík </t>
  </si>
  <si>
    <t>Honzík (Janus) – Jánošík, Kubát, J. Říha, Ščotka, Štich, L. Doudera – Kašpar (A), V. Hübl (A), F. Lukeš – Jarůšek, M. Hanzl, Petružálek – Jurčík, Helt, Trávníček (C) – Myšák, J. Mikúš, Gerhát</t>
  </si>
  <si>
    <t>Body</t>
  </si>
  <si>
    <t xml:space="preserve">Janus (Honzík) – Kubát, Jánošík, Ščotka, J. Říha, L. Doudera, Štich – F. Lukeš, V. Hübl (A), Kašpar (A) – Petružálek, M. Hanzl, Jarůšek – Trávníček (C), Helt, Jurčík – Gerhát, J. Mikúš, Myšák </t>
  </si>
  <si>
    <t>9. Jakub PETRUŽÁLEK</t>
  </si>
  <si>
    <t>1:0; 1:2; 2:2; 2:3; 3:3; 3:4pp</t>
  </si>
  <si>
    <t>Jel jsem autem s Petrou Š. atd.</t>
  </si>
  <si>
    <t>0:1; 5:1</t>
  </si>
  <si>
    <t xml:space="preserve">Janus (Honzík) – Jánošík (A), Kubát, J. Říha, Ščotka, Štich, L. Doudera – Kašpar (C), V. Hübl (A), F. Lukeš – Jarůšek, M. Hanzl, Petružálek – Jurčík, Zygmunt, Válek – Myšák, J. Mikúš, Gerhát – Helt </t>
  </si>
  <si>
    <t xml:space="preserve">Janus (Honzík) – Kubát, Jánošík, Ščotka, J. Říha, L. Doudera, Štich – F. Lukeš, V. Hübl, Kašpar – Jarůšek, M. Hanzl, Petružálek – Válek, Zygmunt, Jurčík – Gerhát, J. Mikúš, Myšák – Helt </t>
  </si>
  <si>
    <t>0:1; 3:1; 3:3; 4:3; 4:4; 4:5pp</t>
  </si>
  <si>
    <t>51.  Jakub PETRUŽÁLEK (František GERHÁT, Jan MYŠÁK)</t>
  </si>
  <si>
    <t>5.  Martin HANZL (Jakub PETRUŽÁLEK, Lukáš DOUDERA)</t>
  </si>
  <si>
    <t>23. Viktor HÜBL (František LUKEŠ)</t>
  </si>
  <si>
    <t>26. František LUKEŠ (Lukáš KAŠPAR)</t>
  </si>
  <si>
    <t>41. Adam JÁNOŠÍK (František LUKEŠ, Lukáš KAŠPAR)</t>
  </si>
  <si>
    <t>45. Ondřej JURČÍK (Filip HELT, Jiří ŘÍHA)</t>
  </si>
  <si>
    <t>58. Richard JARŮŠEK (PP)</t>
  </si>
  <si>
    <t>0:2; 4:2</t>
  </si>
  <si>
    <t>Hosnedl (Kovařík) – Havlík, Havlůj (C), Urbánek, Přibyl, Kuncl, Fučík, Polák – Mical, Mála, Nedrda (A), Kýhos, Čejka, Řehoř, Dohnal, Böhm, Drašar</t>
  </si>
  <si>
    <t>0:1, 3:1, 3:2</t>
  </si>
  <si>
    <t>8. Nedrda, 19. Böhm (Čejka, Přibyl), 21. Kýhos (Nedrda)</t>
  </si>
  <si>
    <t>TJ HC Jablonec nad Nisou — MOSTEČTÍ LVI</t>
  </si>
  <si>
    <t>Hosnedl, Kovařík – Havlík, Urbánek, Fučík, Kuncl, Havlůj (C), Polák – Čmolík, Přibyl, Mála, Kýhos (A), Čejka, Mical, Drašar, Řehoř, Smolka. Trenér: Machulda.</t>
  </si>
  <si>
    <t>41. Pavel SMOLKA (4)  František MÁLA (3), Vladimír KÝHOS (7), 52. Ivan ŘEHOŘ (7), 55. Jakub ČMOLÍK (4) GV  Michael ČEJKA (8), 60. Pavel SMOLKA (5)  Vladimír KÝHOS (8), Miroslav POLÁK (2)</t>
  </si>
  <si>
    <t>1:0; 1:4; 3:4</t>
  </si>
  <si>
    <t>MOSTEČTÍ LVI — HC Trutnov</t>
  </si>
  <si>
    <t>1. Smolka (Kýhos, Kuncl), 7. Fučík (Čmolík, Bakrlík), 18. Mical (Drašar, Řehoř), 32. Urbánek (Havlůj, Mical), 40. Drašar (Řehoř, Mical), 42. Smolka (Kýhos, Polák), 51. Řehoř (Drašar, Mical), 56. Kýhos (Mical, Urbánek)</t>
  </si>
  <si>
    <t>Hosnedl, Kovařík – Havlík, Kuncl, Urbánek, Havlůj (C), Fučík, Polák – Čmolík, Drašar, Bakrlík, Mical, Kýhos (A), Mála, Řehoř, Smolka, Böhm, Dohnal (J). Trenér: Machulda.</t>
  </si>
  <si>
    <t>1:0, 1:1, 3:1, 3:2, 4:2, 4:3, 5:3, 5:4, 6:4, 6:5, 8:5, 8:6</t>
  </si>
  <si>
    <t>T. Pavelka</t>
  </si>
  <si>
    <t>0:1; 2:1; 2:2; 3:2pp</t>
  </si>
  <si>
    <t>Honzík (Janus) – T. Pavelka, Jánošík (A), Ščotka, Baránek, L. Doudera, Štich – F. Lukeš, V. Hübl (A), Válek – Jarůšek, M. Hanzl, Petružálek – Kašpar (C), Gerhát, Myšák – Trávníček, Helt, Jurčík</t>
  </si>
  <si>
    <t xml:space="preserve">Janus (Honzík) – Jánošík (A), Kubát, Baránek, Ščotka, Štich, L. Doudera – Válek, V. Hübl (A), F. Lukeš – Petružálek, M. Hanzl, Jarůšek – Myšák, Gerhát, Kašpar – Jurčík, Helt, Trávníček (C) – Zygmunt </t>
  </si>
  <si>
    <t xml:space="preserve">Honzík (Janus) – Baránek, Jánošík (A), Ščotka, J. Říha, L. Doudera, Štich, Kubát – F. Lukeš, V. Hübl (A), Kašpar (C) – Jarůšek, M. Hanzl, Petružálek – Trávníček, Válek, Jurčík – Gerhát, J. Mikúš, Myšák </t>
  </si>
  <si>
    <t>24. Richard JARŮŠEK (Jan ŠČOTKA)</t>
  </si>
  <si>
    <t>58. Jakub PETRUŽÁLEK (Viktor HÜBL, František LUKEŠ)</t>
  </si>
  <si>
    <t>23. František GERHÁT (Juraj MIKÚŠ)</t>
  </si>
  <si>
    <t>27. Richard JARŮŠEK (Jan ŠČOTKA, Jiří ŘÍHA)</t>
  </si>
  <si>
    <t>36. Jiří ŘÍHA (František GERHÁT)</t>
  </si>
  <si>
    <t>44. Martin HANZL (David ŠTICH)</t>
  </si>
  <si>
    <t>10. Richard JARŮŠEK</t>
  </si>
  <si>
    <t>14. Jan MYŠÁK (Juraj MIKÚŠ, František GERHÁT)</t>
  </si>
  <si>
    <t>18. Martin HANZL (Jakub PETRUŽÁLEK, Richard JARŮŠEK)</t>
  </si>
  <si>
    <t>41. Viktor HÜBL</t>
  </si>
  <si>
    <t>18. Mála (Kýhos, Polák), 27. Mála (Polák, Kýhos), 28. Mical (Řehoř, Havlůj), 35. Mála (Kýhos, Smolka), 36. Řehoř (Drašar), 40. Řehoř (Mical), 60. Nedrda (Čmolík, Dohnal)</t>
  </si>
  <si>
    <t>Hosnedl (Kovařík) – Havlík, Havlůj (C), Urbánek, Přibyl, Fučík, Polák – Mála, Smolka, Nedrda (A), Kýhos, Böhm, Mical, Řehoř, Čmolík, Dohnal (J), Drašar. Trenér: Machulda.</t>
  </si>
  <si>
    <t>1:0, 1:2, 2:2, 2:3</t>
  </si>
  <si>
    <t xml:space="preserve">16. Kýhos (Polák, Smolka), 31. Böhm (Čmolík) </t>
  </si>
  <si>
    <t>Hosnedl (Kovařík) – Havlík, Havlůj (C), Urbánek, Přibyl, Fučík, Polák – Mála, Smolka, Nedrda (A) – Kýhos, Böhm, Bakrlík – Řehoř, Čmolík, Drašar – Dohnal (J). Trenér: Machulda.</t>
  </si>
  <si>
    <t>0:2; 2:2; 2:3; 3:3; 3:4sn (2:3sn)</t>
  </si>
  <si>
    <t>0:1; 1:1; 1:3</t>
  </si>
  <si>
    <t>Honzík (Janus) – T. Pavelka, Jánošík (A), Ščotka, Baránek, L. Doudera, Štich – F. Lukeš, V. Hübl (A), Válek – Jarůšek, M. Hanzl, Petružálek – Kašpar (C), Gerhát, Myšák – Trávníček, Helt, Jurčík - Zygmunt</t>
  </si>
  <si>
    <t>P. Kudla</t>
  </si>
  <si>
    <t>Hosnedl (Kubík (D)) – Přibyl, Urbánek, Havlík, Havlůj (C), Polák, Žítek (J) – Mála, Svoboda (J), Nedrda (A), Řehoř, Drašar, Dohnal (J), Beran (J), Kýhos, Mical. Trenér: Machulda.</t>
  </si>
  <si>
    <t>8. Havlík (Drašar, Urbánek), 28. Mical (Řehoř)</t>
  </si>
  <si>
    <t>0:1, 1:1, 1:5, 2:5, 2:11</t>
  </si>
  <si>
    <t>4:0; 4:3</t>
  </si>
  <si>
    <t>Honzík (Janus) – T. Pavelka, Jánošík (A), Ščotka, Baránek, L. Doudera, Štich – F. Lukeš, V. Hübl (A), Válek – Jarůšek, Helt, Petružálek – Kašpar (C), Gerhát, Myšák – Trávníček, Zygmunt, Jurčík</t>
  </si>
  <si>
    <t>0:1, 1:1, 1:2, 3:2</t>
  </si>
  <si>
    <t>Hosnedl (Kovařík) – Havlík, Havlůj (C), Urbánek, Přibyl, Polák, Fučík – Kýhos, Mála, Nedrda (A)- Mical, Řehoř, Čmolík – Bakrlík, Böhm, Čmolík – Dohnal. Trenér: Vladimír Machulda</t>
  </si>
  <si>
    <t>Honzík (Janus) – T. Pavelka, Jánošík (A), Ščotka, Baránek, L. Doudera, Štich, Kudla – F. Lukeš, V. Hübl (A), Válek – Jarůšek, Helt, Petružálek – Kašpar (C), Gerhát, Myšák – Trávníček, Zygmunt, Jurčík</t>
  </si>
  <si>
    <t>36. Jan MYŠÁK (Martin HANZL)</t>
  </si>
  <si>
    <t>53.  Karel KUBÁT (František LUKEŠ, Jan MYŠÁK) (PP)</t>
  </si>
  <si>
    <t>59. Martin HANZL (Jakub PETRUŽÁLEK) (SH)</t>
  </si>
  <si>
    <t>31. Drašar (Řehoř, Mical), 41. Mála (Kýhos, Polák), 44. Mála (Polák, Nedrda)</t>
  </si>
  <si>
    <t>S. Mahbod</t>
  </si>
  <si>
    <t>HC Dvůr Králové n/L — MOSTEČTÍ LVI</t>
  </si>
  <si>
    <t>0:4, 1:4, 1:6</t>
  </si>
  <si>
    <t>44. Mála (Drašar, Havlůj)</t>
  </si>
  <si>
    <t>Hosnedl, Kovařík – Havlůj, Urbánek, Přibyl, Fučík, Polák, Kýhos, Mála, Beran, Böhm, Mical, Řehoř, Drašar, Dohnal, Smolka</t>
  </si>
  <si>
    <t>MOSTEČTÍ LVI — BK Nová Paka</t>
  </si>
  <si>
    <t>1:0, 1:1, 3:1, 3:3, 5:3</t>
  </si>
  <si>
    <t>12. Smolka (Mical, Kýhos), 21. Smolka (Mical), 29. Mála (Drašar, Řehoř), 54. Kýhos (Mical, Smolka), 59. Kýhos (Fučík, Drašar)</t>
  </si>
  <si>
    <t>Hosnedl (Kovařík) – Havlůj (C), Urbánek, Přibyl, Fučík, Žítek (J), Polák – Böhm, Mical, Smolka – Kýhos (A), Řehoř, Mála – Beran (J), Drašar, Dohnal (J). Trenér: Machulda.</t>
  </si>
  <si>
    <t>1:0; 1:6</t>
  </si>
  <si>
    <t>1:0; 1:1; 2:1; 2:3; 3:3; 3:4pp</t>
  </si>
  <si>
    <t>27.  Adam JÁNOŠÍK (Lukáš VÁLEK, David ŠTICH)</t>
  </si>
  <si>
    <t>27. Jan MYŠÁK</t>
  </si>
  <si>
    <t>62.  Jakub PETRUŽÁLEK (Martin HANZL)</t>
  </si>
  <si>
    <t>22. František LUKEŠ (Richard JARŮŠEK, Tomáš PAVELKA) (PP)</t>
  </si>
  <si>
    <t>27.  Lukáš KAŠPAR (František GERHÁT)  (SH)</t>
  </si>
  <si>
    <t>53.  Lukáš VÁLEK (Tomáš PAVELKA)</t>
  </si>
  <si>
    <t>45.  Filip HELT (Martin HANZL, Jakub PETRUŽÁLEK)</t>
  </si>
  <si>
    <t>16. Jakub PETRUŽÁLEK (Richard JARŮŠEK)  (SH)</t>
  </si>
  <si>
    <t>19. Richard JARŮŠEK (Viktor HÜBL, Lukáš DOUDERA)  (PP)</t>
  </si>
  <si>
    <t>31. Filip HELT (Richard JARŮŠEK, Jakub PETRUŽÁLEK)</t>
  </si>
  <si>
    <t>32. Richard JARŮŠEK (Jakub PETRUŽÁLEK, Viktor HÜBL)  (PP)</t>
  </si>
  <si>
    <t xml:space="preserve">Janus (Honzík) – Jánošík (A), Kudla, Baránek, Ščotka, Štich, T. Pavelka – Mahbod, V. Hübl (A), F. Lukeš – Petružálek, M. Hanzl, Jarůšek – Myšák, J. Mikúš, Kašpar (C) – Gerhát, Helt, Trávníček – Zygmunt </t>
  </si>
  <si>
    <t xml:space="preserve">Janus (34. Honzík) – Jánošík (A), L. Doudera, Baránek, Ščotka, Štich, T. Pavelka, Kudla – Mahbod, V. Hübl (C), Válek – Petružálek, M. Hanzl, Jarůšek – Myšák, J. Mikúš, F. Lukeš – Jurčík (A), Helt, Trávníček </t>
  </si>
  <si>
    <t>0:7, 1:7, 1:10</t>
  </si>
  <si>
    <t>29. Čmolík (Nedrda)</t>
  </si>
  <si>
    <t>Hosnedl (18. Kubík (D)) – Fučík, Urbánek, Havlůj (C), Havlík, Kuncl, Polák – Nedrda (A), Řehoř, Čmolík – Drašar, Bečvář, Böhm – Kýhos (A), Mála, Čejka. Trenér: Machulda.</t>
  </si>
  <si>
    <t>Hosnedl, Kovařík – Fučík, Havlík, Havlůj (C), Kuncl, Polák, Urbánek – Bakrlík, Bečvář, Böhm, Čmolík, Drašar, Kýhos (A), Mála, Mical, Nedrda (A), Řehoř. Trenér: Machulda.</t>
  </si>
  <si>
    <t>7. Drašar (Řehoř, Mála), 10. Böhm (Nedrda, Čmolík), 15. Mála (Řehoř, Drašar), 29. Bečvář (Kýhos, Mical), 31. Bakrlík (Havlůj), 37. Mical (Bečvář, Bakrlík), 40. Mical (Kýhos), 47. Drašar (Mála), 51. Nedrda (Čmolík), 52. Mical (Kýhos)</t>
  </si>
  <si>
    <t>6:0, 6:1, 10:1</t>
  </si>
  <si>
    <t>0:4; 2:4; 2:5</t>
  </si>
  <si>
    <t>0:4; 2:4; 2:6</t>
  </si>
  <si>
    <t xml:space="preserve">Honzík (Janus) – Jánošík (A), L. Doudera, Baránek, Ščotka, Štich, T. Pavelka – Mahbod, V. Hübl (A), Válek – Petružálek, M. Hanzl, Jarůšek – Myšák, J. Mikúš, F. Lukeš – Jurčík, Helt, Kašpar (C) – Zygmunt </t>
  </si>
  <si>
    <t xml:space="preserve">Honzík (Janus) – Jánošík (A), L. Doudera, Baránek, Ščotka, Kudla, T. Pavelka – Mahbod, V. Hübl (A), F. Lukeš – Petružálek, M. Hanzl, Jarůšek – Myšák, J. Mikúš, Kašpar (C) – Válek, Gerhát, Trávníček – Zygmunt </t>
  </si>
  <si>
    <t>1:0; 1:1; 2:1</t>
  </si>
  <si>
    <t>Janus (Honzík) – Jánošík (A), L. Doudera, Kudla, Ščotka, Baránek, T. Pavelka – Petružálek, V. Hübl (A), F. Lukeš – Mahbod, M. Hanzl, Jarůšek – Myšák, Helt, Zygmunt – Kašpar (C), J. Mikúš, Trávníček – Jurčík</t>
  </si>
  <si>
    <t>Jeli jsme s Katou. Hotel V Ráji.</t>
  </si>
  <si>
    <t>S Pavlem a Michalem (Silvestr v Praze).</t>
  </si>
  <si>
    <t>Sám, výjezd s fanklubem.</t>
  </si>
  <si>
    <t>Výjezd s fanklubem, i s Katkou.</t>
  </si>
  <si>
    <t>0:1; 2:1; 2:2; 6:2</t>
  </si>
  <si>
    <t>Šlégr odstoupil</t>
  </si>
  <si>
    <t>Trenérem Kýhos</t>
  </si>
  <si>
    <t xml:space="preserve">Janus (Honzík) – L. Doudera, Jánošík (A), Ščotka, Kudla, T. Pavelka, Baránek – F. Lukeš, V. Hübl (A), Petružálek – Jarůšek, M. Hanzl, Mahbod – Gerhát, Helt, Myšák – Trávníček, J. Mikúš, Kašpar (C) – Zygmunt </t>
  </si>
  <si>
    <t xml:space="preserve">Janus (Honzík) – Jánošík (A), L. Doudera, Kudla, T. Pavelka, J. Říha, Baránek – Petružálek, V. Hübl (C), F. Lukeš – Mahbod, M. Hanzl (A), Jarůšek – Myšák, Helt, Gerhát – Válek, J. Mikúš, Trávníček </t>
  </si>
  <si>
    <t>1:0, 1:1, 3:1, 3:2, 5:2</t>
  </si>
  <si>
    <t>Hosnedl, Kovařík – Havlůj (C), Fučík, Havlík, Kuncl, Urbánek, Přibyl, Polák – Mical, Čmolík, Kýhos (A), Böhm, Mála, Řehoř, Drašar, Bečvář, Smolka. Trenér: Machulda.</t>
  </si>
  <si>
    <t xml:space="preserve">12. Bečvář (Böhm, Čmolík), 34. Smolka (Mical, Kýhos), 36. Čmolík (Havlík, Böhm), 48. Fučík (Drašar, Mála), 60. Přibyl (Böhm, Kuncl) </t>
  </si>
  <si>
    <t>5. Smolka (Mical, Bakrlík), 16. Drašar (Bečvář, Havlík), 19. Havlík (Bečvář), 20. Polák (Dohnal, Čmolík), 29. Bečvář (Řehoř), 31. Smolka (Kýhos), 37. Fučík (Řehoř)</t>
  </si>
  <si>
    <t>Hosnedl, Kovařík – Kuncl, Havlík, Havlůj (C), Fučík, Bakrlík, Polák – Smolka, Mical, Kýhos (A), Řehoř, Čmolík, Bečvář, Drašar, Böhm, Dohnal (J). Trenér: Machulda.</t>
  </si>
  <si>
    <t>1:0, 1:2, 4:2, 4:3, 7:3, 7:6</t>
  </si>
  <si>
    <t>Š. Zajíček</t>
  </si>
  <si>
    <t>1:0; 1:4; 6:4</t>
  </si>
  <si>
    <t xml:space="preserve">Janus (41. Zajíček) – L. Doudera, Jánošík (A), T. Pavelka, Kudla, Baránek, J. Říha, Kubát – F. Lukeš, V. Hübl (C), Petružálek – Jarůšek, M. Hanzl (A), Mahbod – Gerhát, Helt, Myšák – Trávníček, J. Mikúš, Válek </t>
  </si>
  <si>
    <t xml:space="preserve">Janus (Petrásek) – L. Doudera, Jánošík (A), T. Pavelka, Kudla, Kubát, J. Říha, Baránek – F. Lukeš, V. Hübl (C), Petružálek – Jarůšek, M. Hanzl (A), Mahbod – Kašpar, J. Mikúš, Myšák – Trávníček, Helt, Válek </t>
  </si>
  <si>
    <t>0:2; 1:2; 1:3</t>
  </si>
  <si>
    <t xml:space="preserve">Janus (Zajíček) – Jánošík (A), L. Doudera, Kudla, T. Pavelka, J. Říha, Kubát, Baránek – Petružálek, V. Hübl (C), F. Lukeš – Mahbod, M. Hanzl (A), Jarůšek – Myšák, J. Mikúš, Kašpar – Válek, Helt, Trávníček </t>
  </si>
  <si>
    <t>E. Hedberg</t>
  </si>
  <si>
    <t xml:space="preserve">Janus (Honzík) – Jánošík (A), L. Doudera, Kudla, T. Pavelka, J. Říha, Baránek, Kubát – Petružálek, V. Hübl (C), F. Lukeš – Mahbod, M. Hanzl (A), Jarůšek – Kašpar, J. Mikúš, Hedberg – Válek, Helt, Trávníček </t>
  </si>
  <si>
    <t>0:2; 5:2</t>
  </si>
  <si>
    <t>1:0; 1:4; 2:4; 2:6</t>
  </si>
  <si>
    <t>Janus (21. Honzík) – L. Doudera, Jánošík (A), T. Pavelka, Kudla, Baránek, J. Říha, Kubát – F. Lukeš, V. Hübl (C), Petružálek – Jarůšek, M. Hanzl (A), Kašpar – Trávníček, Mahbod, Hedberg – Jurčík, J. Mikúš, Válek.</t>
  </si>
  <si>
    <t>23. Marek BARÁNEK (Richard JARŮŠEK, Martin HANZL)</t>
  </si>
  <si>
    <t>1.  Samson MAHBOD (Viktor HÜBL)</t>
  </si>
  <si>
    <t>10. Richard JARŮŠEK (Jakub PETRUŽÁLEK, Tomáš PAVELKA)</t>
  </si>
  <si>
    <t>40. Viktor HÜBL (Tomáš PAVELKA, Lukáš VÁLEK)</t>
  </si>
  <si>
    <t>45.  Lukáš DOUDERA (Juraj MIKÚŠ, Lukáš KAŠPAR)</t>
  </si>
  <si>
    <t>53. Samson MAHBOD (Jakub PETRUŽÁLEK (10), František LUKEŠ) (PP)</t>
  </si>
  <si>
    <t>40.  František LUKEŠ (Tomáš PAVELKA, Viktor HÜBL) (PP)</t>
  </si>
  <si>
    <t>53. Viktor HÜBL (Michal TRÁVNÍČEK)</t>
  </si>
  <si>
    <t>15.  Tomáš PAVELKA (Samson MAHBOD, Jakub PETRUŽÁLEK) (PP)</t>
  </si>
  <si>
    <t>12. Juraj MIKÚŠ (Adam JÁNOŠÍK, Michal TRÁVNÍČEK)</t>
  </si>
  <si>
    <t>14. Richard JARŮŠEK (Samson MAHBOD)</t>
  </si>
  <si>
    <t>25.  František LUKEŠ (Jakub PETRUŽÁLEK, Viktor HÜBL)</t>
  </si>
  <si>
    <t>33. Tomáš PAVELKA (Samson MAHBOD)</t>
  </si>
  <si>
    <t>36. František GERHÁT</t>
  </si>
  <si>
    <t>46.  Marek BARÁNEK (Michal TRÁVNÍČEK, Lukáš VÁLEK)</t>
  </si>
  <si>
    <t>60.  Juraj MIKÚŠ (Michal TRÁVNÍČEK)</t>
  </si>
  <si>
    <t>14. Kýhos (Havlůj), 19. Řehoř (Drašar, Havlík)</t>
  </si>
  <si>
    <t>Hosnedl, Kubík (D) – Havlůj (C), Fučík, Havlík, Kuncl, Urbánek, Polák, Přibyl – Bečvář, Smolka, Mála, Čmolík, Řehoř, Drašar, Mical, Nedrda (A), Böhm, Kýhos (A). Trenér: Machulda.</t>
  </si>
  <si>
    <t>2:0, 2:2, 2:3pp</t>
  </si>
  <si>
    <t>3. Smolka (Kýhos), 10. Bečvář (Drašar, Bakrlík), 12. Bečvář (Bakrlík, Drašar), 15. Bakrlík (Urbánek, Drašar), 31. Smolka (Mical, Havlůj), 33. Smolka (Havlůj, Šesták), 47. Mical, 54. Bečvář (Bakrlík)</t>
  </si>
  <si>
    <t>Hosnedl, Kovařík – Kuncl, Havlík, Havlůj (C), Fučík, Šesták, Urbánek – Nedrda (A), Mála, Drašar, Mical, Bečvář, Smolka, Böhm, Bakrlík, Kýhos (A). Trenér: Machulda.</t>
  </si>
  <si>
    <t>4:0, 4:1, 6:1, 6:2, 8:2, 8:3</t>
  </si>
  <si>
    <t xml:space="preserve">6. Kýhos (Mála), 15. Bečvář (Drašar, Čejka), 41. Čejka (Kuncl, Böhm), 54. Čmolík (Böhm, Drašar) </t>
  </si>
  <si>
    <t>Zajíček (J) (Hosnedl) – Havlík, Kuncl, Šesták, Havlůj (C), Fučík, Polák, Urbánek – Mical, Drašar, Nedrda (A), Kýhos (A), Mála, Bečvář, Čejka, Böhm, Čmolík. Trenér: Machulda.</t>
  </si>
  <si>
    <t>0:1, 2:1, 2:4, 3:4, 3:5, 4:5, 4:7</t>
  </si>
  <si>
    <t>Hosnedl (Kovařík) – Kuncl, Havlík, Havlůj (C), Fučík, Urbánek, Bakrlík – Nedrda (A), Čmolík, Kýhos (A), Bečvář, Mical, Dohnal (J), Mála, Böhm, Drašar. Trenér: Machulda.</t>
  </si>
  <si>
    <t>1. Mical (Kýhos), 38. Čmolík (Kýhos, Urbánek), 43. Drašar (Havlůj, Bakrlík), 55. Bakrlík (Kuncl, Bečvář), 57. Bakrlík (Mical), 58. Bakrlík (Nedrda)</t>
  </si>
  <si>
    <t>1:0, 1:4, 6:4</t>
  </si>
  <si>
    <t>48. Smolka (Kýhos, Fučík)</t>
  </si>
  <si>
    <t>Hosnedl (Kovařík) – Přibyl, Kuncl, Havlík, Havlůj (C), Fučík, Urbánek – Nedrda (A), Mála, Smolka, Kýhos (A), Bakrlík, Bečvář, Čmolík, Böhm, Drašar. Trenér: Machulda.</t>
  </si>
  <si>
    <t>0:3; 1:3</t>
  </si>
  <si>
    <t>2.  Viktor HÜBL (Jakub PETRUŽÁLEK)</t>
  </si>
  <si>
    <t>41. Martin HANZL (Samson MAHBOD) (SH)</t>
  </si>
  <si>
    <t>44.  Adam JÁNOŠÍK (Michal TRÁVNÍČEK, Filip HELT)</t>
  </si>
  <si>
    <t>48. Adam JÁNOŠÍK (Jakub PETRUŽÁLEK, Viktor HÜBL)</t>
  </si>
  <si>
    <t>56. Viktor HÜBL (Richard JARŮŠEK)</t>
  </si>
  <si>
    <t>57. Richard JARŮŠEK (Jan MYŠÁK)</t>
  </si>
  <si>
    <t>58.  Samson MAHBOD (Martin HANZL, František LUKEŠ) (PP 6na4)</t>
  </si>
  <si>
    <t>47.  Richard JARŮŠEK (Adam JÁNOŠÍK, Lukáš KAŠPAR) (PP)</t>
  </si>
  <si>
    <t>49.  Jakub PETRUŽÁLEK (Lukáš DOUDERA, František LUKEŠ)</t>
  </si>
  <si>
    <t>49. Richard JARŮŠEK (Samson MAHBOD, Martin HANZL)</t>
  </si>
  <si>
    <t>51.  Jan MYŠÁK (Tomáš PAVELKA)</t>
  </si>
  <si>
    <t>3:1sn</t>
  </si>
  <si>
    <t>0:1; 3:1; 3:3; 4:3sn (1:0, 1:1, 2:1sn)</t>
  </si>
  <si>
    <t>Honzík (Janus) – Jánošík (A), Ščotka, Kudla, T. Pavelka, J. Říha, Kubát – Petružálek, V. Hübl (C), F. Lukeš – Mahbod, M. Hanzl (A), Jarůšek – Kašpar, J. Mikúš, Hedberg – Jurčík, Helt, Trávníček</t>
  </si>
  <si>
    <t>8 inkasovaných gólů</t>
  </si>
  <si>
    <t>0:1; 2:1; 2:2; 3:2; 3:4</t>
  </si>
  <si>
    <t>0:1; 2:1; 2:6; 4:6; 4:8</t>
  </si>
  <si>
    <t xml:space="preserve">Honzík (Janus) – Jánošík (A), Ščotka, Kudla, T. Pavelka, J. Říha, Kubát – Petružálek, V. Hübl (C), F. Lukeš – Mahbod, M. Hanzl (A), Jarůšek – Kašpar, J. Mikúš, Hedberg – Jurčík, Válek, Trávníček </t>
  </si>
  <si>
    <t xml:space="preserve">Honzík (Janus) – Ščotka, Jánošík, T. Pavelka, Kudla, Baránek, J. Říha, Kubát – F. Lukeš, V. Hübl, Petružálek – Jarůšek, M. Hanzl, Mahbod – Hedberg, Gerhát, Kašpar – Trávníček, Válek, Jurčík. </t>
  </si>
  <si>
    <t>0:1; 1:1; 1:3; 2:3</t>
  </si>
  <si>
    <t xml:space="preserve">Janus (Honzík) – Jánošík (A), Ščotka, Kudla, T. Pavelka, J. Říha, Baránek, Kubát – Petružálek, V. Hübl (C), F. Lukeš – Mahbod, M. Hanzl (A), Jarůšek – Kašpar, Gerhát, Hedberg – Jurčík, Válek, Trávníček </t>
  </si>
  <si>
    <t>po 7. 1. 20</t>
  </si>
  <si>
    <t>3 a více inkasovaných gólů</t>
  </si>
  <si>
    <t>3 a více vstřelených gólů</t>
  </si>
  <si>
    <t>Hosnedl (Kovařík) – Urbánek, Havlík, Fučík, Šesták, Polák – Čmolík, Bečvář, Mála, Dohnal (J), Drašar, Kýhos (A), Nedrda (A), Mical, Bakrlík. Trenér: Machulda.</t>
  </si>
  <si>
    <t>18. Mical (Mála), 38. Mála (Kýhos, Fučík), 53. Mála (Kýhos)</t>
  </si>
  <si>
    <t>0:2, 1:2, 1:3, 2:3, 2:6, 3:6</t>
  </si>
  <si>
    <t>Hosnedl (Kovařík) – Havlík, Urbánek, Kuncl, Šesták, Havlůj (C), Fučík, Polák – Smolka, Mála, Bečvář, Mical, Kýhos (A), Čmolík, Řehoř, Drašar. Trenér: Machulda.</t>
  </si>
  <si>
    <t>2:0, 2:2, 3:2sn</t>
  </si>
  <si>
    <t>2. Drašar (Bečvář, Fučík), 17. Čmolík (Polák, Mála), rozh. náj. Smolka</t>
  </si>
  <si>
    <t>38. Richard JARŮŠEK</t>
  </si>
  <si>
    <t>44. Viktor HÜBL (Jakub PETRUŽÁLEK)</t>
  </si>
  <si>
    <t>46. Michal TRÁVNÍČEK (Edwin HEDBERG)</t>
  </si>
  <si>
    <t>48.  Viktor HÜBL (Jakub PETRUŽÁLEK, František LUKEŠ) (PP)</t>
  </si>
  <si>
    <t>59. Lukáš KAŠPAR (Martin HANZL, Jiří ŘÍHA) (EN)</t>
  </si>
  <si>
    <t>1. Tomáš PAVELKA (Lukáš KAŠPAR, Adam JÁNOŠÍK)</t>
  </si>
  <si>
    <t>22.  Lukáš KAŠPAR (Michal TRÁVNÍČEK, Tomáš PAVELKA) (PP)</t>
  </si>
  <si>
    <t>30.  Lukáš KAŠPAR (Samson MAHBOD, Tomáš PAVELKA) (PP)</t>
  </si>
  <si>
    <t>40. Tomáš PAVELKA (Jakub PETRUŽÁLEK, František LUKEŠ)</t>
  </si>
  <si>
    <t>42. Richard JARŮŠEK (Tomáš PAVELKA)</t>
  </si>
  <si>
    <t>Rozh. nájezd Lukáš KAŠPAR</t>
  </si>
  <si>
    <t>9.  Patrick KUDLA (Tomáš PAVELKA, Jakub PETRUŽÁLEK)</t>
  </si>
  <si>
    <t>22. František LUKEŠ (Jakub PETRUŽÁLEK, Patrick KUDLA)</t>
  </si>
  <si>
    <t>25. František LUKEŠ (Viktor HÜBL, Tomáš PAVELKA)</t>
  </si>
  <si>
    <t>20.  Jiří ŘÍHA (Marek BARÁNEK, Jakub PETRUŽÁLEK)</t>
  </si>
  <si>
    <t>23. Lukáš KAŠPAR (Richard JARŮŠEK) (SH)</t>
  </si>
  <si>
    <t>52.  Jakub PETRUŽÁLEK (Adam JÁNOŠÍK, Lukáš VÁLEK) (PP)</t>
  </si>
  <si>
    <t>55.  František LUKEŠ (Jakub PETRUŽÁLEK, Martin HANZL) (PP)</t>
  </si>
  <si>
    <t>37. Jan ŠČOTKA (Samson MAHBOD, Lukáš VÁLEK)</t>
  </si>
  <si>
    <t>55. Richard JARŮŠEK (Lukáš KAŠPAR, Tomáš PAVELKA) (PP)</t>
  </si>
  <si>
    <t>2:0; 2:2; 2:3pp</t>
  </si>
  <si>
    <t>0:4, 1:4, 1:5, 2:5, 2:6</t>
  </si>
  <si>
    <t xml:space="preserve">Janus (Honzík) – Jánošík (A), Ščotka, T. Pavelka, Kudla, Baránek, J. Říha – F. Lukeš, V. Hübl (C), Petružálek – Jarůšek, M. Hanzl (A), Mahbod – Hedberg, Gerhát, Kašpar – Trávníček, Zygmunt, Válek </t>
  </si>
  <si>
    <t xml:space="preserve">Janus (Honzík) – L. Doudera, Jánošík (A), Kudla, Kubát, J. Říha, Ščotka, T. Pavelka – Petružálek, V. Hübl (C), F. Lukeš – Mahbod, M. Hanzl (A), Jarůšek – Kašpar, Gerhát, Válek – Helt, Zygmunt, Trávníček </t>
  </si>
  <si>
    <t>Autem s Petrou Š. aj.</t>
  </si>
  <si>
    <t>14. Jiří ŘÍHA (František LUKEŠ, Viktor HÜBL)</t>
  </si>
  <si>
    <t>29.  Richard JARŮŠEK (Samson MAHBOD, Adam JÁNOŠÍK)</t>
  </si>
  <si>
    <t>6:0; 6:2</t>
  </si>
  <si>
    <t>10. Smolka (Kýhos, Kuncl), 15. Řehoř (Mical), 16. Bakrlík (Havlůj), 17. Drašar (Řehoř), 24. Nedrda (Smolka), 38. Mical (Řehoř), 46. Bakrlík (Havlůj, Urbánek), 49. Polák (Smolka, Kuncl)</t>
  </si>
  <si>
    <t>Hosnesdl (Kovařík) – Šesták, Kuncl, Urbánek, Havlůj (C), Fučík, Polák – Smolka, Barklík, Mála, Mical, Kýhos (A), Čmolík, Řehoř, Drašar, Bečvář, Nedrda (A). Trenér: Machulda.</t>
  </si>
  <si>
    <t>0:1; 1:1; 1:2; 2:2; 2:4; 3:4; 3:5</t>
  </si>
  <si>
    <t xml:space="preserve">Janus (41. Honzík) – Jánošík (A), L. Doudera, T. Pavelka, Kudla, Ščotka, J. Říha, Kubát – F. Lukeš, V. Hübl (C), Petružálek – Jarůšek, M. Hanzl (A), Kašpar – Zygmunt, Gerhát, Válek – Trávníček, J. Mikúš, Jurčík </t>
  </si>
  <si>
    <t xml:space="preserve">Honzík (Janus) – J. Říha, Jánošík (A), Kudla, T. Pavelka, Kubát, Ščotka, L. Doudera – Petružálek, V. Hübl (C), F. Lukeš – Kašpar, M. Hanzl (A), Jarůšek – Mahbod, Gerhát, Válek – Jurčík, J. Mikúš, Trávníček </t>
  </si>
  <si>
    <t>M. Moravčík</t>
  </si>
  <si>
    <t>A. Aliu</t>
  </si>
  <si>
    <t>1. Richard JARŮŠEK (Samson MAHBOD, Adam JÁNOŠÍK)</t>
  </si>
  <si>
    <t>48. Richard JARŮŠEK (Martin HANZL)</t>
  </si>
  <si>
    <t>57. Samson MAHBOD (Lukáš KAŠPAR, Martin HANZL)</t>
  </si>
  <si>
    <t>J. Žolobov</t>
  </si>
  <si>
    <t xml:space="preserve">Honzík (Janus) – Moravčík, J. Říha, Štich, Ščotka, T. Pavelka, Baránek, L. Doudera – F. Lukeš, V. Hübl, Petružálek – Jarůšek, M. Hanzl, Mahbod – Válek, Gerhát, Jánský – Trávníček, Jurčík, Zygmunt </t>
  </si>
  <si>
    <t xml:space="preserve">Honzík (Janus) – J. Říha, Moravčík, Ščotka (A), Aliu, Baránek, T. Pavelka – Petružálek, V. Hübl (C), F. Lukeš – Žolobov, M. Hanzl (A), Jarůšek – Stříbrný, Gerhát, Válek – Zygmunt, Jurčík, Trávníček </t>
  </si>
  <si>
    <t>3:0; 3:3; 3:4sn</t>
  </si>
  <si>
    <t>2:0; 2:1; 3:1; 3:2; 4:2; 4:3; 5:3</t>
  </si>
  <si>
    <t xml:space="preserve">Honzík (Janus) – J. Říha, Moravčík, Ščotka (A), Aliu, Kudla, T. Pavelka, Doudera – Petružálek, V. Hübl (C), F. Lukeš – Žolobov, M. Hanzl (A), Jarůšek – Stříbrný, Gerhát, Válek – Zygmunt, Jurčík, Trávníček </t>
  </si>
  <si>
    <t>2:0; 2:1; 5:1</t>
  </si>
  <si>
    <t>Ch. Langkow</t>
  </si>
  <si>
    <t>T. Pospíšil</t>
  </si>
  <si>
    <t>2:0, 2:1, 10:1</t>
  </si>
  <si>
    <t>0:4, 1:4, 1:6, 2:6</t>
  </si>
  <si>
    <t>1:0, 1:2, 2:2, 2:3sn</t>
  </si>
  <si>
    <t>1:0, 1:1, 3:1</t>
  </si>
  <si>
    <t>2:0; 2:1</t>
  </si>
  <si>
    <t>1:0; 1:2; 2:2; 2:3</t>
  </si>
  <si>
    <t xml:space="preserve">Honzík (20. Janus) – J. Říha, Moravčík, Ščotka (A), Aliu, Kudla, Baránek, Štich – Pospíšil, M. Hanzl (A), Jarůšek – Petružálek, V. Hübl (C), F. Lukeš – Helt, Gerhát, Válek – Zygmunt, Jurčík, Trávníček </t>
  </si>
  <si>
    <t xml:space="preserve">Honzík (Janus) – Moravčík, J. Říha, Aliu, Ščotka (A), T. Pavelka, Kudla – M. Hanzl (A), Jarůšek, Langkow – F. Lukeš, V. Hübl (C), Petružálek – Válek, Gerhát, Pospíšil – Trávníček, Jurčík, Zygmunt </t>
  </si>
  <si>
    <t>0:1, 4:1, 4:2</t>
  </si>
  <si>
    <t>S Katkou, vlakem, v hotelu (Hotel v ráji)</t>
  </si>
  <si>
    <t>Hosnedl, Kubík – Polák, urbánek, Šesták, Havlík, Havlůj (C), Kuncl, Fučík – Řehoř, Kýhos (A), Nedrda (A), Mical, Mála, Čmolík, Smolka, Drašar. Trenér: Machulda.</t>
  </si>
  <si>
    <t>31. Čmolík (Šesták, Havlůj), 56. Smolka (Kýhos, Nedrda)</t>
  </si>
  <si>
    <t>12. Mála (Bakrlík, Čmolík), 12. Nedrda, 19. Drašar (Řehoř, Mical), 24. Havlůj (Čmolík), 27. Urbánek (Smolka), 46. Smolka (Nedrda), 50. Havlůj (Kýhos, Nedrda), 52. Čmolík (Mála, Havlík), 55. Smolka (Mála, Bakrlík), 59. Havlůj (Bakrlík, Smolka)</t>
  </si>
  <si>
    <t>Hosnedl, Kovařík – Havlík, Kuncl, Šesták, Havlůj (C), Fučík, Urbánek – Mical, Čmolík, Drašar, Nedrda (A), Mála, Řehoř, Smolka, Kýhos (A), Bakrlík. Trenér: Machulda.</t>
  </si>
  <si>
    <t>Hosnedl (Kovařík) – Kuncl, Havlík, Fučík, Hoffmann (J), Polák, Urbánek – Drašar, Mála, Řehoř, Čmolík, Kýhos (C), Dohnal (J), Nedrda (A), Uher (J), Mical. Trenér: Machulda.</t>
  </si>
  <si>
    <t>23. Čmolík (Dohnal), 54. Kýhos (Kuncl, Nedrda)</t>
  </si>
  <si>
    <t>16. Mical (Čmolík, Šesták), 44. Bakrlík (Havlůj, Urbánek), 50. Kýhos (Urbánek, Havlůj)</t>
  </si>
  <si>
    <t>Hosnedl, Kovařík – Kuncl, Urbánek, Havlík, Fučík, Havlůj (C), Šesták, Polák – Uher (J), Nedrda (A), Mical, Řehoř, Čmolík, Dohnal (J), Kýhos (A), Bakrlík. Trenér: Machulda.</t>
  </si>
  <si>
    <t>15. Havlůj (Kýhos, Urbánek), 28. Mical (Kýhos, Havlůj), 35. Řehoř (Mical), 38. Bakrlík (Polák)</t>
  </si>
  <si>
    <t>Hosnedl, Kopýtko – Šesták, Havlůj (C), Urbánek, Havlík, Fučík, Polák – Mical, Čmolík, Smolka, Kýhos (A), Bakrlík, Řehoř, Kuběna, Dohnal (J), Mála. Trenér: Machulda.</t>
  </si>
  <si>
    <t>Hosnedl, Kovařík – Šesták, Havlůj (C), Urbánek, Havlík, Fučík, Polák – Mical, Čmolík, Nedrda (A), Kýhos (A), Barklík, Řehoř, Smolka, Kuběna, Böhm. Trenér: Machulda.</t>
  </si>
  <si>
    <t>0:3, 1:3, 1:4, 3:4</t>
  </si>
  <si>
    <t>18. Smolka (Nedrda, Urbánek), 25. Řehoř (Mical), 28. Smolka (Urbánek, Havlůj)</t>
  </si>
  <si>
    <t>0:2; 1:2; 1:3; 4:3; 4:4; 4:5pp</t>
  </si>
  <si>
    <t xml:space="preserve">Janus (Honzík) – J. Říha, Moravčík, Kudla, Aliu, Ščotka, Baránek – Mahbod, M. Hanzl, Jarůšek – Pospíšil, V. Hübl, F. Lukeš – Petružálek, Gerhát, Válek – Stříbrný, Jurčík, Trávníček </t>
  </si>
  <si>
    <t xml:space="preserve">Janus (Honzík) – J. Říha, Moravčík, Ščotka (A), Aliu, Kudla, Baránek – Pospíšil, M. Hanzl (A), Jarůšek – Jánský, V. Hübl (C), F. Lukeš – Petružálek, Gerhát, Válek – Stříbrný, Jurčík, Trávníček </t>
  </si>
  <si>
    <t>2:0; 2:2; 2:3sn</t>
  </si>
  <si>
    <t>3:0; 3:2; 5:2</t>
  </si>
  <si>
    <t xml:space="preserve">Janus (Honzík) – J. Říha, Moravčík, Štich, Ščotka (A), Kudla, Baránek, L. Doudera – Mahbod, M. Hanzl (A), Jarůšek – Jánský, V. Hübl (C), Pospíšil – Helt, Gerhát, Válek – Stříbrný, Jurčík, Trávníček </t>
  </si>
  <si>
    <t>Hosnedl (Kopýtko) – Havlík, Havlůj (C), Urbánek, Žítek, Fučík, Polák – Mical, Kýhos (A), Smolka – Bakrlík, Bečvář, Kuběna – Dohnal, Böhm, Čmolík – Uher. Trenér: Machulda.</t>
  </si>
  <si>
    <t>5. Bakrlík (Kuběna), 8. Žítek (Čmolík, Dohnal), 22. Bakrlík (Mical), 57. Polák (Bakrlík, Bečvář)</t>
  </si>
  <si>
    <t>0:1, 2:1, 2:2, 3:2, 3:4, 4:4, 4:5pp</t>
  </si>
  <si>
    <t>11. Bečvář, 15. Bečvář, 34. Urbánek (Nedrda, Mical), 39. Bečvář (Kýhos, Mical), 48. Havlůj (Mical, Nedrda)</t>
  </si>
  <si>
    <t>Hosnedl (39. Kovařík) – Havlík, Havlůj (C), Urbánek, Žítek (J), Fučík, Polák – Kuběna, Mical, Drašar, Böhm, Kýhos (A), Bečvář, Čmolík, Dohnal, Nedrda (A). Trenér: Machulda.</t>
  </si>
  <si>
    <t>0:2, 1:2, 1:3, 2:3, 2:5, 3:5, 3:7, 5:7</t>
  </si>
  <si>
    <t>Hosnedl (Kopýtko) – Havlík, Havlůj (C), Urbánek, Žítek, Fučík, Polák – Kuběna, Drašar, Smolka, Böhm (A), Mical, Bečvář, Bakrlík, Dohnal, Mála</t>
  </si>
  <si>
    <t>5. Smolka (Bakrlík, Urbánek), 27. Bečvář (Kuběna), 44. Bečvář (Kuběna, Urbánek)</t>
  </si>
  <si>
    <t>1:0, 1:1, 3:1, 3:2</t>
  </si>
  <si>
    <t xml:space="preserve">Janus (Honzík) – J. Říha, Moravčík, Štich (A), Ščotka (A), Kudla, Baránek – Mahbod, M. Hanzl (A), Jarůšek – Jánský, V. Hübl (C), F. Lukeš – Pospíšil, Gerhát, Válek – Helt, Jurčík, Trávníček </t>
  </si>
  <si>
    <t>Janus – J. Říha, Moravčík, Štich, Ščotka (A), Kudla, Baránek – Mahbod, M. Hanzl (A), Jarůšek – Pospíšil, V. Hübl (C), F. Lukeš – Hedberg, Gerhát, Válek – Helt, Jurčík, Trávníček.</t>
  </si>
  <si>
    <t>0:2; 1:2; 1:3; 2:3; 2:4; 4:4; 5:4sn</t>
  </si>
  <si>
    <t>3:0sn</t>
  </si>
  <si>
    <t>1:0; 1:2; 4:2; 4:4; 6:4</t>
  </si>
  <si>
    <t>odešel Kašpar atd.</t>
  </si>
  <si>
    <t xml:space="preserve">Janus (Honzík) – J. Říha, L. Doudera, Štich, Ščotka (A), Kudla, Baránek – Mahbod, Gerhát, Jarůšek – Pospíšil, V. Hübl (C), F. Lukeš – Válek, Jurčík, Trávníček (A) – Jánský, Helt, Stříbrný </t>
  </si>
  <si>
    <t>2:0; 2:3</t>
  </si>
  <si>
    <t>14. Juraj MIKÚŠ (Lukáš KAŠPAR, Tomáš PAVELKA)  (PP)</t>
  </si>
  <si>
    <t>31. Lukáš KAŠPAR (Jan ŠČOTKA, František LUKEŠ)</t>
  </si>
  <si>
    <t>54. Adam JÁNOŠÍK (Karel KUBÁT, Ondřej JURČÍK)</t>
  </si>
  <si>
    <t>19. Jakub PETRUŽÁLEK (Jan ŠČOTKA, František LUKEŠ)</t>
  </si>
  <si>
    <t>15. Ondřej JURČÍK (Michal TRÁVNÍČEK) (SH)</t>
  </si>
  <si>
    <t>16. Samson MAHBOD (Martin HANZL) (SH)</t>
  </si>
  <si>
    <t>34. František GERHÁT (Jakub PETRUŽÁLEK, Michal MORAVČÍK) (PP)</t>
  </si>
  <si>
    <t>42. František LUKEŠ (Martin HANZL, Jakub PETRUŽÁLEK)</t>
  </si>
  <si>
    <t>52. František LUKEŠ (Viktor HÜBL, Jiří ŘÍHA)</t>
  </si>
  <si>
    <t>8. Lukáš VÁLEK (Akim ALIU, Pawel ZYGMUNT)</t>
  </si>
  <si>
    <t>13. Tomáš PAVELKA (František LUKEŠ)</t>
  </si>
  <si>
    <t>27. Jan ŠČOTKA (Josef STŘÍBRNÝ, Lukáš VÁLEK)</t>
  </si>
  <si>
    <t>18. František GERHÁT (Richard JARŮŠEK, Jiří ŘÍHA)</t>
  </si>
  <si>
    <t>22. Viktor HÜBL (Jan ŠČOTKA, Lukáš DOUDERA)</t>
  </si>
  <si>
    <t>35. Akim ALIU (Martin HANZL, Tomáš PAVELKA) (PP)</t>
  </si>
  <si>
    <t>36. Viktor HÜBL (Pawel ZYGMUNT, Jiří ŘÍHA)</t>
  </si>
  <si>
    <t>57. Jan ŠČOTKA (Michal TRÁVNÍČEK, Pawel ZYGMUNT)</t>
  </si>
  <si>
    <t>8. Viktor HÜBL (František LUKEŠ)</t>
  </si>
  <si>
    <t xml:space="preserve">35.  Jan ŠČOTKA (Lukáš VÁLEK)  </t>
  </si>
  <si>
    <t>1. Martin HANZL (Richard JARŮŠEK, Tomáš POSPÍŠIL)</t>
  </si>
  <si>
    <t>15. Richard JARŮŠEK (Tomáš POSPÍŠIL, Martin HANZL)</t>
  </si>
  <si>
    <t>20. Jakub PETRUŽÁLEK (Michal MORAVČÍK, Viktor HÜBL) (PP)</t>
  </si>
  <si>
    <t>40. Tomáš POSPÍŠIL (Martin HANZL, Richard JARŮŠEK)</t>
  </si>
  <si>
    <t>50. Tomáš POSPÍŠIL (Richard JARŮŠEK, Martin HANZL)</t>
  </si>
  <si>
    <t>52. František LUKEŠ (Viktor HÜBL, Akim ALIU)</t>
  </si>
  <si>
    <t>33. Samson MAHBOD (Martin HANZL, Richard JARŮŠEK)</t>
  </si>
  <si>
    <t>37. Michal TRÁVNÍČEK (Ondřej JURČÍK, Jaroslav JANUS) (SH)</t>
  </si>
  <si>
    <t>15. Tomáš POSPÍŠIL (Patrick KUDLA)</t>
  </si>
  <si>
    <t>18. Samson MAHBOD (Marek BARÁNEK) (PP)</t>
  </si>
  <si>
    <t xml:space="preserve">22. Marek BARÁNEK (Patrick KUDLA, František GERHÁT)  </t>
  </si>
  <si>
    <t>37. Viktor HÜBL (Tomáš POSPÍŠIL)</t>
  </si>
  <si>
    <t>54.  Patrick KUDLA (Michal TRÁVNÍČEK)</t>
  </si>
  <si>
    <t>9. Richard JARŮŠEK (Filip HELT, Martin HANZL)</t>
  </si>
  <si>
    <t>40. Tomáš POSPÍŠIL (František LUKEŠ, Michal MORAVČÍK)</t>
  </si>
  <si>
    <t>43. Samson MAHBOD (Martin HANZL, Jan ŠČOTKA)  (PP)</t>
  </si>
  <si>
    <t>45. Richard JARŮŠEK (Samson MAHBOD, Martin HANZL)</t>
  </si>
  <si>
    <t>Rozh. nájezd Viktor HÜBL</t>
  </si>
  <si>
    <t>2. Tomáš POSPÍŠIL (František LUKEŠ)</t>
  </si>
  <si>
    <t>32. František GERHÁT (Martin HANZL)</t>
  </si>
  <si>
    <t>32. Michal TRÁVNÍČEK (Ondřej JURČÍK, Lukáš VÁLEK)</t>
  </si>
  <si>
    <t>47. Viktor HÜBL (František LUKEŠ, Patrick KUDLA)</t>
  </si>
  <si>
    <t>53. Viktor HÜBL (Tomáš POSPÍŠIL, František GERHÁT)  (PP 4na3)</t>
  </si>
  <si>
    <t>56. Patrick KUDLA (Viktor HÜBL, Samson MAHBOD)</t>
  </si>
  <si>
    <t>9. Tomáš POSPÍŠIL (František LUKEŠ, Viktor HÜBL)</t>
  </si>
  <si>
    <t>23. František LUKEŠ (Tomáš POSPÍŠIL, Viktor HÜBL) (PP)</t>
  </si>
  <si>
    <t>4:0, 4:2, 6:2, 6:3</t>
  </si>
  <si>
    <t>2. Drašar (Kuběna), 6. Bakrlík (Mála, Polák), 10. Kýhos (Mical, Smolka), 16. Smolka (Havlůj, Urbánek), 38. Mical (Kýhos, Havlůj), 59. Mical (Smolka)</t>
  </si>
  <si>
    <t>Hosnedl (Kopýtko) – Šesták, Havlůj (C), Urbánek, Havlík, Fučík, Polák – Kýhos (A), Barklík, Smolka, Kuběna, Mical, Bečvář, Mála, Böhm (A), Drašar</t>
  </si>
  <si>
    <t>Do 38. kola (do 22. 1. 2020)</t>
  </si>
  <si>
    <t>Do 13. kola (do 26. 10. 2019)</t>
  </si>
  <si>
    <t>Do 26. kola (do 8. 12. 2019)</t>
  </si>
  <si>
    <t>Po 50. kole (do 1. 3. 2020)</t>
  </si>
  <si>
    <t>Od 14. kola do 26. kola (27. 10. 2019 - 8. 12. 2019)</t>
  </si>
  <si>
    <t>Od 27. kola do 38. kola (9. 12. 2019 - 22. 1. 2020)</t>
  </si>
  <si>
    <t>Od 39. kola do 50. kola (23. 1. 2020 - 1. 3. 2020)</t>
  </si>
  <si>
    <t xml:space="preserve">Janus (Honzík) – Moravčík, J. Říha, Ščotka (A), Štich, Kudla, L. Doudera – Jarůšek, Mahbod, Hedberg – F. Lukeš, V. Hübl (C), Pospíšil – Trávníček (A), Jurčík, Helt – Válek, Gerhát, Jánský. </t>
  </si>
  <si>
    <t xml:space="preserve">Janus (Honzík) – J. Říha, Moravčík, Štich, Ščotka (A), Kudla, L. Doudera – Hedberg, Mahbod, Jarůšek – Pospíšil, V. Hübl (C), F. Lukeš – Jánský, Gerhát, Válek – Helt, Jurčík, Trávníček (A) </t>
  </si>
  <si>
    <t>1:0; 1:3; 3:3; 3:4pp</t>
  </si>
  <si>
    <t>7. Peter JÁNSKÝ (Lukáš VÁLEK)</t>
  </si>
  <si>
    <t>52. Patrick KUDLA (Ondřej JURČÍK, Peter JÁNSKÝ)</t>
  </si>
  <si>
    <t>54. Peter JÁNSKÝ (Michal MORAVČÍK) (PP)</t>
  </si>
  <si>
    <t>65:100</t>
  </si>
  <si>
    <t>14. Lukáš VÁLEK (František GERHÁT, Tomáš POSPÍŠIL)</t>
  </si>
  <si>
    <t>1:0; 1:3</t>
  </si>
  <si>
    <t>Janus (Honzík) – J. Říha, Štich, Ščotka (A), Kudla, L. Doudera, Březák – Hedberg, Mahbod, Jarůšek – Pospíšil, V. Hübl (C), F. Lukeš – Jánský, Gerhát, Válek – Helt, Jurčík, Trávníček (A) - Stříbrný</t>
  </si>
  <si>
    <t>88:73</t>
  </si>
  <si>
    <t xml:space="preserve">Janus (Honzík) – J. Říha, Moravčík, Ščotka (A), Štich, Kudla, Baránek, L. Doudera – Petružálek, Mahbod, Jarůšek – Pospíšil, V. Hübl (C), F. Lukeš – Válek, Gerhát, Hedberg – Helt, Jurčík, Trávníček (A). </t>
  </si>
  <si>
    <t>1:0; 1:1; 2:1; 2:2; 6:2</t>
  </si>
  <si>
    <t>2020/2021</t>
  </si>
  <si>
    <t>zaveden přímý sestup</t>
  </si>
  <si>
    <t>zavedena baráž 2+2</t>
  </si>
  <si>
    <t>prohry pp, prohry sn, počet remíz</t>
  </si>
  <si>
    <t>přepočítané body (výhra 3 b)</t>
  </si>
  <si>
    <t>přepočítané body (výhra 2 b)</t>
  </si>
  <si>
    <t>výhry po 60 minutách zápasu</t>
  </si>
  <si>
    <t>skutečné body / zápasy</t>
  </si>
  <si>
    <t>Richard Jarůšek</t>
  </si>
  <si>
    <t>Samson Mahbod</t>
  </si>
  <si>
    <t>Tomáš Pavelka</t>
  </si>
  <si>
    <t>Tomáš Pospíšil</t>
  </si>
  <si>
    <t>Adam Jánošík</t>
  </si>
  <si>
    <t>Jiří Říha</t>
  </si>
  <si>
    <t>Patrick Kudla</t>
  </si>
  <si>
    <t>Michal Moravčík</t>
  </si>
  <si>
    <t>Pawel Zygmunt</t>
  </si>
  <si>
    <t>Akim Aliu</t>
  </si>
  <si>
    <t>David Štich</t>
  </si>
  <si>
    <t>Edwin Hedberg</t>
  </si>
  <si>
    <t>Chris Langkow</t>
  </si>
  <si>
    <t>Yurii Zholobov</t>
  </si>
  <si>
    <t>Vítěžné góly</t>
  </si>
  <si>
    <t>Přesilovkové góly</t>
  </si>
  <si>
    <t>góly v oslabení</t>
  </si>
  <si>
    <t>POZICE</t>
  </si>
  <si>
    <t>O/Ú</t>
  </si>
  <si>
    <t>Střel / zápasů</t>
  </si>
  <si>
    <t>v roce 2020 se kvůli koronaviru neodehrálo playoff!</t>
  </si>
  <si>
    <t>bez playoff</t>
  </si>
  <si>
    <t>stav 3:0</t>
  </si>
  <si>
    <t>0:1, 7:1, 7:4, 8:4</t>
  </si>
  <si>
    <t>ZBYTEK PLAYOFF SE NEODEHRÁL KVŮLI KORONAVIRU!!!</t>
  </si>
  <si>
    <t>3:0, 3:2, 4:2, 4:3</t>
  </si>
  <si>
    <t>Hosnedl, Kovařík – Šesták, Havlůj (C), Urbánek, Havlík, Fučík, Polák – Nedrda (A), Bakrlík, Smolka, Kýhos (A), Mical, Bečvář, Mála, Kuběna, Drašar. Trenér: Machulda.</t>
  </si>
  <si>
    <t>4. Bečvář (Kuběna, Drašar), 21. Mical (Smolka, Kýhos), 33. Mála (Nedrda, Kýhos), 57. Smolka (Urbánek, Kýhos)</t>
  </si>
  <si>
    <t>0:1; 3:1</t>
  </si>
  <si>
    <t>17. Šesták (Kubina, Drašar), 23. Nedrda (Mála, Böhm), 59. Mical (Havlůj)</t>
  </si>
  <si>
    <t>Hosnedl (Kovařík) – Šesták, Havlůj (C), Urbánek, Havlík, Fučík, Polák – Kuběna, Mical, Smolka, Böhm, Nedrda (A), Bečvář, Mála, Dohnal, Drašar</t>
  </si>
  <si>
    <t>32. Havlík (Bečvář), 40. Bečvář (Kuběna, Böhm), 46. Mical (Kýhos, Urbánek)</t>
  </si>
  <si>
    <t>Hosnedl, Kovařík – Šesták, Havlůj (C), Urbánek, Havlík, Fučík, Polák – Nedrda (A), Bakrlík, Kýhos (A), Mical, Bečvář, Mála, Kuběna, Drašar, Dohnal, Böhm. Trenér: Machulda.</t>
  </si>
  <si>
    <t>2. Drašar (Bečvár, Kuběna), 3. Bakrlík (Šesták, Mála), 10. Havlůj (Smolka, Kýhos), 13. Mical (Smolka), 27. Smolka (TS), 60. Havlůj (Mical)</t>
  </si>
  <si>
    <t>Hosnedl (Kopýtko) – Šesták, Havlůj (C), Urbánek, Havlík, Fučík, Polák – Bakrlík, Smolka, Nedrda (A), Kýhos (A), Kuběna, Mical, Bečvář, Mála, Böhm, Drašar.</t>
  </si>
  <si>
    <t xml:space="preserve">9. Mical (Smolka), 15. Drašar (Bečvář, Kuběna), 22. Mála (Šesták, Bakrlík), 25. Böhm (Bakrlík, Mála), 35. Bakrlík (Mála), 40. Mical (Urbánek, Smolka), 50. Dohnal (Mical, Havlík), 59. Mála (Bakrlík) </t>
  </si>
  <si>
    <t>Hosnedl (Kopýtko) – Šesták, Havlůj (C), Urbánek, Havlík, Fučík, Polák – Mical, Kýhos (A), Smolka – Mála, Bakrlík, Böhm – Drašar, Bečvář, Kuběna – Beran (J), Dohnal (J). Trenér: Machulda.</t>
  </si>
  <si>
    <t>15. Michal MORAVČÍK (Tomáš POSPÍŠIL, Patrick KUDLA)</t>
  </si>
  <si>
    <t>26. Viktor HÜBL (Tomáš POSPÍŠIL)</t>
  </si>
  <si>
    <t>40. Viktor HÜBL (Tomáš POSPÍŠIL, Michal MORAVČÍK)  (PP)</t>
  </si>
  <si>
    <t>46. Tomáš POSPÍŠIL (František LUKEŠ)</t>
  </si>
  <si>
    <t>53. Tomáš POSPÍŠIL (František GERHÁT, Viktor HÜBL) (PP)</t>
  </si>
  <si>
    <t>55. František LUKEŠ (Viktor HÜBL)</t>
  </si>
  <si>
    <t>27. Michal MORAVČÍK (Viktor HÜBL)</t>
  </si>
  <si>
    <t>28. Richard JARŮŠEK (Edwin HEDBERG, Samson MAHBOD)</t>
  </si>
  <si>
    <t>52. Samson MAHBOD (Richard JARŮŠEK, Jiří ŘÍHA)</t>
  </si>
  <si>
    <t>54. Richard JARŮŠEK (Edwin HEDBERG, Samson MAHBOD)</t>
  </si>
  <si>
    <t>Brankáři</t>
  </si>
  <si>
    <t>D. Godla</t>
  </si>
  <si>
    <t>Na konci základní části</t>
  </si>
  <si>
    <t>Statistiky zápasů po jednotlivých částech ligy - sezóna 2019/2020</t>
  </si>
  <si>
    <t>Statistiky zápasů po jednotlivých částech ligy - sezóna 2020/2021</t>
  </si>
  <si>
    <t>Věkový průměr</t>
  </si>
  <si>
    <t>Útočníci, kteří zůstali</t>
  </si>
  <si>
    <t>kdyby odehráli všichni 52 záp.</t>
  </si>
  <si>
    <t>33. Viktor HÜBL (Jan ŠČOTKA, Michal TRÁVNÍČEK)</t>
  </si>
  <si>
    <t>P. Zdráhal</t>
  </si>
  <si>
    <t>M. Látal</t>
  </si>
  <si>
    <t>M. Hořava</t>
  </si>
  <si>
    <t>60. Jan ŠČOTKA (Jan MYŠÁK, Juraj MIKÚŠ) (PP)</t>
  </si>
  <si>
    <t>D. Jouza</t>
  </si>
  <si>
    <t>sezóna 2020/2021</t>
  </si>
  <si>
    <t>Poznámka:</t>
  </si>
  <si>
    <t>sezóna 2019/2020 nebyla dokončená kvůli koronaviru, byla dokončená základní část, playoff neproběhlo</t>
  </si>
  <si>
    <t xml:space="preserve">  1. v z.č. (ne mistr)</t>
  </si>
  <si>
    <t>20/21 ..</t>
  </si>
  <si>
    <t>U. J. Balinskis</t>
  </si>
  <si>
    <t>A. Irving</t>
  </si>
  <si>
    <t>Příprava na sezónu 2019/2020 - generali cup</t>
  </si>
  <si>
    <t>D. Kolář</t>
  </si>
  <si>
    <t>Pavel Francouz</t>
  </si>
  <si>
    <t>Juraj Majdan</t>
  </si>
  <si>
    <t>Lukáš Horák</t>
  </si>
  <si>
    <t>Radek Duda</t>
  </si>
  <si>
    <t>Petr Chaloupka</t>
  </si>
  <si>
    <t>Pavel Písařík</t>
  </si>
  <si>
    <t>Jaroslav Hübl</t>
  </si>
  <si>
    <t>Kamil Piroš</t>
  </si>
  <si>
    <t>Filip Pavlík</t>
  </si>
  <si>
    <t>Rostislav Martynek</t>
  </si>
  <si>
    <t>Robin Hanzl</t>
  </si>
  <si>
    <t>Kristian Reichel</t>
  </si>
  <si>
    <t>Konec kariéry</t>
  </si>
  <si>
    <t>Kam odešel z Litvínova</t>
  </si>
  <si>
    <t>ELH (Pardubice)</t>
  </si>
  <si>
    <t>ELH (Mladá Boleslav)</t>
  </si>
  <si>
    <t>Slovensko 1 (Nitra)</t>
  </si>
  <si>
    <t>Chance liga (Kadaň)</t>
  </si>
  <si>
    <t>Chance liga (Litoměřice)</t>
  </si>
  <si>
    <t>Nehraje</t>
  </si>
  <si>
    <t>Německo 1</t>
  </si>
  <si>
    <t>Itálie 1</t>
  </si>
  <si>
    <t>Norsko 1</t>
  </si>
  <si>
    <t>Německo 5</t>
  </si>
  <si>
    <t>Chance liga (Kladno)</t>
  </si>
  <si>
    <t>Chance liga (Slávie)</t>
  </si>
  <si>
    <t>Slovensko 1 (Zvolen)</t>
  </si>
  <si>
    <t>Slovensko 1 (Poprad)</t>
  </si>
  <si>
    <t>Slovensko 1 (B. B.)</t>
  </si>
  <si>
    <t>Francie 2</t>
  </si>
  <si>
    <t>2. liga ČR (Hodonín)</t>
  </si>
  <si>
    <t>Krajská liga (Chomutov)</t>
  </si>
  <si>
    <t>Německo 6</t>
  </si>
  <si>
    <t>Polsko 1</t>
  </si>
  <si>
    <t>Chance liga (ČB)</t>
  </si>
  <si>
    <t>ELH (Zlín)</t>
  </si>
  <si>
    <t>Chance liga (Ústí, Kadaň)</t>
  </si>
  <si>
    <t>ELH (Liberec)</t>
  </si>
  <si>
    <t>Slovensko 1</t>
  </si>
  <si>
    <t>ELH (ČB)</t>
  </si>
  <si>
    <t>Chance liga (Kadaň) - střídavý start v LIT</t>
  </si>
  <si>
    <t>ELH (Třinec) - střídavý start v LIT</t>
  </si>
  <si>
    <t>Chance liga (Litoměřice) - střídavý start v LIT</t>
  </si>
  <si>
    <t>Chance liga (Vsetín)</t>
  </si>
  <si>
    <t>Chance liga - střídavý start z Litoměřic</t>
  </si>
  <si>
    <t>Chance liga (Poruba)</t>
  </si>
  <si>
    <t>Anglie 1</t>
  </si>
  <si>
    <t>KHL</t>
  </si>
  <si>
    <t>Chance liga (Sokolov)</t>
  </si>
  <si>
    <t>EBEL</t>
  </si>
  <si>
    <t>Francie 1</t>
  </si>
  <si>
    <t>Chance liga (Přerov)</t>
  </si>
  <si>
    <t>Německo 3</t>
  </si>
  <si>
    <t>Německo 2</t>
  </si>
  <si>
    <t>2. liga ČR (Most)</t>
  </si>
  <si>
    <t>ELH (Plzeň)</t>
  </si>
  <si>
    <t>ELH (Sparta)</t>
  </si>
  <si>
    <t>Chance liga (Ústí)</t>
  </si>
  <si>
    <t>2. liga ČR (Bílina)</t>
  </si>
  <si>
    <t>neznámo</t>
  </si>
  <si>
    <t>ELH (Karlovy Vary)</t>
  </si>
  <si>
    <t>Chance liga (Jihlava)</t>
  </si>
  <si>
    <t>Švédsko 1</t>
  </si>
  <si>
    <t>Švýcarsko 2</t>
  </si>
  <si>
    <t>Finsko</t>
  </si>
  <si>
    <t>Švédsko 2</t>
  </si>
  <si>
    <t>Slovensko 1 (Košice)</t>
  </si>
  <si>
    <t>NHL (Colorado)</t>
  </si>
  <si>
    <t>ELH (Hr. Králové)</t>
  </si>
  <si>
    <t>J. Šrámek</t>
  </si>
  <si>
    <t>KHL (Spartak Moskva)</t>
  </si>
  <si>
    <t>KHL (Nižněkamsk)</t>
  </si>
  <si>
    <t>Chance liga (Frýdek-Místek)</t>
  </si>
  <si>
    <t>Nehrál</t>
  </si>
  <si>
    <t>KHL (Čeljabinsk)</t>
  </si>
  <si>
    <t>A. Chlapík</t>
  </si>
  <si>
    <t>Chance liga (Most)</t>
  </si>
  <si>
    <t>Chance liga (Jihlava) - hostování v LIT</t>
  </si>
  <si>
    <t>ELH (Chomutov)</t>
  </si>
  <si>
    <t>WHL (Red Deer)</t>
  </si>
  <si>
    <t>AHL</t>
  </si>
  <si>
    <t>P. Demel</t>
  </si>
  <si>
    <t>Godla (Honzík) – Irving, Ščotka (C), Balinskis, Cibulskis, Kudla, Štich (A) – P. Zdráhal, Mahbod, Jarůšek – Pospíšil, V. Hübl, F. Lukeš – Látal, M. Hanzl (A), Petružálek – Zygmunt, Gerhát, M. Havelka.</t>
  </si>
  <si>
    <t>0:1; 1:1; 1:3; 2:3; 2:4</t>
  </si>
  <si>
    <t>1:0; 1:3; 2:3; 2:4; 3:4; 3:6</t>
  </si>
  <si>
    <t>Godla (Honzík) – Irving, Ščotka, Balinskis, Cibulskis, Kudla, Štich (A) – P. Zdráhal, Mahbod, Jarůšek – Pospíšil, V. Hübl (C), F. Lukeš – Zygmunt, M. Hanzl (A), Látal – Petružálek, Gerhát, M. Havelka</t>
  </si>
  <si>
    <t>Honzík (Godla) – Irving, Ščotka, Balinskis, Cibulskis, Kudla, Štich (A), Demel – P. Zdráhal, Mahbod, Jarůšek – Pospíšil, V. Hübl (C), F. Lukeš – Myšák, M. Hanzl (A), Zygmunt – Petružálek, Gerhát, M. Havelka.</t>
  </si>
  <si>
    <t>bez diváků</t>
  </si>
  <si>
    <t>21. Patrik ZDRÁHAL (1) (Richard JARŮŠEK (1), Jan ŠČOTKA (1))</t>
  </si>
  <si>
    <t>45. Tomáš POSPÍŠIL (1) (František LUKEŠ (1), Jan ŠČOTKA (2))</t>
  </si>
  <si>
    <t>2. Jan ŠČOTKA (1) (Martin HANZL (1), Pawel ZYGMUNT (1))</t>
  </si>
  <si>
    <t>35. František LUKEŠ (1) (František GERHÁT (1))</t>
  </si>
  <si>
    <t>25. Richard JARŮŠEK (1) (Patrik ZDRÁHAL (1))</t>
  </si>
  <si>
    <t>4. Martin HANZL (1) (Viktor HÜBL (1)) (PP)</t>
  </si>
  <si>
    <t>0:4; 1:4</t>
  </si>
  <si>
    <t>Honzík (Godla) – Irving, Ščotka, Balinskis, Cibulskis, Kudla, Demel, Štich (A) – Mahbod, M. Hanzl (A), Jarůšek – Pospíšil, V. Hübl (C), F. Lukeš – Látal, Gerhát, P. Zdráhal – Zygmunt, Helt, M. Havelka.</t>
  </si>
  <si>
    <t>0:1; 3:1; 3:2; 4:2</t>
  </si>
  <si>
    <t>Godla - Irving, Ščotka - Balinskis, Cibulskis - Demel, Kudla - Štich - Jarůšek, Hanzl, Mahbod - Pospíšil, Hübl, Zdráhal - Myšák, Gerhát, Válek - Havelka, Helt, Zygmunt</t>
  </si>
  <si>
    <t>Godla - Irving, Ščotka - Balinskis, Cibulskis - Demel, Kudla - Štich - Jarůšek, Hanzl, Mahbod - Pospíšil, Hübl, Zdráhal - Látal, Gerhát, Válek - Havelka, Helt, Zygmunt</t>
  </si>
  <si>
    <t>po 13. 11. 20</t>
  </si>
  <si>
    <t>1:3sn</t>
  </si>
  <si>
    <t>0:1; 1:1; 1:2sn (sn: 0:1, 1:1, 1:3)</t>
  </si>
  <si>
    <t>59.  Oskars CIBULSKIS ((1) František GERHÁT (2))</t>
  </si>
  <si>
    <t>24. Martin HAVELKA ((1) Filip HELT (1))</t>
  </si>
  <si>
    <t>25.  Jan ŠČOTKA (2) (Viktor HÜBL (2), Tomáš POSPÍŠIL (1))</t>
  </si>
  <si>
    <t>35.  Patrik ZDRÁHAL ((2)Martin HANZL (2), Samson MAHBOD (1))</t>
  </si>
  <si>
    <t>60.  Richard JARŮŠEK ((2) František GERHÁT (3)) (EN)</t>
  </si>
  <si>
    <t>ELH (Vítkovice)</t>
  </si>
  <si>
    <t>Zámoří</t>
  </si>
  <si>
    <t>L. Žejdl</t>
  </si>
  <si>
    <t>D. Zeman</t>
  </si>
  <si>
    <t>1.2pp</t>
  </si>
  <si>
    <t>6:7sn</t>
  </si>
  <si>
    <t xml:space="preserve"> Hradec Králové</t>
  </si>
  <si>
    <t>DV</t>
  </si>
  <si>
    <t>2:0; 2:2; 3:2</t>
  </si>
  <si>
    <t>0:1; 1:1; 1:2; 5:2; 5:3; 6:3</t>
  </si>
  <si>
    <t>1:0; 1:1; 4:1; 4:2</t>
  </si>
  <si>
    <t>0:2; 1:2; 1:3; 2:3; 2:4; 3:4</t>
  </si>
  <si>
    <t>0:1; 1:1; 1:2pp</t>
  </si>
  <si>
    <t>1:0; 1:1; 3:1</t>
  </si>
  <si>
    <t>2:0; 2:2; 3:2pp</t>
  </si>
  <si>
    <t>0:2; 1:2; 1:3; 3:3; 3:5; 4:5</t>
  </si>
  <si>
    <t xml:space="preserve">Zajíček (Čermák) – Cibulskis, Balinskis, D. Zeman, Demel, Ščotka, Irving – F. Lukeš, V. Hübl (C), Pospíšil – Látal, Gerhát, Zygmunt – Jarůšek, M. Hanzl (A), P. Zdráhal – P. Svoboda, Helt, M. Havelka </t>
  </si>
  <si>
    <t xml:space="preserve">Godla (Zajíček) – Cibulskis, Balinskis, D. Zeman, Demel, Ščotka, Irving – F. Lukeš, V. Hübl (C), Pospíšil – Látal, Gerhát, Zygmunt – Jarůšek, M. Hanzl (A), P. Zdráhal – P. Svoboda, Helt, M. Havelka </t>
  </si>
  <si>
    <t>0:3; 1:3; 1:6</t>
  </si>
  <si>
    <t>0:2; 3:2; 3:3; 4:3</t>
  </si>
  <si>
    <t xml:space="preserve">Godla (Zajíček) – Ščotka, Irving, Cibulskis, Balinskis, Štich (A), Demel, D. Zeman – Jarůšek, M. Hanzl (A), P. Zdráhal – F. Lukeš, V. Hübl (C), Pospíšil – Látal, Žejdl, Petružálek – Zygmunt, Jícha, Helt. </t>
  </si>
  <si>
    <t>0:2; 1:2; 1:3; 2:3</t>
  </si>
  <si>
    <t>0:2; 3:2</t>
  </si>
  <si>
    <t xml:space="preserve">Godla (Zajíček) – Irving, Ščotka, Balinskis, D. Zeman, Demel, Štich (A), Kudla – P. Zdráhal, M. Hanzl (A), Jarůšek – Pospíšil, V. Hübl (C), F. Lukeš – Petružálek, Žejdl, Látal – Helt, Jícha, Zygmunt. </t>
  </si>
  <si>
    <t>1:0; 1:1; 3:1; 3:2</t>
  </si>
  <si>
    <t xml:space="preserve">Godla (Zajíček) – Irving, Ščotka, Balinskis, Cibulskis, Demel, Štich (A), D. Zeman – P. Zdráhal, M. Hanzl (A), Jarůšek – Pospíšil, V. Hübl (C), F. Lukeš – Petružálek, Žejdl, Látal – Helt, Jícha, Zygmunt. </t>
  </si>
  <si>
    <t xml:space="preserve">Godla (Zajíček) – Ščotka, Irving, Cibulskis, Balinskis, Štich, Demel, D. Zeman – Jarůšek, M. Hanzl, P. Zdráhal – F. Lukeš, V. Hübl, Pospíšil – Látal, Žejdl, Petružálek – Zygmunt, Jícha, Helt. </t>
  </si>
  <si>
    <t>1:0; 1:1; 2:1; 2:2; 4:2; 4:3</t>
  </si>
  <si>
    <t>1:0; 1:2</t>
  </si>
  <si>
    <t xml:space="preserve">Zajíček (Godla) – Irving, Ščotka, Balinskis, Cibulskis, Demel, Štich (A), D. Zeman – P. Zdráhal, M. Hanzl (A), Jarůšek – Pospíšil, V. Hübl (C), F. Lukeš – Petružálek, Žejdl, Látal – Helt, Jícha, Zygmunt. </t>
  </si>
  <si>
    <t>0:1; 3:1; 3:2</t>
  </si>
  <si>
    <t>1:0; 1:3; 2:3; 2:4; 2:5; 3:5</t>
  </si>
  <si>
    <t xml:space="preserve">Godla (Zajíček) – Irving, Ščotka, Balinskis, Cibulskis, Štich (A), Demel, D. Kolář – P. Zdráhal, M. Hanzl (A), Jarůšek – Pospíšil, V. Hübl (C), F. Lukeš – Petružálek, Žejdl, Látal – Helt, Jícha, Zygmunt. </t>
  </si>
  <si>
    <t xml:space="preserve">Godla (Zajíček) – Ščotka, Irving, Cibulskis, Balinskis, Demel, Štich, Kolář – Jarůšek, Žejdl, P. Zdráhal – F. Lukeš, V. Hübl, Pospíšil – Látal, M. Hanzl, Petružálek – Zygmunt, Helt, Fronk </t>
  </si>
  <si>
    <t xml:space="preserve">Godla (Zajíček) – Irving, Ščotka, Balinskis, Cibulskis, Štich (A), Demel, D. Kolář – P. Zdráhal, Žejdl, Jarůšek – Pospíšil, V. Hübl (C), F. Lukeš – Petružálek, M. Hanzl (A), Látal – Jícha, Helt, Zygmunt. </t>
  </si>
  <si>
    <t xml:space="preserve">Godla (Zajíček) – Ščotka, Irving, D. Kolář, Balinskis, Demel, Štich (A), Cibulskis – Jarůšek, Žejdl, P. Zdráhal – F. Lukeš, V. Hübl (C), Pospíšil – P. Svoboda, M. Hanzl (A), Fronk – Zygmunt, Helt, Látal. </t>
  </si>
  <si>
    <t>0:1; 2:1; 2:2; 4:2; 4:3; 5:3; 5:4; 6:4</t>
  </si>
  <si>
    <t>0:1; 1:1; 2:1pp</t>
  </si>
  <si>
    <t xml:space="preserve">Godla (Zajíček) – Irving, Ščotka, Balinskis, D. Kolář, Štich (A), Demel, Cibulskis – P. Zdráhal, M. Hanzl (A), Jarůšek – Pospíšil, V. Hübl (C), F. Lukeš – Fronk, Žejdl, Válek – Látal, Helt, Zygmunt. </t>
  </si>
  <si>
    <t xml:space="preserve">Godla (Zajíček) – Ščotka, Irving, D. Kolář, Balinskis, Demel, Štich (A), Kudla – Jarůšek, P. Svoboda, P. Zdráhal – F. Lukeš, V. Hübl (C), Pospíšil – Válek, M. Hanzl, Fronk – Zygmunt, Helt, Látal </t>
  </si>
  <si>
    <t xml:space="preserve">Godla (Zajíček) – Irving, Ščotka, Balinskis, D. Kolář, Demel, Štich (A), Kudla – P. Zdráhal, P. Svoboda, Jarůšek – Pospíšil, V. Hübl (C), F. Lukeš – Fronk, M. Hanzl (A), Látal – Jícha, Helt, Zygmunt </t>
  </si>
  <si>
    <t xml:space="preserve">Godla (28. Zajíček) – Ščotka, Irving, D. Kolář, Balinskis, Demel, Štich (A), Cibulskis – Jarůšek, M. Hanzl (A), P. Zdráhal – F. Lukeš, V. Hübl (C), Pospíšil – P. Svoboda, Gerhát, Fronk – Zygmunt, Helt, Válek. </t>
  </si>
  <si>
    <t>0:6; 3:6</t>
  </si>
  <si>
    <t>1:0; 1:1; 2:1pp</t>
  </si>
  <si>
    <t>Godla (Zajíček) – Irving, Ščotka, Balinskis, Cibulskis, Štich (A), Demel, Kudla – Zygmunt, M. Hanzl (A), Jarůšek – Pospíšil, V. Hübl (C), F. Lukeš – P. Svoboda, Gerhát, Válek – Helt, Jícha, M. Havelka</t>
  </si>
  <si>
    <t>0:2sn</t>
  </si>
  <si>
    <t>0:1; 1:1; 1:2sn</t>
  </si>
  <si>
    <t xml:space="preserve">Godla (Zajíček) – Irving, Ščotka, Balinskis, Cibulskis, Štich (A), Demel, D. Kolář – P. Zdráhal, M. Hanzl (A), Jarůšek – Pospíšil, V. Hübl (C), F. Lukeš – P. Svoboda, Gerhát, Fronk – Helt, Jícha, Zygmunt </t>
  </si>
  <si>
    <t>Godla (Honzík) – Irving, Ščotka, Štich (A), Cibulskis, Kudla, Demel, L. Doudera – P. Zdráhal, M. Hanzl (A), Jarůšek – Pospíšil, V. Hübl (C), F. Lukeš – Látal, Gerhát, Válek – Zygmunt, Helt, M. Havelka.</t>
  </si>
  <si>
    <t xml:space="preserve">Godla (Honzík) – Ščotka, Irving, Cibulskis, Balinskis, Demel, Kudla, Štich (A) – Jarůšek, M. Hanzl (A), P. Zdráhal – F. Lukeš, V. Hübl (C), Pospíšil – Válek, Gerhát, Látal – M. Havelka, Helt, Zygmunt </t>
  </si>
  <si>
    <t xml:space="preserve">Godla (Honzík) – Ščotka, Irving, Cibulskis, Balinskis, Demel, Kudla, Štich (A) – Jarůšek, M. Hanzl (A), P. Zdráhal – F. Lukeš, V. Hübl (C), Pospíšil – Válek, Gerhát, Jícha – M. Havelka, Helt, Zygmunt. </t>
  </si>
  <si>
    <t>0:1; 1:1; 1:3; 2:3; 2:6</t>
  </si>
  <si>
    <t>1:0; 1:1; 6:1; 6:3; 7:3</t>
  </si>
  <si>
    <t>65:72</t>
  </si>
  <si>
    <t xml:space="preserve">Godla (Honzík) – Irving, Ščotka, Štich (A), Cibulskis, Kudla, Demel, L. Doudera – P. Zdráhal, M. Hanzl (A), Jarůšek – Pospíšil, V. Hübl (C), F. Lukeš – Látal, Gerhát, Válek – Zygmunt, Helt, M. Havelka </t>
  </si>
  <si>
    <t>1:0; 1:2; 3:2</t>
  </si>
  <si>
    <t xml:space="preserve">Honzík (Godla) – Irving, Ščotka, Štich (A), Cibulskis, Kudla, Demel, L. Doudera – P. Zdráhal, M. Hanzl (A), Jarůšek – Pospíšil, V. Hübl (C), F. Lukeš – Látal, Válek, Myšák – Zygmunt, Helt, M. Havelka </t>
  </si>
  <si>
    <t>1:0; 1:3; 2:3; 2:4</t>
  </si>
  <si>
    <t xml:space="preserve">Godla (Honzík) – Irving, Ščotka, L. Doudera, Cibulskis, Kudla, Demel, Březák – P. Zdráhal, M. Hanzl (A), Jarůšek – Válek, V. Hübl (C), Pospíšil – Látal, Gerhát, Myšák – Zygmunt, Helt, M. Havelka. </t>
  </si>
  <si>
    <t>0:2; 2:2; 2:4</t>
  </si>
  <si>
    <t xml:space="preserve">Godla (Honzík) – Ščotka, Irving, Cibulskis, Balinskis, Demel, Kudla, L. Doudera – Jarůšek, M. Hanzl (A), P. Zdráhal – F. Lukeš, V. Hübl (C), Válek – Myšák, Gerhát, Látal – M. Havelka, Helt, Zygmunt. </t>
  </si>
  <si>
    <t>0:1; 1:1; 1:2; 2:2; 3:2sn (0:1; 2:1sn)</t>
  </si>
  <si>
    <t xml:space="preserve">Godla (Honzík) – Demel, Irving, L. Doudera, Balinskis, Ščotka, Kudla, Březák – Jarůšek, M. Hanzl (A), P. Zdráhal – V. Hübl (C), F. Lukeš, Myšák – Petružálek, Gerhát, Látal – M. Havelka, Helt, Zygmunt </t>
  </si>
  <si>
    <t xml:space="preserve">Godla (Honzík) – Irving, Demel, Balinskis, L. Doudera, Kudla, Ščotka, Březák – P. Zdráhal, M. Hanzl (A), Jarůšek – Myšák, V. Hübl (C), F. Lukeš – Látal, Gerhát, Petružálek – Zygmunt, Helt, M. Havelka </t>
  </si>
  <si>
    <t>1:0; 1:2; 3:2; 3:3; 4:3sn</t>
  </si>
  <si>
    <t xml:space="preserve">Honzík (Zajíček) – Demel, Irving, Cibulskis, Balinskis, Ščotka, Kudla, Štich (A) – Jarůšek, Gerhát, Mahbod – F. Lukeš, V. Hübl (C), Pospíšil – P. Zdráhal, M. Hanzl (A), Myšák – M. Havelka, Helt, Zygmunt. </t>
  </si>
  <si>
    <t xml:space="preserve">Godla (Honzík) – Demel, Irving, Cibulskis, Balinskis, Ščotka, Kudla, Štich (A) – Jarůšek, Gerhát, Mahbod – F. Lukeš, V. Hübl (C), Pospíšil – P. Zdráhal, M. Hanzl (A), Myšák – M. Havelka, Helt, Zygmunt. </t>
  </si>
  <si>
    <t>0:1; 1:1; 2:1sn (0:1; 2:1sn)</t>
  </si>
  <si>
    <t xml:space="preserve">Godla (Honzík) – Irving, Demel, Balinskis, Cibulskis, Kudla, Ščotka, Štich (A) – Mahbod, Gerhát, Jarůšek – Pospíšil, V. Hübl (C), F. Lukeš – Myšák, M. Hanzl (A), P. Zdráhal – Zygmunt, Helt, M. Havelka. </t>
  </si>
  <si>
    <t>27. Viktor HÜBL (František LUKEŠ, Tomáš POSPÍŠIL)</t>
  </si>
  <si>
    <t xml:space="preserve">Godla (Honzík) – Irving, Ščotka, Balinskis, Cibulskis, Kudla, Demel, Štich (A) – P. Zdráhal, M. Hanzl (A), Jarůšek – Pospíšil, V. Hübl (C), F. Lukeš – Myšák, Gerhát, Válek – Zygmunt, Helt, M. Havelka </t>
  </si>
  <si>
    <t xml:space="preserve">Zajíček (Godla) – Ščotka, Irving, Cibulskis, Balinskis, Štich (A), Demel, D. Zeman – Jarůšek, M. Hanzl (A), P. Zdráhal – F. Lukeš, V. Hübl (C), Pospíšil – Látal, Žejdl, L. Stehlík – Zygmunt, Jícha, Helt. </t>
  </si>
  <si>
    <t xml:space="preserve">Godla (Zajíček) – Balinskis, Cibulskis, Demel, Štich (A), Irving, Ščotka, Kudla – Pospíšil, V. Hübl (C), F. Lukeš – P. Zdráhal, Žejdl, Látal – Zygmunt, M. Hanzl (A), Jarůšek – L. Stehlík, Gerhát, Jícha. </t>
  </si>
  <si>
    <t xml:space="preserve">Godla (Zajíček) – Cibulskis, Balinskis, Štich (A), Demel, Ščotka, Irving, Kudla – F. Lukeš, V. Hübl (C), Pospíšil – Látal, Gerhát, Zygmunt – Jarůšek, M. Hanzl (A), P. Zdráhal – Helt, Jícha, L. Stehlík. </t>
  </si>
  <si>
    <t xml:space="preserve">Godla (Zajíček) – Balinskis, Cibulskis, Demel, Štich (A), Irving, Ščotka, D. Zeman – F. Lukeš, V. Hübl (C), Pospíšil – Látal, Gerhát, Zygmunt – Jarůšek, M. Hanzl (A), P. Zdráhal – Helt, Žejdl, L. Stehlík. </t>
  </si>
  <si>
    <t xml:space="preserve">Godla (Zajíček) – D. Zeman, Balinskis, Štich (A), Demel, Ščotka, Irving, Kudla – F. Lukeš, V. Hübl (C), Pospíšil – Látal, Gerhát, Zygmunt – Jarůšek, M. Hanzl (A), P. Zdráhal – Helt, Žejdl, M. Havelka. </t>
  </si>
  <si>
    <t xml:space="preserve">Godla (Zajíček) – Cibulskis, Balinskis, Kudla, Demel, Ščotka, Irving – F. Lukeš, V. Hübl (C), Pospíšil – Látal, Gerhát, Žejdl – Jarůšek, M. Hanzl (A), P. Zdráhal – L. Stehlík, Helt, M. Havelka – Zygmunt. </t>
  </si>
  <si>
    <t>Zajíček (Godla) – Balinskis, Cibulskis, Demel, Kudla, Irving, Ščotka – Pospíšil, V. Hübl (C), F. Lukeš – L. Stehlík, Gerhát, Látal – P. Zdráhal, M. Hanzl (A), Jarůšek – M. Havelka, Helt, Zygmunt</t>
  </si>
  <si>
    <t>Godla (Zajíček) – Cibulskis, Balinskis, Kudla, Demel, Ščotka, Irving – F. Lukeš, V. Hübl (C), Pospíšil – Látal, Gerhát, L. Stehlík – Jarůšek, M. Hanzl (A), P. Zdráhal – Zygmunt, Helt, M. Havelka</t>
  </si>
  <si>
    <t xml:space="preserve">Godla (Zajíček) – Cibulskis, Balinskis, Kudla, Demel, Ščotka, Irving, Štich (A) – F. Lukeš, V. Hübl (C), Pospíšil – Látal, Gerhát, L. Stehlík – Jarůšek, M. Hanzl (A), P. Zdráhal – Zygmunt, Helt, M. Havelka. </t>
  </si>
  <si>
    <t>Godla (Zajíček) – Cibulskis, Balinskis, Štich (A), Demel, Ščotka, Irving, Kudla – F. Lukeš, V. Hübl (C), Pospíšil – Látal, Gerhát, P. Svoboda – Jarůšek, M. Hanzl (A), P. Zdráhal – Zygmunt, Helt, M. Havelka.</t>
  </si>
  <si>
    <t xml:space="preserve">Godla (Zajíček) – Cibulskis, Balinskis, D. Zeman, Demel, Ščotka (C), Irving, Kudla – Jarůšek, M. Hanzl (A), P. Zdráhal – Látal, Gerhát, P. Svoboda – Žejdl, Slavík, L. Stehlík – Zygmunt, Helt, M. Havelka. </t>
  </si>
  <si>
    <t xml:space="preserve">Godla (Zajíček) – Irving, Ščotka, Demel, D. Zeman, Balinskis, Cibulskis, Kudla – P. Zdráhal, M. Hanzl (A), Jarůšek – P. Svoboda, Gerhát, Látal – Pospíšil, V. Hübl (C), F. Lukeš – M. Havelka, Žejdl, Zygmunt. </t>
  </si>
  <si>
    <t>68:74</t>
  </si>
  <si>
    <t>133:146</t>
  </si>
  <si>
    <t>playoff 12 týmů, bez sestupu</t>
  </si>
  <si>
    <t>39. Pawel ZYGMUNT (1)  Martin HAVELKA (1), Filip HELT (2)</t>
  </si>
  <si>
    <t>Nájezdy</t>
  </si>
  <si>
    <t xml:space="preserve">1 PLZ Neproměnil Tomáš MERTL (86)  
2 LIT Neproměnil František GERHÁT (18)  
3 PLZ Gól Petr KODÝTEK (88)  
4 LIT Neproměnil Martin HANZL (79)  
5 PLZ Neproměnil David STACH (20)  
6 LIT Gól Jan MYŠÁK (91)  
7 PLZ Gól Milan GULAŠ (77)  
8 LIT Neproměnil Aaron IRVING (44)  
9 PLZ Gól Pavel MUSIL (89)  
</t>
  </si>
  <si>
    <t>7. Martin HANZL (2)  Jan ŠČOTKA (3), Patrik ZDRÁHAL (2)</t>
  </si>
  <si>
    <t>40.  Tomáš POSPÍŠIL (2) (PP)</t>
  </si>
  <si>
    <t xml:space="preserve">1 LIT Neproměnil Patrik ZDRÁHAL (25)  
2 LIB Gól Radan LENC (25)  
3 LIB Neproměnil Tomáš RACHŮNEK (30)  
4 LIT Neproměnil František LUKEŠ (16)  
5 LIT Neproměnil Tomáš POSPÍŠIL (75)  
6 LIB Neproměnil Dávid GRÍGER (12)  
7 LIT Neproměnil Jan MYŠÁK (91)  
8 LIB Neproměnil Michal BIRNER (16)  
9 LIT Gól Samson MAHBOD (11)  
10 LIB Neproměnil Tomáš FILIPPI (41)  
11 LIB Neproměnil Radan LENC (25)  
12 LIT Neproměnil Viktor HÜBL (26)  
13 LIB Neproměnil Michal BULÍŘ (88)  
14 LIT Neproměnil Samson MAHBOD (11)  
15 LIB Neproměnil Adam MUSIL (14)  
16 LIT Neproměnil Richard JARŮŠEK (96)  
17 LIB Neproměnil Petr JELÍNEK (26)  
18 LIT Neproměnil Samson MAHBOD (11)  
19 LIB Neproměnil Radan LENC (25)  
20 LIT Gól Jan ŠČOTKA (24)  
</t>
  </si>
  <si>
    <t>55. František GERHÁT (1)  Martin HAVELKA (2), Patrick KUDLA (1)</t>
  </si>
  <si>
    <t>1. Richard JARŮŠEK (3)  Patrik DEMEL (1), Patrik ZDRÁHAL (3)</t>
  </si>
  <si>
    <t>32. Pawel ZYGMUNT (2)  Martin HAVELKA (3), Lukáš DOUDERA (1)</t>
  </si>
  <si>
    <t>50. Uvis Janis BALINSKIS (1)  Viktor HÜBL (3) (PP)</t>
  </si>
  <si>
    <t xml:space="preserve">1 OLO Neproměnil Vilém BURIAN (24)  
2 LIT Gól František GERHÁT (18)  
3 OLO Neproměnil Petr KOLOUCH (81)  
4 LIT Neproměnil Richard JARŮŠEK (96)  
5 OLO Neproměnil Lukáš NAHODIL (19)  
6 LIT Neproměnil Jan ŠČOTKA (24)  
7 OLO Gól Jan KNOTEK (12)  
8 LIT Neproměnil Jakub PETRUŽÁLEK (88)  
9 OLO Neproměnil Jakub VALSKÝ (22)  
10 LIT Neproměnil Viktor HÜBL (26)  
11 LIT Neproměnil František GERHÁT (18)  
12 OLO Neproměnil Silvester KUSKO (91)  
13 LIT Gól Martin HANZL (79)  
14 OLO Neproměnil Jan KNOTEK (12)  </t>
  </si>
  <si>
    <t>12.  Richard JARŮŠEK (4)  Patrik DEMEL (2), Aaron IRVING (1)  (PP)</t>
  </si>
  <si>
    <t>3. Aaron IRVING (1)</t>
  </si>
  <si>
    <t>29. Richard JARŮŠEK (5)  Martin HANZL (3), Patrik ZDRÁHAL (4)</t>
  </si>
  <si>
    <t xml:space="preserve">1 SPA Neproměnil Lukáš ROUSEK (10)  
2 LIT Neproměnil František GERHÁT (18)  
3 SPA Neproměnil David TOMÁŠEK (96)  
4 LIT Neproměnil Martin HANZL (79)  
5 SPA Gól Michal ŘEPÍK (26)  
6 LIT Neproměnil Jan ŠČOTKA (24)  
7 LIT Gól Lukáš VÁLEK (33)  
8 SPA Neproměnil Andrej KUDRNA (18)  
9 SPA Neproměnil Vladimír SOBOTKA (71)  
10 LIT Neproměnil Pawel ZYGMUNT (12)  
11 LIT Neproměnil František LUKEŠ (16)  
12 SPA Neproměnil Michal ŘEPÍK (26)  
13 LIT Gól Lukáš VÁLEK (33)  
14 SPA Neproměnil Lukáš PECH (23)  </t>
  </si>
  <si>
    <t>23. Oskars CIBULSKIS (2)  Patrik DEMEL (3), Viktor HÜBL (4)  (PP)</t>
  </si>
  <si>
    <t>34. František GERHÁT (2)  Patrik DEMEL (4), Jan MYŠÁK (1)</t>
  </si>
  <si>
    <t>10. Patrik ZDRÁHAL (3)  Richard JARŮŠEK (2), Oskars CIBULSKIS (1)</t>
  </si>
  <si>
    <t xml:space="preserve">56. Pawel ZYGMUNT (3)  Filip HELT (3)  </t>
  </si>
  <si>
    <t xml:space="preserve">4. Patrik ZDRÁHAL (4)  Richard JARŮŠEK (3), Martin HAVELKA (4)  </t>
  </si>
  <si>
    <t xml:space="preserve">42. Martin HANZL (3)  Patrick KUDLA (2)  </t>
  </si>
  <si>
    <t xml:space="preserve">51. Pawel ZYGMUNT (4) GV  Martin HAVELKA (5), Oskars CIBULSKIS (2)    </t>
  </si>
  <si>
    <t xml:space="preserve">61. Patrik ZDRÁHAL (5) GV  Richard JARŮŠEK (4)  </t>
  </si>
  <si>
    <t xml:space="preserve">45. Martin HANZL (4) GV  Patrik ZDRÁHAL (5)  </t>
  </si>
  <si>
    <t>58. Richard JARŮŠEK (6)  Filip HELT (4), František GERHÁT (4) (EN)</t>
  </si>
  <si>
    <t xml:space="preserve">11. Aaron IRVING (2)  Tomáš POSPÍŠIL (3)  </t>
  </si>
  <si>
    <t xml:space="preserve">22. Tomáš POSPÍŠIL (3)  Lukáš VÁLEK (1), Jan ŠČOTKA (4)  </t>
  </si>
  <si>
    <t xml:space="preserve">51. Martin HANZL (5)  Jan ŠČOTKA (5), Přemysl SVOBODA (1)  </t>
  </si>
  <si>
    <t xml:space="preserve">1 LIT Neproměnil František GERHÁT (18)  
2 PCE Gól Juraj MIKUŠ (2)  
3 LIT Neproměnil Přemysl SVOBODA (23)  
4 PCE Neproměnil Anthony CAMARA (36)  
5 LIT Neproměnil Lukáš VÁLEK (33)  
6 PCE Neproměnil Ondřej MATÝS (81)  
7 LIT Neproměnil Martin HANZL (79)  
8 PCE Gól Vladimír SVAČINA (33)  </t>
  </si>
  <si>
    <t xml:space="preserve">1 LIT Neproměnil Přemysl SVOBODA (23)  
2 KOM Gól Jakub KLEPIŠ (21)  
3 LIT Gól Patrik ZDRÁHAL (25)  
4 KOM Gól Filip KRÁL (18)  
5 LIT Neproměnil Viktor HÜBL (26)  
6 KOM Gól Peter SCHNEIDER (3)  
7 LIT Neproměnil Tomáš POSPÍŠIL (75)  </t>
  </si>
  <si>
    <t>1:0, 1:2, 2:2, 2:3, 4:3, 4:5, 6:5, 6:6; 6:7sn (0:1; 1:1; 1:3)</t>
  </si>
  <si>
    <t>8. Uvis Janis BALINSKIS (2)  František LUKEŠ (3)  (PP)</t>
  </si>
  <si>
    <t xml:space="preserve">13. Jiří FRONK (1)  František GERHÁT (5), Přemysl SVOBODA (2)  </t>
  </si>
  <si>
    <t xml:space="preserve">17. Viktor HÜBL (2)  František LUKEŠ (4)  </t>
  </si>
  <si>
    <t xml:space="preserve">24.  Patrik ZDRÁHAL (6)  Martin HANZL (4)  </t>
  </si>
  <si>
    <t xml:space="preserve">31. Aaron IRVING (3)  Patrik ZDRÁHAL (6), Martin HANZL (5)  </t>
  </si>
  <si>
    <t>43. František LUKEŠ (2)  Viktor HÜBL (5), Tomáš POSPÍŠIL (4)  (PP)</t>
  </si>
  <si>
    <t>23. Viktor HÜBL (3)  Tomáš POSPÍŠIL (5)  (PP)</t>
  </si>
  <si>
    <t>61. Viktor HÜBL (4) GV   (PP)</t>
  </si>
  <si>
    <t xml:space="preserve">Godla (Zajíček) – Irving, Ščotka, Balinskis, D. Kolář, Štich (A), Demel – P. Zdráhal, M. Hanzl (A), Jarůšek – Pospíšil, V. Hübl (C), F. Lukeš – Fronk, Gerhát, P. Svoboda – Válek, Jícha, Zygmunt. </t>
  </si>
  <si>
    <t>38.  František LUKEŠ (3)  Tomáš POSPÍŠIL (6), Uvis Janis BALINSKIS (1)     (PP)</t>
  </si>
  <si>
    <t xml:space="preserve">41. Viktor HÜBL (5)  František LUKEŠ (5)  </t>
  </si>
  <si>
    <t xml:space="preserve">58. Jiří FRONK (2)  Patrik ZDRÁHAL (7), Lukáš VÁLEK (2)  </t>
  </si>
  <si>
    <t xml:space="preserve">47. František LUKEŠ (4)  David ŠTICH (1), Viktor HÜBL (6)  </t>
  </si>
  <si>
    <t xml:space="preserve">48. Richard JARŮŠEK (7)  Aaron IRVING (2), Jan ŠČOTKA (6)  </t>
  </si>
  <si>
    <t xml:space="preserve">61. Patrik ZDRÁHAL (7) GV  Jan ŠČOTKA (7)  </t>
  </si>
  <si>
    <t>60. Tomáš POSPÍŠIL (4)  Viktor HÜBL (7), Jan ŠČOTKA (8)  (6na5)</t>
  </si>
  <si>
    <t xml:space="preserve">61. Richard JARŮŠEK (8) GV  Patrik ZDRÁHAL (8), Jan ŠČOTKA (9)  </t>
  </si>
  <si>
    <t>10. František LUKEŠ (5)  Viktor HÜBL (8), Uvis Janis BALINSKIS (2)  (PP)</t>
  </si>
  <si>
    <t xml:space="preserve">25. Oskars CIBULSKIS (3)  Filip HELT (5), Přemysl SVOBODA (3)  </t>
  </si>
  <si>
    <t xml:space="preserve">42. David ŠTICH (1) </t>
  </si>
  <si>
    <t xml:space="preserve">47. David ŠTICH (2)  František LUKEŠ (6), Viktor HÜBL (9)  </t>
  </si>
  <si>
    <t xml:space="preserve">49. Lukáš ŽEJDL (1) GV  Patrik ZDRÁHAL (9)  </t>
  </si>
  <si>
    <t>60. Tomáš POSPÍŠIL (5)  Viktor HÜBL (10)  (EN)</t>
  </si>
  <si>
    <t>31. Tomáš POSPÍŠIL (6)  Uvis Janis BALINSKIS (3), František LUKEŠ (7)  (PP)</t>
  </si>
  <si>
    <t xml:space="preserve">Zajíček (Godla) – Ščotka, Irving, Cibulskis, Balinskis, Demel, Štich (A) – Jarůšek, Žejdl, P. Zdráhal – F. Lukeš, V. Hübl (C), Pospíšil – Látal, M. Hanzl (A), Petružálek – Zygmunt, Helt, Jícha </t>
  </si>
  <si>
    <t>14. Uvis Janis BALINSKIS (3) GV  Tomáš POSPÍŠIL (7), František LUKEŠ (8)  (PP)</t>
  </si>
  <si>
    <t xml:space="preserve">42.  František LUKEŠ (6)  Tomáš POSPÍŠIL (8), Viktor HÜBL (11)  </t>
  </si>
  <si>
    <t xml:space="preserve">46.  Tomáš POSPÍŠIL (7)  František LUKEŠ (9), Viktor HÜBL (12)  </t>
  </si>
  <si>
    <t xml:space="preserve">47. Lukáš ŽEJDL (2)  Patrik ZDRÁHAL (10), Richard JARŮŠEK (5)  </t>
  </si>
  <si>
    <t xml:space="preserve">53. Martin HANZL (6)  Jan ŠČOTKA (10), Martin LÁTAL (1)  </t>
  </si>
  <si>
    <t>28. Patrik ZDRÁHAL (8)  Aaron IRVING (3), Richard JARŮŠEK (6)  (PP)</t>
  </si>
  <si>
    <t xml:space="preserve">54.  Jiří FRONK (3)  </t>
  </si>
  <si>
    <t>60. František LUKEŠ (7)  Patrik DEMEL (5) (6na5)</t>
  </si>
  <si>
    <t xml:space="preserve">12. Viktor HÜBL (6)  Uvis Janis BALINSKIS (4), Tomáš POSPÍŠIL (9)    </t>
  </si>
  <si>
    <t xml:space="preserve">24. Richard JARŮŠEK (9)  Denis GODLA (1)  </t>
  </si>
  <si>
    <t xml:space="preserve">36. Jan ŠČOTKA (3)  František LUKEŠ (10), Uvis Janis BALINSKIS (5)    </t>
  </si>
  <si>
    <t xml:space="preserve">10. Richard JARŮŠEK (10)  Martin HANZL (6), Patrik ZDRÁHAL (11)    </t>
  </si>
  <si>
    <t xml:space="preserve">12. Filip HELT (1)  Josef JÍCHA (1), Oskars CIBULSKIS (3)  </t>
  </si>
  <si>
    <t xml:space="preserve">25. Richard JARŮŠEK (11) GV  Martin HANZL (7), Uvis Janis BALINSKIS (6)  </t>
  </si>
  <si>
    <t>8. František LUKEŠ (8)  Tomáš POSPÍŠIL (10), Viktor HÜBL (13)  (PP)</t>
  </si>
  <si>
    <t xml:space="preserve">27. Patrik ZDRÁHAL (9)  Richard JARŮŠEK (7), Martin HANZL (8)  </t>
  </si>
  <si>
    <t xml:space="preserve">32. Uvis Janis BALINSKIS (4)  Jakub PETRUŽÁLEK (1), Martin LÁTAL (2)  </t>
  </si>
  <si>
    <t xml:space="preserve">43. Tomáš POSPÍŠIL (8)  František LUKEŠ (11), Viktor HÜBL (14)  </t>
  </si>
  <si>
    <t>47. Viktor HÜBL (7) GV  Tomáš POSPÍŠIL (11)  (PP)</t>
  </si>
  <si>
    <t xml:space="preserve">3. Jan ŠČOTKA (4)  Jakub PETRUŽÁLEK (2), Aaron IRVING (4)  </t>
  </si>
  <si>
    <t xml:space="preserve">34. Viktor HÜBL (8)  František LUKEŠ (12), Tomáš POSPÍŠIL (12)  </t>
  </si>
  <si>
    <t xml:space="preserve">36.  Pawel ZYGMUNT (5) GV  Josef JÍCHA (2)  </t>
  </si>
  <si>
    <t xml:space="preserve">35. Richard JARŮŠEK (12)  Viktor HÜBL (15), Tomáš POSPÍŠIL (13)  </t>
  </si>
  <si>
    <t xml:space="preserve">38. Viktor HÜBL (9)  Tomáš POSPÍŠIL (14), František LUKEŠ (13) </t>
  </si>
  <si>
    <t xml:space="preserve">43.  Martin LÁTAL (1) GV  </t>
  </si>
  <si>
    <t xml:space="preserve">40. František LUKEŠ (9)  Jan ŠČOTKA (11), Tomáš POSPÍŠIL (15)  </t>
  </si>
  <si>
    <t>60. Uvis Janis BALINSKIS (5)  Tomáš POSPÍŠIL (16), Viktor HÜBL (16)  (6na5)</t>
  </si>
  <si>
    <t>39. Richard JARŮŠEK (13)  Patrik DEMEL (6), Patrik ZDRÁHAL (12)  (PP)</t>
  </si>
  <si>
    <t>44. Aaron IRVING (4)  Patrik ZDRÁHAL (13), Patrik DEMEL (7)  (PP)</t>
  </si>
  <si>
    <t xml:space="preserve">45. Viktor HÜBL (10)  Tomáš POSPÍŠIL (17)  </t>
  </si>
  <si>
    <t xml:space="preserve">57. Tomáš POSPÍŠIL (9) GV  Viktor HÜBL (17), František LUKEŠ (14)  </t>
  </si>
  <si>
    <t xml:space="preserve">31. Patrick KUDLA (1)  Pawel ZYGMUNT (2), Richard JARŮŠEK (8)  </t>
  </si>
  <si>
    <t xml:space="preserve">28. František LUKEŠ (10) </t>
  </si>
  <si>
    <t xml:space="preserve">30. Oskars CIBULSKIS (4)  František GERHÁT (6), Martin LÁTAL (3)  </t>
  </si>
  <si>
    <t xml:space="preserve">39. Martin HANZL (7)  Patrik ZDRÁHAL (14), Richard JARŮŠEK (9)  </t>
  </si>
  <si>
    <t xml:space="preserve">58. Richard JARŮŠEK (14)  Uvis Janis BALINSKIS (7), Patrik ZDRÁHAL (15)  </t>
  </si>
  <si>
    <t xml:space="preserve">15.  Richard JARŮŠEK (15)  Martin HANZL (9), David ŠTICH (2)  </t>
  </si>
  <si>
    <t>24. Jan ŠČOTKA (5)  Viktor HÜBL (18), Uvis Janis BALINSKIS (8)  (PP)</t>
  </si>
  <si>
    <t xml:space="preserve">62. Richard JARŮŠEK (16) GV  Patrik ZDRÁHAL (16), Jan ŠČOTKA (12)  </t>
  </si>
  <si>
    <t>11. Aaron IRVING (5)  Patrik DEMEL (8), Patrik ZDRÁHAL (17)  (PP)</t>
  </si>
  <si>
    <t xml:space="preserve">35. Jan ŠČOTKA (6)  Martin HANZL (10), Patrik ZDRÁHAL (18)  </t>
  </si>
  <si>
    <t xml:space="preserve">1 LIT Neproměnil Viktor HÜBL (26)  
2 MBL Gól David BERNAD (17)  
3 LIT Neproměnil Patrik ZDRÁHAL (25)  
4 MBL Neproměnil Ondřej NAJMAN (46)  
5 LIT Neproměnil Richard JARŮŠEK (96)  
6 MBL Neproměnil Jan STRÁNSKÝ (91)  
7 LIT Gól Martin HANZL (79)  
8 MBL Neproměnil David ŠŤASTNÝ (29)  
9 LIT Neproměnil Tomáš POSPÍŠIL (75)  
10 MBL Neproměnil Jakub KOTALA (27)  
11 MBL Neproměnil David BERNAD (17)  
12 LIT Neproměnil Martin HANZL (79)  
13 MBL Neproměnil Jakub KOTALA (27)  
14 LIT Neproměnil František LUKEŠ (16)  
15 MBL Gól Pavel KOUSAL (23)  
16 LIT Neproměnil Jan ŠČOTKA (24)  </t>
  </si>
  <si>
    <t>1:0; 1:1; 2:1; 2:2; 2:3sn (0:1; 1:1; 1:2)</t>
  </si>
  <si>
    <t>Kde hraje</t>
  </si>
  <si>
    <t>P. Straka</t>
  </si>
  <si>
    <t>A. Kudrna</t>
  </si>
  <si>
    <t>M. Sukel</t>
  </si>
  <si>
    <t>J. Fronk</t>
  </si>
  <si>
    <t>M. Gut</t>
  </si>
  <si>
    <t>59. Richard JARŮŠEK (17)  Jan ŠČOTKA (13)</t>
  </si>
  <si>
    <t xml:space="preserve">Godla (Zajíček) – Balinskis, Cibulskis, Demel, D. Zeman, Irving, Ščotka – Pospíšil, V. Hübl (C), F. Lukeš – Žejdl, Gerhát, Látal – P. Zdráhal, M. Hanzl (A), Jarůšek – M. Havelka, Helt, Zygmunt. </t>
  </si>
  <si>
    <t>3. Aaron IRVING (6)  Martin HAVELKA (6), Lukáš STEHLÍK (1)</t>
  </si>
  <si>
    <t xml:space="preserve">24. Martin HANZL (8)  Aaron IRVING (5), Richard JARŮŠEK (10)  </t>
  </si>
  <si>
    <t xml:space="preserve">39. Patrik ZDRÁHAL (10)  Richard JARŮŠEK (11)  </t>
  </si>
  <si>
    <t>39. Aaron IRVING (7)  Patrik ZDRÁHAL (19), Šimon ZAJÍČEK (1)</t>
  </si>
  <si>
    <t>47. Jan ŠČOTKA (7)  Viktor HÜBL (19), Uvis Janis BALINSKIS (9)  (PP)</t>
  </si>
  <si>
    <t>13. Martin HANZL (9)  Patrik DEMEL (9)  (PP)</t>
  </si>
  <si>
    <t>52. Martin LÁTAL (2) GV  František GERHÁT (7)  (SH)</t>
  </si>
  <si>
    <t>60. Martin HANZL (10)  Patrik ZDRÁHAL (20)  (EN)</t>
  </si>
  <si>
    <t>13. Aaron IRVING (8)  Patrik DEMEL (10), Martin HANZL (11)  (PP)</t>
  </si>
  <si>
    <t>45. František LUKEŠ (11) GV  Viktor HÜBL (20), Tomáš POSPÍŠIL (18)  (PP)</t>
  </si>
  <si>
    <t>2. Tomáš POSPÍŠIL (10)  Viktor HÜBL (21)</t>
  </si>
  <si>
    <t>14. Richard JARŮŠEK (18)</t>
  </si>
  <si>
    <t>15.  František GERHÁT (3) GV  (SH)</t>
  </si>
  <si>
    <t>28. Aaron IRVING (9)  Martin HANZL (12), Patrik ZDRÁHAL (21)  (PP)</t>
  </si>
  <si>
    <t>22. František LUKEŠ (12)</t>
  </si>
  <si>
    <t>25. Aaron IRVING (10)  František LUKEŠ (15)</t>
  </si>
  <si>
    <t>31. Viktor HÜBL (11)  František LUKEŠ (16), Uvis Janis BALINSKIS (10)</t>
  </si>
  <si>
    <t>31. Aaron IRVING (11) GV  Richard JARŮŠEK (12), Martin HANZL (13)</t>
  </si>
  <si>
    <t>35. Patrik ZDRÁHAL (11)  Richard JARŮŠEK (13)</t>
  </si>
  <si>
    <t>60. Tomáš POSPÍŠIL (11)  František LUKEŠ (17), Aaron IRVING (6) (EN)</t>
  </si>
  <si>
    <t xml:space="preserve">Godla (Zajíček) – Balinskis, Cibulskis, Demel, D. Zeman, Irving, Ščotka – Pospíšil, V. Hübl (C), F. Lukeš – P. Svoboda, Gerhát, Látal – P. Zdráhal, M. Hanzl (A), Jarůšek – M. Havelka, Helt, Zygmunt. </t>
  </si>
  <si>
    <t>17. Viktor HÜBL (12)  František LUKEŠ (18), Tomáš POSPÍŠIL (19)</t>
  </si>
  <si>
    <t>21. Pawel ZYGMUNT (6)  František GERHÁT (8), Jan ŠČOTKA (14)</t>
  </si>
  <si>
    <t>49. Aaron IRVING (12) GV  Patrik DEMEL (11), Patrik ZDRÁHAL (22) (PP)</t>
  </si>
  <si>
    <t>5. Viktor HÜBL (13)</t>
  </si>
  <si>
    <t>12. Jan ŠČOTKA (8)  František LUKEŠ (19), Uvis Janis BALINSKIS (11) (PP)</t>
  </si>
  <si>
    <t>16. Viktor HÜBL (14)  František LUKEŠ (20), Oskars CIBULSKIS (4)</t>
  </si>
  <si>
    <t>33.  Jan ŠČOTKA (9) GV  Pawel ZYGMUNT (3), Viktor HÜBL (22)</t>
  </si>
  <si>
    <t>34. Jan ŠČOTKA (10)  Viktor HÜBL (23), Uvis Janis BALINSKIS (12) (PP)</t>
  </si>
  <si>
    <t>39. Filip HELT (2)  Denis ZEMAN (1), Pawel ZYGMUNT (4)</t>
  </si>
  <si>
    <t>56. Patrik ZDRÁHAL (12)  Martin HANZL (14), Richard JARŮŠEK (14)</t>
  </si>
  <si>
    <t>20. Tomáš POSPÍŠIL (1)  Přemysl SVOBODA (1) (PP)</t>
  </si>
  <si>
    <t>45. Richard JARŮŠEK (1)  Oskars CIBULSKIS (1)</t>
  </si>
  <si>
    <t>28 sezón</t>
  </si>
  <si>
    <t>ELH (Budějovice)</t>
  </si>
  <si>
    <t>O. Cibulskis</t>
  </si>
  <si>
    <t>KHL (Riga)</t>
  </si>
  <si>
    <t>D. Skuhrovec</t>
  </si>
  <si>
    <t>J. Vopat</t>
  </si>
  <si>
    <t>M. Hrbas</t>
  </si>
  <si>
    <t>M. Stříteský</t>
  </si>
  <si>
    <t>Můj výjezdový plán - nic kvůli koronáči</t>
  </si>
  <si>
    <t>sezóna 2021/2022</t>
  </si>
  <si>
    <t>G. Estephan</t>
  </si>
  <si>
    <t>T. Danielčák</t>
  </si>
  <si>
    <t>Sokolov</t>
  </si>
  <si>
    <t>Příprava na sezónu 2021/2022</t>
  </si>
  <si>
    <t>Patrik Zdráhal</t>
  </si>
  <si>
    <t>Aaron Irving</t>
  </si>
  <si>
    <t>Uvis Janis Balinskis</t>
  </si>
  <si>
    <t>Patrik Demel</t>
  </si>
  <si>
    <t>Oskars Cibulskis</t>
  </si>
  <si>
    <t>Martin Látal</t>
  </si>
  <si>
    <t>Jiří Fronk</t>
  </si>
  <si>
    <t>Lukáš Žejdl</t>
  </si>
  <si>
    <t>Denis Zeman</t>
  </si>
  <si>
    <t>Marek Slavík</t>
  </si>
  <si>
    <t>Daniel Kolář</t>
  </si>
  <si>
    <t>ÚTOČNÍCÍ, KTEŘÍ PO SEZÓNĚ ODEŠLI</t>
  </si>
  <si>
    <t xml:space="preserve">2018-19 </t>
  </si>
  <si>
    <t xml:space="preserve">HC Plzen </t>
  </si>
  <si>
    <t xml:space="preserve">Czech </t>
  </si>
  <si>
    <t>|</t>
  </si>
  <si>
    <t xml:space="preserve">Playoffs </t>
  </si>
  <si>
    <t xml:space="preserve">2019-20 </t>
  </si>
  <si>
    <t xml:space="preserve">2020-21 </t>
  </si>
  <si>
    <t>HC Plzen “A”</t>
  </si>
  <si>
    <t>G</t>
  </si>
  <si>
    <t>A</t>
  </si>
  <si>
    <t>TP</t>
  </si>
  <si>
    <t>PIM</t>
  </si>
  <si>
    <t>+/-</t>
  </si>
  <si>
    <t>POST</t>
  </si>
  <si>
    <t>PETR STRAKA</t>
  </si>
  <si>
    <t>ANDREJ KUDRNA</t>
  </si>
  <si>
    <t xml:space="preserve">HC Sparta Praha </t>
  </si>
  <si>
    <t xml:space="preserve">Slovakia (all) </t>
  </si>
  <si>
    <t xml:space="preserve">International </t>
  </si>
  <si>
    <t>MATUŠ SUKEL</t>
  </si>
  <si>
    <t xml:space="preserve">Slovakia </t>
  </si>
  <si>
    <t xml:space="preserve">WC </t>
  </si>
  <si>
    <t xml:space="preserve">HC Slovan Bratislava </t>
  </si>
  <si>
    <t xml:space="preserve">KHL </t>
  </si>
  <si>
    <t xml:space="preserve">HK 32 Liptovsky Mikulas </t>
  </si>
  <si>
    <t>Petr Straka</t>
  </si>
  <si>
    <t>Andrej Kudrna</t>
  </si>
  <si>
    <t>Matuš Sukel</t>
  </si>
  <si>
    <t>GIORGIO ESTEPHAN</t>
  </si>
  <si>
    <t xml:space="preserve">Toronto Marlies </t>
  </si>
  <si>
    <t xml:space="preserve">AHL </t>
  </si>
  <si>
    <t xml:space="preserve">Newfoundland Growlers </t>
  </si>
  <si>
    <t xml:space="preserve">ECHL </t>
  </si>
  <si>
    <t xml:space="preserve">Stockton Heat </t>
  </si>
  <si>
    <t xml:space="preserve">Kansas City Mavericks </t>
  </si>
  <si>
    <t>AHL total</t>
  </si>
  <si>
    <t>ECHL total</t>
  </si>
  <si>
    <t>dohromady</t>
  </si>
  <si>
    <t>2020-21</t>
  </si>
  <si>
    <t>Straka, Kudrna a Sukel v sezóně 20/21 (ZČ)</t>
  </si>
  <si>
    <t>3 pravidelně hrající hráči (Hanzl, Helt, Látal)</t>
  </si>
  <si>
    <t>Základní část 2020/2021</t>
  </si>
  <si>
    <t>Straka, Kudrna a Sukel</t>
  </si>
  <si>
    <t>HRÁČI, KTEŘÍ PO SEZÓNĚ ZŮSTALI V KÁDRU</t>
  </si>
  <si>
    <t>10 útočníků, kteří v kádru zůstali na další sezónu</t>
  </si>
  <si>
    <t>Celkem statistiky útočníků, kteří budou hrát v příští sezóně</t>
  </si>
  <si>
    <t>útočníci, kteří odešli (ZČ) - 10 hráčů</t>
  </si>
  <si>
    <t>NOVÍ ÚTOČNÍCÍ, KTEŘÍ PŘIŠLI PO SEZÓNĚ A JEJICH POSLEDNÍ 3 SEZÓNY</t>
  </si>
  <si>
    <t>IT/zápas</t>
  </si>
  <si>
    <t>2018-19</t>
  </si>
  <si>
    <t> Bili Tygri Liberec </t>
  </si>
  <si>
    <t>Czech</t>
  </si>
  <si>
    <t>Playoffs</t>
  </si>
  <si>
    <t>2019-20</t>
  </si>
  <si>
    <t> HC Energie Karlovy Vary </t>
  </si>
  <si>
    <t> HC Plzen</t>
  </si>
  <si>
    <t>MATĚJ STŘÍTESKÝ</t>
  </si>
  <si>
    <t>OBRÁNCI, KTEŘÍ PO SEZÓNĚ ODEŠLI</t>
  </si>
  <si>
    <t> HC Vitkovice</t>
  </si>
  <si>
    <t> Amur Khabarovsk</t>
  </si>
  <si>
    <t> Czech Republic (all)</t>
  </si>
  <si>
    <t>International</t>
  </si>
  <si>
    <t> BK Mlada Boleslav</t>
  </si>
  <si>
    <t>MAREK HRBAS</t>
  </si>
  <si>
    <t>DANIEL KOLÁŘ</t>
  </si>
  <si>
    <t> LHK Jestrabi Prostejov</t>
  </si>
  <si>
    <t>Czech2</t>
  </si>
  <si>
    <t> HC Dynamo Pardubice </t>
  </si>
  <si>
    <t> HC Dukla Jihlava</t>
  </si>
  <si>
    <t> HC Litvinov </t>
  </si>
  <si>
    <t>v Chomutově</t>
  </si>
  <si>
    <t>3:0; 3:2; 4:2</t>
  </si>
  <si>
    <t>Godla - Demel, Irving, Hrbas, Balinskis, Kolář, Stříteský, Zeman - Pospíšil, Hübl (C), Lukeš (A) - Kudrna, Estephan, Zdráhal - Straka (A), Sukeľ, Jarůšek - Stehlík, Havelka, Zygmunt</t>
  </si>
  <si>
    <t>17. Richard JARŮŠEK (1)  (František LUKEŠ (1), Tomáš POSPÍŠIL (1)) (PP)</t>
  </si>
  <si>
    <t>19. Richard JARŮŠEK (1)  (František LUKEŠ (1), Tomáš POSPÍŠIL (1)) (PP)</t>
  </si>
  <si>
    <t>34. Petr STRAKA (1) (SH)</t>
  </si>
  <si>
    <t>57. Patrik ZDRÁHAL (1)  (Patrik DEMEL (1), Giorgio ESTEPHAN (1))</t>
  </si>
  <si>
    <t>Godla (Zajíček) – Demel, Irving, Balinskis, D. Zeman, Strejček, Stříteský, O. Baláž – Pospíšil, V. Hübl (C), F. Lukeš (A) – Kudrna, Estephan, P. Zdráhal – Straka (A), Jícha, Jarůšek – L. Stehlík, M. Havelka, Zygmunt</t>
  </si>
  <si>
    <t>0:1; 2:1; 2:2; 3:2sn (sn: 0:1; 1:1; 1:2; 3:2)</t>
  </si>
  <si>
    <t>Zajíček (Godla) - Irving, Demel, Zeman, Balinskis, Stříteský, Strejček - Lukeš (A), Hübl (C), Pospíšil - Zdráhal, Estephan, Kudrna - Jarůšek, Jícha, Straka (A) - Zygmunt, Havelka, Stehlík</t>
  </si>
  <si>
    <t>20. Richard JARŮŠEK (2)  (Patrik DEMEL (2))</t>
  </si>
  <si>
    <t>53. Richard JARŮŠEK (3)  (Matěj STŘÍTESKÝ (2), Patrik ZDRÁHAL (1))</t>
  </si>
  <si>
    <t xml:space="preserve">1 LIT Neproměnil Andrej KUDRNA (17)  
2 LIB Gól Jakub KLEPIŠ (21)  
3 LIT Gól Giorgio ESTEPHAN (88)  
4 LIB Neproměnil Tomáš FILIPPI (41)  
5 LIT Neproměnil Richard JARŮŠEK (96)  
6 LIB Gól Michal BIRNER (16)  
7 LIT Neproměnil Petr STRAKA (23)  
8 LIB Neproměnil Jaroslav VLACH (53)  
9 LIT Gól Patrik ZDRÁHAL (25)  
10 LIB Neproměnil Tomáš ZÁBORSKÝ (67)  
11 LIB Neproměnil Jakub KLEPIŠ (21)  
12 LIT Neproměnil Giorgio ESTEPHAN (88)  
13 LIB Neproměnil Michal BIRNER (16)  
14 LIT Gól Patrik ZDRÁHAL (25)  
</t>
  </si>
  <si>
    <t>2:0; 2:1; 3:1; 3:3; 3:4pp</t>
  </si>
  <si>
    <t>8. František LUKEŠ (1)  (Tomáš POSPÍŠIL (2), Viktor HÜBL (1)) (PP)</t>
  </si>
  <si>
    <t>20. Giorgio ESTEPHAN (2)  (Patrik ZDRÁHAL (2), Andrej KUDRNA (1))</t>
  </si>
  <si>
    <t>39. Andrej KUDRNA (1)  (Matěj STŘÍTESKÝ (3), Giorgio ESTEPHAN (2)) (PP)</t>
  </si>
  <si>
    <t>0:1; 1:1; 1:2; 2:2; 2:3</t>
  </si>
  <si>
    <t>Godla - Irving, Demel, D. Zeman, Balinskis, Stříteský, Hrbas, Strejček - F. Lukeš "A", V. Hübl "C", Pospíšil - Zdráhal, Estephan, Kudrna - Jarůšek, Jícha, Straka "A", Zygmunt, M. Havelka, L. Stehlík</t>
  </si>
  <si>
    <t>Godla (Zajíček) – Irving, Demel, Stříteský, Balinskis, Hrbas, O. Baláž, D. Zeman – F. Lukeš (A), V. Hübl (C), Pospíšil – P. Zdráhal, Estephan, Jarůšek – Kudrna, Jícha, Straka (A) – Zygmunt, M. Havelka, L. Stehlík</t>
  </si>
  <si>
    <t>1:0; 1:6; 2:6; 2:7; 4:7</t>
  </si>
  <si>
    <t>0:1; 1:1; 1:2; 2:2; 2:4; 3:4; 3:6; 4:6</t>
  </si>
  <si>
    <t>Zajíček – Hrbas, Irving, Balinskis, Stříteský, Demel, D. Zeman – Pospíšil, V. Hübl, F. Lukeš – Kudrna, Estephan, P. Zdráhal – Straka, Jícha, Jarůšek – L. Stehlík, M. Havelka, Zygmunt.</t>
  </si>
  <si>
    <t>23. Lukáš STEHLÍK (1)</t>
  </si>
  <si>
    <t xml:space="preserve">45. Petr STRAKA (2)  (Matěj STŘÍTESKÝ (4), Jan STREJČEK (1)) </t>
  </si>
  <si>
    <t>12. Tomáš POSPÍŠIL (1)  (Viktor HÜBL (2), Ondřej BALÁŽ (1))</t>
  </si>
  <si>
    <t>43. Richard JARŮŠEK (4)  (Marek HRBAS (1), Patrik ZDRÁHAL (4))</t>
  </si>
  <si>
    <t>58. Pawel ZYGMUNT (1)  (Patrik DEMEL (3))</t>
  </si>
  <si>
    <t>60. Patrik DEMEL (1)  (Petr STRAKA (1), Denis ZEMAN (1))</t>
  </si>
  <si>
    <t>výjezd fanklub</t>
  </si>
  <si>
    <t>Godla – Irving, Hrbas, Stříteský, Balinskis, D. Zeman, Demel – F. Lukeš (A), V. Hübl (C), Pospíšil – P. Zdráhal, Estephan, Kudrna – Jarůšek, Jícha, Straka (A) – Helt, Jurčík, L. Stehlík.</t>
  </si>
  <si>
    <t>0:2; 1:2; 1:3; 2:3; 2:5</t>
  </si>
  <si>
    <t>1:0; 1:2; 2:2; 2:3sn (sn: 0:1; 1:1; 1:2)</t>
  </si>
  <si>
    <t>Godla – Hrbas, Irving, Balinskis, Stříteský, Demel, D. Zeman, D. Kolář – Straka (A), V. Hübl (C), F. Lukeš (A) – Kudrna, Estephan, P. Zdráhal – Pospíšil, Gerhát, Jarůšek – L. Stehlík, Jurčík, M. Havelka.</t>
  </si>
  <si>
    <t>Godla  – Irving, Hrbas, Stříteský, Balinskis, D. Zeman, Demel, D. Kolář – F. Lukeš (A), V. Hübl (C), Straka (A) – P. Zdráhal, Estephan, Kudrna – Jarůšek, Gerhát, Pospíšil – M. Havelka, Jurčík, L. Stehlík</t>
  </si>
  <si>
    <t>Godla – Hrbas, Irving, Balinskis, Stříteský, D. Kolář, Demel – Pospíšil, V. Hübl (C), F. Lukeš (A) – Kudrna, Estephan, P. Zdráhal – P. Straka (A), Gerhát, Jarůšek – L. Stehlík, J. Jícha, M. Havelka.</t>
  </si>
  <si>
    <t>2:0; 2:3; 3:3; 3:4</t>
  </si>
  <si>
    <t>M. Latta</t>
  </si>
  <si>
    <t>3:0; 3:1; 4:1</t>
  </si>
  <si>
    <t>Godla – Hrbas, Irving, Balinskis, Stříteský, D. Kolář, Demel, D. Zeman – P. Straka (A), Gerhát, Jarůšek – Kudrna, Estephan, P. Zdráhal – Pospíšil, V. Hübl (C), F. Lukeš (A) – L. Stehlík, Latta, M. Havelka.</t>
  </si>
  <si>
    <t>5. Aaron IRVING (1)  (Richard JARŮŠEK (1), Marek HRBAS (2))</t>
  </si>
  <si>
    <t>29. Giorgio ESTEPHAN (3)  (Uvis Janis BALINSKIS (1), Richard JARŮŠEK (2))</t>
  </si>
  <si>
    <t>46. Andrej KUDRNA (2)  (Patrik ZDRÁHAL (5))  (PP)</t>
  </si>
  <si>
    <t>55. Tomáš POSPÍŠIL (2)  (Viktor HÜBL (3), Uvis Janis BALINSKIS (2))</t>
  </si>
  <si>
    <t>16. Marek HRBAS (1)  (Richard JARŮŠEK (3), Josef JÍCHA (1))</t>
  </si>
  <si>
    <t>19. Aaron IRVING (2)  (Patrik ZDRÁHAL (6), Giorgio ESTEPHAN (3)) (PP)</t>
  </si>
  <si>
    <t>18. Viktor HÜBL (1)  (Petr STRAKA (2), František LUKEŠ (2))</t>
  </si>
  <si>
    <t>39. Uvis Janis BALINSKIS (1)  (Viktor HÜBL (4), František LUKEŠ (3))</t>
  </si>
  <si>
    <t xml:space="preserve">1 LIT Neproměnil Andrej KUDRNA (17)  
2 MBL Neproměnil David BERNAD (17)  
3 LIT Neproměnil Petr STRAKA (23)  
4 MBL Gól Pavel KOUSAL (23)  
5 LIT Gól Giorgio ESTEPHAN (88)  
6 MBL Neproměnil Jan STRÁNSKÝ (91)  
7 LIT Neproměnil Viktor HÜBL (26)  
8 MBL Neproměnil Pavel PÝCHA (12)  
9 LIT Neproměnil Patrik ZDRÁHAL (25)  
10 MBL Gól David ŠŤASTNÝ (29)  
</t>
  </si>
  <si>
    <t>3. Martin HAVELKA (1)  (Lukáš STEHLÍK (1))</t>
  </si>
  <si>
    <t>9. Patrik ZDRÁHAL (2)  (Andrej KUDRNA (2))</t>
  </si>
  <si>
    <t>39. Viktor HÜBL (2)  (František LUKEŠ (4), Matěj STŘÍTESKÝ (5))</t>
  </si>
  <si>
    <t>Godla – Hrbas, Irving, Balinskis, Stříteský, Demel, D. Kolář, D. Zeman – P. Straka (A), Gerhát, Jarůšek – Kudrna, Estephan, P. Zdráhal – Pospíšil, V. Hübl (C), F. Lukeš (A) – L. Stehlík, Latta, M. Havelka.</t>
  </si>
  <si>
    <t>0:1; 3:1; 3:4</t>
  </si>
  <si>
    <t>Statistiky zápasů po jednotlivých částech ligy - sezóna 2021/2022</t>
  </si>
  <si>
    <t>Do 15. kola (do 17. 10. 2021)</t>
  </si>
  <si>
    <t>POŘ.</t>
  </si>
  <si>
    <t>Giorgio Estephan</t>
  </si>
  <si>
    <t>Matěj Stříteský</t>
  </si>
  <si>
    <t>Marek Hrbas</t>
  </si>
  <si>
    <t>Matúš Sukeľ</t>
  </si>
  <si>
    <t>Michael Latta</t>
  </si>
  <si>
    <t>Statistiky základní část - po první čtvrtině</t>
  </si>
  <si>
    <t>Zápasy</t>
  </si>
  <si>
    <t>Góly</t>
  </si>
  <si>
    <t>Asistence</t>
  </si>
  <si>
    <t>Body/záp.</t>
  </si>
  <si>
    <t>1. čtvrtina</t>
  </si>
  <si>
    <t>2. čtvrtina</t>
  </si>
  <si>
    <t>3. čtvrtina</t>
  </si>
  <si>
    <t>4. čtvrtina</t>
  </si>
  <si>
    <t>Godla (Zajíček) – Irving, Hrbas, Stříteský, Balinskis, Demel, D. Zeman, Strejček – P. Zdráhal, Estephan, Kudrna – F. Lukeš (A), V. Hübl (C), Jarůšek – Pospíšil, Gerhát, Latta – M. Havelka, J. Jícha, P. Svoboda</t>
  </si>
  <si>
    <t>Godla  – Hrbas, Irving, Balinskis, Stříteský, D. Zeman, Demel, Strejček – Jarůšek, Estephan, P. Zdráhal – Pospíšil, V. Hübl (C), F. Lukeš (A) – P. Straka (A), Gerhát, P. Svoboda – Zygmunt, Latta, M. Havelka</t>
  </si>
  <si>
    <t>1:0; 1:1; 4:1; 4:3</t>
  </si>
  <si>
    <t>25. Richard JARŮŠEK (6) (Denis ZEMAN (2), Přemysl SVOBODA (1))</t>
  </si>
  <si>
    <t>43. Pawel ZYGMUNT (2)  (Aaron IRVING (4), Přemysl SVOBODA (2))</t>
  </si>
  <si>
    <t>44. Richard JARŮŠEK (7)  (Patrik ZDRÁHAL (8), Giorgio ESTEPHAN (6))</t>
  </si>
  <si>
    <t>53. Patrik ZDRÁHAL (6) (Giorgio ESTEPHAN (7), Aaron IRVING (5)) (PP)</t>
  </si>
  <si>
    <t>3. Viktor HÜBL (3) (Tomáš POSPÍŠIL (3), František LUKEŠ (5))</t>
  </si>
  <si>
    <t>57. Patrik ZDRÁHAL (3)  (Giorgio ESTEPHAN (4))</t>
  </si>
  <si>
    <t>59. Richard JARŮŠEK (5)  (Uvis Janis BALINSKIS (3), Denis GODLA (1)) (EN)</t>
  </si>
  <si>
    <t>9. Andrej KUDRNA (3)  (Patrik ZDRÁHAL (7), Matěj STŘÍTESKÝ (6))</t>
  </si>
  <si>
    <t>30. Patrik ZDRÁHAL (4) (Andrej KUDRNA (3), Uvis Janis BALINSKIS (4))</t>
  </si>
  <si>
    <t>33. Marek HRBAS (2) (Giorgio ESTEPHAN (5), Andrej KUDRNA (4))</t>
  </si>
  <si>
    <t>60. Giorgio ESTEPHAN (4)  (František LUKEŠ (6), Marek HRBAS (3)) (EN)</t>
  </si>
  <si>
    <t>11. Petr STRAKA (3)  (Aaron IRVING (2), Andrej KUDRNA (5)) (PP)</t>
  </si>
  <si>
    <t>25.  Patrik ZDRÁHAL (5)  (Lukáš STEHLÍK (2), František GERHÁT (1))</t>
  </si>
  <si>
    <t>28. Giorgio ESTEPHAN (5) (Matěj STŘÍTESKÝ (7), Aaron IRVING (3)) (PP)</t>
  </si>
  <si>
    <t xml:space="preserve">Godla – Hrbas, Irving, Balinskis, Stříteský, Zeman, Demel, Strejček – Jarůšek, Estephan, Zdráhal – Pospíšil, Hübl, Lukeš – Straka, Gerhát, Svoboda – Zygmunt, Latta, Havelka. </t>
  </si>
  <si>
    <t xml:space="preserve">Godla – Hrbas, Irving, Balinskis, Stříteský, Zeman, Demel – Jarůšek, Estephan, Zdráhal – Pospíšil, Hübl, Lukeš – Straka, Gerhát, Svoboda – Zygmunt, Latta, Havelka. </t>
  </si>
  <si>
    <t>Godla – Hrbas, Irving, Balinskis, Stříteský, Zeman, Demel – Jarůšek, Estephan, Zdráhal – Straka, Hübl, Lukeš – Kudrna, Gerhát, Svoboda – Zygmunt, Latta, Havelka</t>
  </si>
  <si>
    <t>Godla – Demel, Balinskis, Stříteský, Hrbas, D. Zeman, Irving – Zygmunt, Kudrna, Gerhát – P. Straka (A), P. Zdráhal, V. Hübl (C) – Latta, M. Chalupa, Pospíšil – Estephan, Jarůšek, P. Svoboda.</t>
  </si>
  <si>
    <t>M. Chalupa</t>
  </si>
  <si>
    <t>0:1; 1:1; 1:2; 2:2; 2:5</t>
  </si>
  <si>
    <t>2:0; 2:1; 3:1; 3:3; 4:3</t>
  </si>
  <si>
    <t>Godla vychytal 1 trestné střílení</t>
  </si>
  <si>
    <t>1:0; 1:1; 2:1; 2:4</t>
  </si>
  <si>
    <t>2:0; 2:1; 3:1; 3:2</t>
  </si>
  <si>
    <t xml:space="preserve">Zajíček – Hrbas, Irving, Balinskis, Stříteský, Demel, D. Zeman, O. Baláž – Jarůšek, Estephan, P. Zdráhal – P. Straka (A), V. Hübl (C), M. Chalupa – Kudrna, Latta, P. Svoboda – Zygmunt, Gerhát, L. Stehlík. </t>
  </si>
  <si>
    <t>Godla – Irving, Hrbas, Stříteský, Balinskis, D. Zeman, Demel, O. Baláž – P. Zdráhal, Estephan, Jarůšek – F. Lukeš (A), V. Hübl (C), P. Straka (A) – M. Chalupa, Latta, Kudrna – P. Svoboda, Gerhát, Zygmunt</t>
  </si>
  <si>
    <t>25. Patrik ZDRÁHAL (7) (Giorgio ESTEPHAN (8), Richard JARŮŠEK (4))</t>
  </si>
  <si>
    <t>42. Patrik DEMEL (2) (Petr STRAKA (3))</t>
  </si>
  <si>
    <t>14. Marek HRBAS (3)  (Giorgio ESTEPHAN (9))</t>
  </si>
  <si>
    <t>27.  Patrik DEMEL (3)  (Petr STRAKA (4), Viktor HÜBL (5))</t>
  </si>
  <si>
    <t>7. Giorgio ESTEPHAN (6)  (Uvis Janis BALINSKIS (5), Aaron IRVING (6)) (PP)</t>
  </si>
  <si>
    <t>8. Viktor HÜBL (4)  (Uvis Janis BALINSKIS (6), Petr STRAKA (5))</t>
  </si>
  <si>
    <t>20. Richard JARŮŠEK (8)  (Giorgio ESTEPHAN (10))</t>
  </si>
  <si>
    <t>43.  František GERHÁT (1) (Denis ZEMAN (3), Patrik DEMEL (4))</t>
  </si>
  <si>
    <t xml:space="preserve">Godla – Hrbas, Irving, Balinskis, Stříteský, Demel, D. Zeman, O. Baláž – Kudrna, Estephan, P. Zdráhal – P. Straka (A), V. Hübl (C), Jarůšek – P. Svoboda, M. Chalupa, Latta – Zygmunt, Gerhát, L. Stehlík. </t>
  </si>
  <si>
    <t>po 7. 11. 21</t>
  </si>
  <si>
    <t>58:66</t>
  </si>
  <si>
    <t>nastoupil V. Růžička jako trenér místo V. Orságha</t>
  </si>
  <si>
    <t>B%</t>
  </si>
  <si>
    <t>SB</t>
  </si>
  <si>
    <t>SP</t>
  </si>
  <si>
    <t>Př</t>
  </si>
  <si>
    <t>Os</t>
  </si>
  <si>
    <t>VV</t>
  </si>
  <si>
    <t>H</t>
  </si>
  <si>
    <t>T</t>
  </si>
  <si>
    <t>25.32</t>
  </si>
  <si>
    <t>28.38</t>
  </si>
  <si>
    <t>83.12</t>
  </si>
  <si>
    <t>51.32</t>
  </si>
  <si>
    <t>31.38</t>
  </si>
  <si>
    <t>26.24</t>
  </si>
  <si>
    <t>24.00</t>
  </si>
  <si>
    <t>51.77</t>
  </si>
  <si>
    <t>31.09</t>
  </si>
  <si>
    <t>29.68</t>
  </si>
  <si>
    <t>85.39</t>
  </si>
  <si>
    <t>31.18</t>
  </si>
  <si>
    <t>26.55</t>
  </si>
  <si>
    <t>82.86</t>
  </si>
  <si>
    <t>48.30</t>
  </si>
  <si>
    <t>29.55</t>
  </si>
  <si>
    <t>26.18</t>
  </si>
  <si>
    <t>23.00</t>
  </si>
  <si>
    <t>50.43</t>
  </si>
  <si>
    <t>HC Motor České Budějovice</t>
  </si>
  <si>
    <t>28.71</t>
  </si>
  <si>
    <t>27.71</t>
  </si>
  <si>
    <t>77.33</t>
  </si>
  <si>
    <t>51.13</t>
  </si>
  <si>
    <t>27.55</t>
  </si>
  <si>
    <t>26.95</t>
  </si>
  <si>
    <t>52.14</t>
  </si>
  <si>
    <t>32.33</t>
  </si>
  <si>
    <t>28.33</t>
  </si>
  <si>
    <t>18.75</t>
  </si>
  <si>
    <t>75.95</t>
  </si>
  <si>
    <t>49.96</t>
  </si>
  <si>
    <t>31.43</t>
  </si>
  <si>
    <t>29.29</t>
  </si>
  <si>
    <t>59.94</t>
  </si>
  <si>
    <t>29.81</t>
  </si>
  <si>
    <t>51.31</t>
  </si>
  <si>
    <t>60:65</t>
  </si>
  <si>
    <t>29.95</t>
  </si>
  <si>
    <t>28.57</t>
  </si>
  <si>
    <t>74.60</t>
  </si>
  <si>
    <t>49.03</t>
  </si>
  <si>
    <t>33.40</t>
  </si>
  <si>
    <t>76.92</t>
  </si>
  <si>
    <t>38.83</t>
  </si>
  <si>
    <t>25.42</t>
  </si>
  <si>
    <t>30.32</t>
  </si>
  <si>
    <t>87.14</t>
  </si>
  <si>
    <t>47.05</t>
  </si>
  <si>
    <t>55:76</t>
  </si>
  <si>
    <t>34.19</t>
  </si>
  <si>
    <t>15.66</t>
  </si>
  <si>
    <t>73.63</t>
  </si>
  <si>
    <t>52.40</t>
  </si>
  <si>
    <t>37:78</t>
  </si>
  <si>
    <t>24.64</t>
  </si>
  <si>
    <t>36.64</t>
  </si>
  <si>
    <t>43.78</t>
  </si>
  <si>
    <t>24.70</t>
  </si>
  <si>
    <t>27.80</t>
  </si>
  <si>
    <t>50.85</t>
  </si>
  <si>
    <t>30.45</t>
  </si>
  <si>
    <t>27.73</t>
  </si>
  <si>
    <t>80.85</t>
  </si>
  <si>
    <t>50.36</t>
  </si>
  <si>
    <t>30.90</t>
  </si>
  <si>
    <t>29.60</t>
  </si>
  <si>
    <t>50.22</t>
  </si>
  <si>
    <t>28.20</t>
  </si>
  <si>
    <t>30.70</t>
  </si>
  <si>
    <t>51.20</t>
  </si>
  <si>
    <t>29.18</t>
  </si>
  <si>
    <t>29.00</t>
  </si>
  <si>
    <t>46.63</t>
  </si>
  <si>
    <t>30.91</t>
  </si>
  <si>
    <t>52.23</t>
  </si>
  <si>
    <t>31.25</t>
  </si>
  <si>
    <t>46.60</t>
  </si>
  <si>
    <t>28.82</t>
  </si>
  <si>
    <t>27.64</t>
  </si>
  <si>
    <t>49.92</t>
  </si>
  <si>
    <t>27.00</t>
  </si>
  <si>
    <t>26.33</t>
  </si>
  <si>
    <t>24.24</t>
  </si>
  <si>
    <t>77.14</t>
  </si>
  <si>
    <t>51.70</t>
  </si>
  <si>
    <t>29.64</t>
  </si>
  <si>
    <t>67.50</t>
  </si>
  <si>
    <t>47.41</t>
  </si>
  <si>
    <t>29.27</t>
  </si>
  <si>
    <t>29.91</t>
  </si>
  <si>
    <t>59.38</t>
  </si>
  <si>
    <t>29.56</t>
  </si>
  <si>
    <t>28.00</t>
  </si>
  <si>
    <t>54.14</t>
  </si>
  <si>
    <t>35.91</t>
  </si>
  <si>
    <t>77.55</t>
  </si>
  <si>
    <t>51.51</t>
  </si>
  <si>
    <t>24.33</t>
  </si>
  <si>
    <t>36.67</t>
  </si>
  <si>
    <t>36.15</t>
  </si>
  <si>
    <t>22.75</t>
  </si>
  <si>
    <t>36.50</t>
  </si>
  <si>
    <t>43.83</t>
  </si>
  <si>
    <t>30.92</t>
  </si>
  <si>
    <t>23.25</t>
  </si>
  <si>
    <t>27.91</t>
  </si>
  <si>
    <t>51.72</t>
  </si>
  <si>
    <t>32.40</t>
  </si>
  <si>
    <t>24.60</t>
  </si>
  <si>
    <t>24.32</t>
  </si>
  <si>
    <t>53.30</t>
  </si>
  <si>
    <t>33.50</t>
  </si>
  <si>
    <t>28.83</t>
  </si>
  <si>
    <t>32.43</t>
  </si>
  <si>
    <t>52.27</t>
  </si>
  <si>
    <t>29.54</t>
  </si>
  <si>
    <t>24.92</t>
  </si>
  <si>
    <t>22.73</t>
  </si>
  <si>
    <t>89.80</t>
  </si>
  <si>
    <t>48.03</t>
  </si>
  <si>
    <t>33.18</t>
  </si>
  <si>
    <t>50.08</t>
  </si>
  <si>
    <t>27.45</t>
  </si>
  <si>
    <t>52.50</t>
  </si>
  <si>
    <t>30.73</t>
  </si>
  <si>
    <t>74.36</t>
  </si>
  <si>
    <t>40.78</t>
  </si>
  <si>
    <t>36.20</t>
  </si>
  <si>
    <t>63.64</t>
  </si>
  <si>
    <t>50.00</t>
  </si>
  <si>
    <t>33.80</t>
  </si>
  <si>
    <t>28.60</t>
  </si>
  <si>
    <t>72.22</t>
  </si>
  <si>
    <t>60.53</t>
  </si>
  <si>
    <t>26.00</t>
  </si>
  <si>
    <t>51.95</t>
  </si>
  <si>
    <t>30.30</t>
  </si>
  <si>
    <t>50.78</t>
  </si>
  <si>
    <t>33.90</t>
  </si>
  <si>
    <t>71.88</t>
  </si>
  <si>
    <t>50.23</t>
  </si>
  <si>
    <t>26.14</t>
  </si>
  <si>
    <t>96.00</t>
  </si>
  <si>
    <t>47.87</t>
  </si>
  <si>
    <t>28.30</t>
  </si>
  <si>
    <t>32.30</t>
  </si>
  <si>
    <t>69.05</t>
  </si>
  <si>
    <t>53.36</t>
  </si>
  <si>
    <t>26.90</t>
  </si>
  <si>
    <t>36.80</t>
  </si>
  <si>
    <t>43.71</t>
  </si>
  <si>
    <t>Tabulky, když skončil Vlado Orságh a nastoupil Vláďa Růžička st.</t>
  </si>
  <si>
    <t>3. Uvis Janis BALINSKIS (2) (Patrik ZDRÁHAL (9), Giorgio ESTEPHAN (11)) (PP)</t>
  </si>
  <si>
    <t>26. Matěj CHALUPA (1)  (Petr STRAKA (6), Ondřej BALÁŽ (2))</t>
  </si>
  <si>
    <t>11. Michael LATTA (1)  (Přemysl SVOBODA (3))</t>
  </si>
  <si>
    <t>16. Andrej KUDRNA (4)  (Aaron IRVING (7), Giorgio ESTEPHAN (12)) (PP)</t>
  </si>
  <si>
    <t>37.  Richard JARŮŠEK (9) (Viktor HÜBL (6), František LUKEŠ (7))</t>
  </si>
  <si>
    <t>16. Matěj CHALUPA (2)  (Michael LATTA (1))</t>
  </si>
  <si>
    <t>25. Patrik ZDRÁHAL (8)  (Giorgio ESTEPHAN (13))</t>
  </si>
  <si>
    <t>29. Pawel ZYGMUNT (3)  (Michael LATTA (2), Patrik DEMEL (5))</t>
  </si>
  <si>
    <t>30.  Patrik ZDRÁHAL (9) (Petr STRAKA (7))</t>
  </si>
  <si>
    <t>19.35</t>
  </si>
  <si>
    <t>21.43</t>
  </si>
  <si>
    <t>5.00</t>
  </si>
  <si>
    <t>Matěj Chalupa</t>
  </si>
  <si>
    <t>Godla – Irving, Hrbas, Stříteský, Balinskis, D. Zeman, Demel, O. Baláž – P. Zdráhal, Estephan, P. Straka (A) – F. Lukeš (A), V. Hübl (C), M. Chalupa – Jarůšek, Sukeľ, Kudrna – Zygmunt, Gerhát, P. Svoboda.</t>
  </si>
  <si>
    <t>Godla – Hrbas, Irving, Balinskis, Stříteský, Demel, O. Baláž, D. Zeman – P. Straka (A), Estephan, P. Zdráhal – M. Chalupa, V. Hübl (C), F. Lukeš (A) – Kudrna, Sukeľ, J. Jícha – Zygmunt, Gerhát, Jurčík.</t>
  </si>
  <si>
    <t>1:0, 1:4, 2:4</t>
  </si>
  <si>
    <t>J. Neužil</t>
  </si>
  <si>
    <t>Godla (Zajíček) – Hrbas, Irving, O. Baláž, Balinskis, Demel, Stříteský, Strejček – P. Straka (A), Estephan, P. Zdráhal – M. Chalupa, V. Hübl (C), F. Lukeš (A) – Kudrna, Sukeľ, Jarůšek – Zygmunt, Gerhát, P. Svoboda.</t>
  </si>
  <si>
    <t>2:0; 2:2; 3:2; 3:3; 3:4sn (sn: 1:0; 1:2)</t>
  </si>
  <si>
    <t>Godla (Zajíček) – Hrbas, Irving, Strejček, Balinskis, Demel, Stříteský, O. Baláž – Kudrna, Estephan, P. Zdráhal – P. Straka (A), V. Hübl (C), F. Lukeš (A) – M. Chalupa, Sukeľ, Jarůšek – Latta, Gerhát, P. Svoboda</t>
  </si>
  <si>
    <t>Godla – Hrbas, Irving, Strejček, Balinskis, Demel, Stříteský, O. Baláž – Kudrna, Estephan, P. Zdráhal – M. Chalupa, V. Hübl (C), F. Lukeš (A) – P. Straka (A), Sukeľ, Jarůšek – Zygmunt, Gerhát, P. Svoboda.</t>
  </si>
  <si>
    <t>TS neproměnil G. Estephan</t>
  </si>
  <si>
    <t>1:0; 1:1; 2:1; 2:3</t>
  </si>
  <si>
    <t>21-22</t>
  </si>
  <si>
    <t>20-21</t>
  </si>
  <si>
    <t>19-20</t>
  </si>
  <si>
    <t>18-19</t>
  </si>
  <si>
    <t>17-18</t>
  </si>
  <si>
    <t>Godla (Zajíček) – Irving, O. Baláž, Balinskis, Hrbas, Stříteský, Demel, Strejček – P. Zdráhal, Estephan, M. Chalupa – F. Lukeš (A), V. Hübl (C), P. Straka (A) – Jarůšek, Sukeľ, Kudrna – Zygmunt, Gerhát, Jurčík.</t>
  </si>
  <si>
    <t>0:2; 2:2; 2:4; 3:4</t>
  </si>
  <si>
    <t>Do 30. kola (do 5. 12. 2021)</t>
  </si>
  <si>
    <t>Godla – Demel, Irving, Hrbas, Balinskis, O. Baláž, Stříteský, D. Zeman – P. Straka (A), Estephan, Jarůšek – M. Chalupa, V. Hübl (C), P. Zdráhal – Kudrna, Sukeľ, F. Lukeš (A) – Zygmunt, Gerhát, Válek</t>
  </si>
  <si>
    <t>Do 30. kola (od 18. 10. 2021 do 5. 12. 2021)</t>
  </si>
  <si>
    <t>16.95</t>
  </si>
  <si>
    <t>16. Uvis Janis BALINSKIS (3) (Giorgio ESTEPHAN (14), Patrik ZDRÁHAL (10)) (PP)</t>
  </si>
  <si>
    <t>17. Marek HRBAS (4) (Matěj STŘÍTESKÝ (8), Matěj CHALUPA (1)) (PP)</t>
  </si>
  <si>
    <t>23. Giorgio ESTEPHAN (7) (Uvis Janis BALINSKIS (7)) (PP)</t>
  </si>
  <si>
    <t>31. Aaron IRVING (3) (Přemysl SVOBODA (4), Pawel ZYGMUNT (1))</t>
  </si>
  <si>
    <t>40. Viktor HÜBL (5) (Patrik ZDRÁHAL (11)) (PP)</t>
  </si>
  <si>
    <t>10. Uvis Janis BALINSKIS (4) (Ondřej JURČÍK (1))</t>
  </si>
  <si>
    <t>58.  Viktor HÜBL (6) (František LUKEŠ (8), Matěj CHALUPA (2))</t>
  </si>
  <si>
    <t>8. Patrik ZDRÁHAL (10) (Patrik DEMEL (6), Petr STRAKA (8))</t>
  </si>
  <si>
    <t>30. Patrik DEMEL (4) (Petr STRAKA (9)) (SH)</t>
  </si>
  <si>
    <t>43. Richard JARŮŠEK (10) (Patrik ZDRÁHAL (12), Giorgio ESTEPHAN (15)) (PP)</t>
  </si>
  <si>
    <t>6. Aaron IRVING (4) (Michael LATTA (3), František GERHÁT (2))</t>
  </si>
  <si>
    <t>29. František LUKEŠ (2) (Matěj CHALUPA (3), Uvis Janis BALINSKIS (8))</t>
  </si>
  <si>
    <t>38. Přemysl SVOBODA (1) (Michael LATTA (4))</t>
  </si>
  <si>
    <t>1.  Giorgio ESTEPHAN (8) (Patrik ZDRÁHAL (13))</t>
  </si>
  <si>
    <t>22. Matěj STŘÍTESKÝ (1) (Richard JARŮŠEK (5), Patrik DEMEL (7))</t>
  </si>
  <si>
    <t>36. Matěj CHALUPA (3) (Matěj STŘÍTESKÝ (9), Marek HRBAS (4)) (PP)</t>
  </si>
  <si>
    <t>37. Ondřej BALÁŽ (1) (Andrej KUDRNA (6))</t>
  </si>
  <si>
    <t>56. Matúš SUKEĽ (1) (Andrej KUDRNA (7), Uvis Janis BALINSKIS (9))</t>
  </si>
  <si>
    <t>10. Giorgio ESTEPHAN (9) (Ondřej BALÁŽ (3))</t>
  </si>
  <si>
    <t>11. Andrej KUDRNA (5) (František LUKEŠ (9), Patrik DEMEL (8))</t>
  </si>
  <si>
    <t>43. Patrik ZDRÁHAL (11) (Patrik DEMEL (9), Viktor HÜBL (7))</t>
  </si>
  <si>
    <t>Godla (Neužil) – Balinskis, Irving, Hrbas, Strejček, Demel, Stříteský – M. Chalupa, Estephan, P. Svoboda – P. Straka (A), V. Hübl (C), Jarůšek – Kudrna, Sukeľ, F. Lukeš (A) – Zygmunt, Gerhát, Jurčík</t>
  </si>
  <si>
    <t>Godla – Hrbas, Irving, Balinskis, D. Zeman, Demel, Stříteský, O. Baláž – P. Straka (A), Estephan, Jarůšek – M. Chalupa, V. Hübl (C), P. Svoboda – Kudrna, Sukeľ, F. Lukeš (A) – Zygmunt, Gerhát, Jurčík.</t>
  </si>
  <si>
    <t>26. Uvis Janis BALINSKIS (5)  (František LUKEŠ (10), Matúš SUKEĽ (1))</t>
  </si>
  <si>
    <t>0:2; 1:2; 1:4</t>
  </si>
  <si>
    <t>TS neproměnil R. Jarůšek</t>
  </si>
  <si>
    <t>TS neproměnil P. Zdráhal</t>
  </si>
  <si>
    <t>Godla – Balinskis, Irving, Hrbas, Strejček, Demel, Stříteský, D. Kolář – M. Chalupa, Estephan, P. Svoboda – P. Straka (A), V. Hübl (C), P. Zdráhal – Kudrna, Sukeľ, Jarůšek – Zygmunt, Gerhát, J. Jícha.</t>
  </si>
  <si>
    <t>1:0; 1:2; 2:2; 2:3pp</t>
  </si>
  <si>
    <t>0:3; 1:3; 1:5</t>
  </si>
  <si>
    <t>0:1; 1:1; 1:3; 3:3; 4:3pp</t>
  </si>
  <si>
    <t xml:space="preserve">Godla – Balinskis, Irving, Demel, Stříteský, Hrbas, Strejček, Kolář – Chalupa, Estephan, Zdráhal – Straka, Hübl, Jarůšek – Kudrna, Sukeľ, Lukeš – Zygmunt, Gerhát, Svoboda. </t>
  </si>
  <si>
    <t>Godla – Kolář, Irving, Hrbas, Strejček, Demel, Stříteský, Baláž – Straka, Estephan, Havelka – Kudrna, Hübl, Lukeš – Chalupa, Sukeľ, Jarůšek – Zygmunt, Jícha, Svoboda.</t>
  </si>
  <si>
    <t>Godla – Kolář, Irving, Balinskis, Strejček, Demel, Stříteský, Hrbas – Straka, Estephan, Havelka – Kudrna, Hübl, Lukeš – Chalupa, Sukeľ, Jarůšek – Zygmunt, Fronk, Svoboda.</t>
  </si>
  <si>
    <t>1:0; 1:2; 2:2; 2:3; 3:3; 3:4</t>
  </si>
  <si>
    <t>Godla – D. Kolář, Irving, Balinskis, Strejček, Demel, Stříteský, Hrbas – P. Straka (A), Estephan, M. Havelka – Kudrna, V. Hübl (C), F. Lukeš (A) – M. Chalupa, Sukeľ, Jarůšek – Zygmunt, Fronk, P. Svoboda.</t>
  </si>
  <si>
    <t>Godla – Kolář, Irving, Balinskis, Strejček, Demel, Stříteský, Hrbas – Straka, Estephan, Fronk – Kudrna, Hübl, Lukeš – Chalupa, Sukeľ, Jarůšek – Zygmunt, Jícha, Svoboda</t>
  </si>
  <si>
    <t>zase covid omezení, 1000 diváků</t>
  </si>
  <si>
    <t>Neužil – Balinskis, Irving, Hrbas, Strejček, Demel, Stříteský, Kolář – Chalupa, Estephan, Havelka – Straka, Hübl, Fronk – Slavík, Jícha, Jarůšek – Zygmunt, Jurčík, Berka.</t>
  </si>
  <si>
    <t>5:0; 5:1; 6:1</t>
  </si>
  <si>
    <t>17.  Jan STREJČEK (1) (SH)</t>
  </si>
  <si>
    <t>53.  Přemysl SVOBODA (2) (Aaron IRVING (8), Uvis Janis BALINSKIS (10))</t>
  </si>
  <si>
    <t>17.  Andrej KUDRNA (6) (Richard JARŮŠEK (6), Matěj STŘÍTESKÝ (10))</t>
  </si>
  <si>
    <t>29. Giorgio ESTEPHAN (10) (Andrej KUDRNA (8), Matúš SUKEĽ (2)) (PP)</t>
  </si>
  <si>
    <t>54. Aaron IRVING (5) (Patrik ZDRÁHAL (14), Giorgio ESTEPHAN (16))</t>
  </si>
  <si>
    <t>54.  Giorgio ESTEPHAN (11) (Martin HAVELKA (1), Matúš SUKEĽ (3)) (PP)</t>
  </si>
  <si>
    <t>16. Marek HRBAS (5) (Matěj STŘÍTESKÝ (11), Richard JARŮŠEK (7)) (PP)</t>
  </si>
  <si>
    <t>20.  Viktor HÜBL (7) (Giorgio ESTEPHAN (17), Aaron IRVING (9)) (PP)</t>
  </si>
  <si>
    <t>30. Josef JÍCHA (1) (Aaron IRVING (10), Andrej KUDRNA (9))</t>
  </si>
  <si>
    <t>13. Aaron IRVING (6) (Viktor HÜBL (8)) (PP)</t>
  </si>
  <si>
    <t>30. Matěj CHALUPA (4)</t>
  </si>
  <si>
    <t>44.  Matúš SUKEĽ (2) (Daniel KOLÁŘ (1), Matěj CHALUPA (4))</t>
  </si>
  <si>
    <t>62. Andrej KUDRNA (7) (Daniel KOLÁŘ (2))</t>
  </si>
  <si>
    <t>5.  Andrej KUDRNA (8) (František LUKEŠ (11), Viktor HÜBL (9))</t>
  </si>
  <si>
    <t>32. Uvis Janis BALINSKIS (6) (Viktor HÜBL (10), Andrej KUDRNA (10))</t>
  </si>
  <si>
    <t>41. Giorgio ESTEPHAN (12) (Martin HAVELKA (2), Aaron IRVING (11))</t>
  </si>
  <si>
    <t>11. Uvis Janis BALINSKIS (7) (Jiří FRONK (1))</t>
  </si>
  <si>
    <t>14. Petr STRAKA (4) (Jiří FRONK (2), Jan STREJČEK (2))</t>
  </si>
  <si>
    <t>Od 31. kola do 45. kola (od 6. 12. 2021 do 25. 1. 2022)</t>
  </si>
  <si>
    <t>Od 46. kola do 60. kola (od 26. 1. 2022 do konce zákl. č.)</t>
  </si>
  <si>
    <t>Godla – Balinskis, Irving, Hrbas, Strejček, Demel, Stříteský, D. Kolář – Jarůšek, Estephan, P. Zdráhal – P. Straka (A), V. Hübl (C), Fronk – M. Chalupa, Sukeľ, F. Lukeš (A) – Zygmunt, J. Jícha, M. Havelka.</t>
  </si>
  <si>
    <t>Statistiky základní část - po druhé čtvrtině</t>
  </si>
  <si>
    <t>TOI</t>
  </si>
  <si>
    <t>S</t>
  </si>
  <si>
    <t>S%</t>
  </si>
  <si>
    <t>PPG</t>
  </si>
  <si>
    <t>PPP</t>
  </si>
  <si>
    <t>SHG</t>
  </si>
  <si>
    <t>GWG</t>
  </si>
  <si>
    <t>plus/minus</t>
  </si>
  <si>
    <t>TOI/GP</t>
  </si>
  <si>
    <t>4.00</t>
  </si>
  <si>
    <t>Statistiky základní část - po třetí čtvrtině</t>
  </si>
  <si>
    <t>0:3; 1:3; 1:4; 2:4; 2:5</t>
  </si>
  <si>
    <t>Godla – Balinskis, Irving, Hrbas, Strejček, Demel, Stříteský, Kolář – Jarůšek, Estephan, Zdráhal – Straka, Hübl, Fronk – Kudrna, Sukeľ, Svoboda – Chalupa, Jurčík, Havelka</t>
  </si>
  <si>
    <t>Neužil – Hrbas, Irving, Kolář, Strejček, Demel, Stříteský, Baláž – Jarůšek, Estephan, Zdráhal – Straka, Hübl, Fronk – Kudrna, Sukeľ, Chalupa – Zygmunt, Jurčík, Havelka</t>
  </si>
  <si>
    <t>27. Marek HRBAS (6) (Giorgio ESTEPHAN (20), Patrik ZDRÁHAL (16))</t>
  </si>
  <si>
    <t>58.  Jiří FRONK (1) (Matěj STŘÍTESKÝ (12))</t>
  </si>
  <si>
    <t>1:0; 1:2; 2:2; 2:6</t>
  </si>
  <si>
    <t>Godla (Zajíček) – Kolář, Irving, Demel, Strejček, Hrbas, Baláž, Stříteský – Straka, Estephan, Zdráhal – Kudrna, Sukeľ, Jarůšek – Zygmunt, Hübl, Fronk – Havelka, Gerhát, Svoboda.</t>
  </si>
  <si>
    <t>17. Pawel ZYGMUNT (4) (Patrik DEMEL (11), Marek BERKA (1))</t>
  </si>
  <si>
    <t>38.  Petr STRAKA (5) (Uvis Janis BALINSKIS (11), Viktor HÜBL (11))</t>
  </si>
  <si>
    <t>45. Petr STRAKA (6) (Marek BERKA (2))</t>
  </si>
  <si>
    <t>50. Jan STREJČEK (2) (Josef JÍCHA (2))</t>
  </si>
  <si>
    <t>53. Petr STRAKA (7) (Viktor HÜBL (12), Jiří FRONK (3))</t>
  </si>
  <si>
    <t>57. Pawel ZYGMUNT (5) (Ondřej JURČÍK (2))</t>
  </si>
  <si>
    <t>24. Patrik ZDRÁHAL (12) (Richard JARŮŠEK (8), Giorgio ESTEPHAN (18))</t>
  </si>
  <si>
    <t>Sparta proměnila 1 trestné střílení</t>
  </si>
  <si>
    <t>7. Uvis Janis BALINSKIS (8) (Giorgio ESTEPHAN (19), Patrik ZDRÁHAL (15))</t>
  </si>
  <si>
    <t>20. Patrik ZDRÁHAL (13) (Aaron IRVING (12))</t>
  </si>
  <si>
    <t>49. Patrik ZDRÁHAL (14) (Richard JARŮŠEK (9))</t>
  </si>
  <si>
    <r>
      <t>Zajíček</t>
    </r>
    <r>
      <rPr>
        <sz val="11"/>
        <color theme="1"/>
        <rFont val="Calibri"/>
        <family val="2"/>
        <charset val="238"/>
        <scheme val="minor"/>
      </rPr>
      <t> (</t>
    </r>
    <r>
      <rPr>
        <sz val="11"/>
        <color rgb="FF212529"/>
        <rFont val="Calibri"/>
        <family val="2"/>
        <charset val="238"/>
        <scheme val="minor"/>
      </rPr>
      <t>Neužil</t>
    </r>
    <r>
      <rPr>
        <sz val="11"/>
        <color theme="1"/>
        <rFont val="Calibri"/>
        <family val="2"/>
        <charset val="238"/>
        <scheme val="minor"/>
      </rPr>
      <t>) – </t>
    </r>
    <r>
      <rPr>
        <sz val="11"/>
        <color rgb="FF212529"/>
        <rFont val="Calibri"/>
        <family val="2"/>
        <charset val="238"/>
        <scheme val="minor"/>
      </rPr>
      <t>D. Kolář</t>
    </r>
    <r>
      <rPr>
        <sz val="11"/>
        <color theme="1"/>
        <rFont val="Calibri"/>
        <family val="2"/>
        <charset val="238"/>
        <scheme val="minor"/>
      </rPr>
      <t>, </t>
    </r>
    <r>
      <rPr>
        <sz val="11"/>
        <color rgb="FF212529"/>
        <rFont val="Calibri"/>
        <family val="2"/>
        <charset val="238"/>
        <scheme val="minor"/>
      </rPr>
      <t>Irving</t>
    </r>
    <r>
      <rPr>
        <sz val="11"/>
        <color theme="1"/>
        <rFont val="Calibri"/>
        <family val="2"/>
        <charset val="238"/>
        <scheme val="minor"/>
      </rPr>
      <t>, </t>
    </r>
    <r>
      <rPr>
        <sz val="11"/>
        <color rgb="FF212529"/>
        <rFont val="Calibri"/>
        <family val="2"/>
        <charset val="238"/>
        <scheme val="minor"/>
      </rPr>
      <t>Demel</t>
    </r>
    <r>
      <rPr>
        <sz val="11"/>
        <color theme="1"/>
        <rFont val="Calibri"/>
        <family val="2"/>
        <charset val="238"/>
        <scheme val="minor"/>
      </rPr>
      <t>, </t>
    </r>
    <r>
      <rPr>
        <sz val="11"/>
        <color rgb="FF212529"/>
        <rFont val="Calibri"/>
        <family val="2"/>
        <charset val="238"/>
        <scheme val="minor"/>
      </rPr>
      <t>Strejček</t>
    </r>
    <r>
      <rPr>
        <sz val="11"/>
        <color theme="1"/>
        <rFont val="Calibri"/>
        <family val="2"/>
        <charset val="238"/>
        <scheme val="minor"/>
      </rPr>
      <t>, </t>
    </r>
    <r>
      <rPr>
        <sz val="11"/>
        <color rgb="FF212529"/>
        <rFont val="Calibri"/>
        <family val="2"/>
        <charset val="238"/>
        <scheme val="minor"/>
      </rPr>
      <t>Hrbas</t>
    </r>
    <r>
      <rPr>
        <sz val="11"/>
        <color theme="1"/>
        <rFont val="Calibri"/>
        <family val="2"/>
        <charset val="238"/>
        <scheme val="minor"/>
      </rPr>
      <t>, </t>
    </r>
    <r>
      <rPr>
        <sz val="11"/>
        <color rgb="FF212529"/>
        <rFont val="Calibri"/>
        <family val="2"/>
        <charset val="238"/>
        <scheme val="minor"/>
      </rPr>
      <t>O. Baláž</t>
    </r>
    <r>
      <rPr>
        <sz val="11"/>
        <color theme="1"/>
        <rFont val="Calibri"/>
        <family val="2"/>
        <charset val="238"/>
        <scheme val="minor"/>
      </rPr>
      <t>, </t>
    </r>
    <r>
      <rPr>
        <sz val="11"/>
        <color rgb="FF212529"/>
        <rFont val="Calibri"/>
        <family val="2"/>
        <charset val="238"/>
        <scheme val="minor"/>
      </rPr>
      <t>Stříteský</t>
    </r>
    <r>
      <rPr>
        <sz val="11"/>
        <color theme="1"/>
        <rFont val="Calibri"/>
        <family val="2"/>
        <charset val="238"/>
        <scheme val="minor"/>
      </rPr>
      <t> – </t>
    </r>
    <r>
      <rPr>
        <sz val="11"/>
        <color rgb="FF212529"/>
        <rFont val="Calibri"/>
        <family val="2"/>
        <charset val="238"/>
        <scheme val="minor"/>
      </rPr>
      <t>Zygmunt</t>
    </r>
    <r>
      <rPr>
        <sz val="11"/>
        <color theme="1"/>
        <rFont val="Calibri"/>
        <family val="2"/>
        <charset val="238"/>
        <scheme val="minor"/>
      </rPr>
      <t>, </t>
    </r>
    <r>
      <rPr>
        <sz val="11"/>
        <color rgb="FF212529"/>
        <rFont val="Calibri"/>
        <family val="2"/>
        <charset val="238"/>
        <scheme val="minor"/>
      </rPr>
      <t>Estephan</t>
    </r>
    <r>
      <rPr>
        <sz val="11"/>
        <color theme="1"/>
        <rFont val="Calibri"/>
        <family val="2"/>
        <charset val="238"/>
        <scheme val="minor"/>
      </rPr>
      <t>, </t>
    </r>
    <r>
      <rPr>
        <sz val="11"/>
        <color rgb="FF212529"/>
        <rFont val="Calibri"/>
        <family val="2"/>
        <charset val="238"/>
        <scheme val="minor"/>
      </rPr>
      <t>P. Zdráhal</t>
    </r>
    <r>
      <rPr>
        <sz val="11"/>
        <color theme="1"/>
        <rFont val="Calibri"/>
        <family val="2"/>
        <charset val="238"/>
        <scheme val="minor"/>
      </rPr>
      <t> – </t>
    </r>
    <r>
      <rPr>
        <sz val="11"/>
        <color rgb="FF212529"/>
        <rFont val="Calibri"/>
        <family val="2"/>
        <charset val="238"/>
        <scheme val="minor"/>
      </rPr>
      <t>Kudrna</t>
    </r>
    <r>
      <rPr>
        <sz val="11"/>
        <color theme="1"/>
        <rFont val="Calibri"/>
        <family val="2"/>
        <charset val="238"/>
        <scheme val="minor"/>
      </rPr>
      <t>, </t>
    </r>
    <r>
      <rPr>
        <sz val="11"/>
        <color rgb="FF212529"/>
        <rFont val="Calibri"/>
        <family val="2"/>
        <charset val="238"/>
        <scheme val="minor"/>
      </rPr>
      <t>Sukeľ</t>
    </r>
    <r>
      <rPr>
        <sz val="11"/>
        <color theme="1"/>
        <rFont val="Calibri"/>
        <family val="2"/>
        <charset val="238"/>
        <scheme val="minor"/>
      </rPr>
      <t>, </t>
    </r>
    <r>
      <rPr>
        <sz val="11"/>
        <color rgb="FF212529"/>
        <rFont val="Calibri"/>
        <family val="2"/>
        <charset val="238"/>
        <scheme val="minor"/>
      </rPr>
      <t>Jarůšek</t>
    </r>
    <r>
      <rPr>
        <sz val="11"/>
        <color theme="1"/>
        <rFont val="Calibri"/>
        <family val="2"/>
        <charset val="238"/>
        <scheme val="minor"/>
      </rPr>
      <t> – </t>
    </r>
    <r>
      <rPr>
        <sz val="11"/>
        <color rgb="FF212529"/>
        <rFont val="Calibri"/>
        <family val="2"/>
        <charset val="238"/>
        <scheme val="minor"/>
      </rPr>
      <t>P. Straka</t>
    </r>
    <r>
      <rPr>
        <sz val="11"/>
        <color theme="1"/>
        <rFont val="Calibri"/>
        <family val="2"/>
        <charset val="238"/>
        <scheme val="minor"/>
      </rPr>
      <t>, </t>
    </r>
    <r>
      <rPr>
        <sz val="11"/>
        <color rgb="FF212529"/>
        <rFont val="Calibri"/>
        <family val="2"/>
        <charset val="238"/>
        <scheme val="minor"/>
      </rPr>
      <t>V. Hübl</t>
    </r>
    <r>
      <rPr>
        <sz val="11"/>
        <color theme="1"/>
        <rFont val="Calibri"/>
        <family val="2"/>
        <charset val="238"/>
        <scheme val="minor"/>
      </rPr>
      <t>, </t>
    </r>
    <r>
      <rPr>
        <sz val="11"/>
        <color rgb="FF212529"/>
        <rFont val="Calibri"/>
        <family val="2"/>
        <charset val="238"/>
        <scheme val="minor"/>
      </rPr>
      <t>Fronk</t>
    </r>
    <r>
      <rPr>
        <sz val="11"/>
        <color theme="1"/>
        <rFont val="Calibri"/>
        <family val="2"/>
        <charset val="238"/>
        <scheme val="minor"/>
      </rPr>
      <t> – </t>
    </r>
    <r>
      <rPr>
        <sz val="11"/>
        <color rgb="FF212529"/>
        <rFont val="Calibri"/>
        <family val="2"/>
        <charset val="238"/>
        <scheme val="minor"/>
      </rPr>
      <t>M. Havelka</t>
    </r>
    <r>
      <rPr>
        <sz val="11"/>
        <color theme="1"/>
        <rFont val="Calibri"/>
        <family val="2"/>
        <charset val="238"/>
        <scheme val="minor"/>
      </rPr>
      <t>, </t>
    </r>
    <r>
      <rPr>
        <sz val="11"/>
        <color rgb="FF212529"/>
        <rFont val="Calibri"/>
        <family val="2"/>
        <charset val="238"/>
        <scheme val="minor"/>
      </rPr>
      <t>Gerhát</t>
    </r>
    <r>
      <rPr>
        <sz val="11"/>
        <color theme="1"/>
        <rFont val="Calibri"/>
        <family val="2"/>
        <charset val="238"/>
        <scheme val="minor"/>
      </rPr>
      <t>, </t>
    </r>
    <r>
      <rPr>
        <sz val="11"/>
        <color rgb="FF212529"/>
        <rFont val="Calibri"/>
        <family val="2"/>
        <charset val="238"/>
        <scheme val="minor"/>
      </rPr>
      <t>P. Svoboda</t>
    </r>
    <r>
      <rPr>
        <sz val="11"/>
        <color theme="1"/>
        <rFont val="Calibri"/>
        <family val="2"/>
        <charset val="238"/>
        <scheme val="minor"/>
      </rPr>
      <t>.</t>
    </r>
  </si>
  <si>
    <t>0:1; 3:1; 3:2; 4:2; 4:3; 5:3; 5:5; 5:6pp</t>
  </si>
  <si>
    <t>Neužil – Strejček, Irving, Kolář, Zeman, Hrbas, Demel, Stříteský – Zygmunt, Estephan, Zdráhal – Kudrna, Sukeľ, Slavík – Straka, Hübl, Fronk – Chalupa, Gerhát, Havelka.</t>
  </si>
  <si>
    <t>0:2; 2:2; 2:3; 3:3; 4:3pp</t>
  </si>
  <si>
    <t>Neužil – Kolář, Irving, Demel, Zeman, Hrbas, Strejček, Stříteský – Zygmunt, Estephan, Zdráhal – Kudrna, Sukeľ, Slavík – Straka, Hübl, Fronk – Chalupa, Gerhát, Havelka.</t>
  </si>
  <si>
    <t>1:0; 1:4</t>
  </si>
  <si>
    <t>Godla – Kolář, Irving, Demel, Stříteský, Hrbas, Strejček, Zeman – Kudrna, Estephan, Zdráhal – Straka, Sukeľ, Jarůšek – Chalupa, Hübl, Fronk – Zygmunt, Gerhát, Svoboda.</t>
  </si>
  <si>
    <t>Godla – Kolář, Irving, Demel, Stříteský, Hrbas, Strejček, Zeman – Kudrna, Estephan, Zdráhal – Straka, Sukeľ, Svoboda – Chalupa, Hübl, Fronk – Zygmunt, Gerhát, Havelka.</t>
  </si>
  <si>
    <t>1:0; 1:1; 3:1; 3:4</t>
  </si>
  <si>
    <t>14.  Giorgio ESTEPHAN (13)</t>
  </si>
  <si>
    <t>29. Aaron IRVING (7) (Matúš SUKEĽ (4), Richard JARŮŠEK (10))</t>
  </si>
  <si>
    <t>11.  Giorgio ESTEPHAN (14) (Patrik ZDRÁHAL (17), Šimon ZAJÍČEK (1))</t>
  </si>
  <si>
    <t>19. Petr STRAKA (8) (Jiří FRONK (4), Daniel KOLÁŘ (3))</t>
  </si>
  <si>
    <t>22. Jiří FRONK (2) (Matěj STŘÍTESKÝ (12), Petr STRAKA (10))</t>
  </si>
  <si>
    <t>31. Aaron IRVING (8) (Giorgio ESTEPHAN (21))</t>
  </si>
  <si>
    <t>55.  Patrik ZDRÁHAL (15) (Giorgio ESTEPHAN (22))</t>
  </si>
  <si>
    <t>25. Giorgio ESTEPHAN (15) (Patrik ZDRÁHAL (18))</t>
  </si>
  <si>
    <t>33.  Viktor HÜBL (8) (Patrik DEMEL (12), Matěj STŘÍTESKÝ (13))</t>
  </si>
  <si>
    <t>54. Pawel ZYGMUNT (6) (František GERHÁT (3), Aaron IRVING (13))</t>
  </si>
  <si>
    <t>63.  Marek HRBAS (7) (Petr STRAKA (11), Matúš SUKEĽ (5))</t>
  </si>
  <si>
    <t>19. Giorgio ESTEPHAN (16) (Patrik ZDRÁHAL (19))</t>
  </si>
  <si>
    <t>0:1; 1:1; 1:2; 3:2; 3:3; 3:4pp</t>
  </si>
  <si>
    <t>Neužil – Kolář, Irving, Demel, Stříteský, Hrbas, Strejček, Zeman – Sukeľ, Estephan, Zdráhal – Straka, Gerhát, Jarůšek – Kudrna, Fronk, Chalupa – Zygmunt, Hübl, Havelka.</t>
  </si>
  <si>
    <t>Godla – Balinskis, Irving, Demel, Stříteský, Hrbas, Strejček – Kudrna, Estephan, Zdráhal – Straka, Sukeľ, Jarůšek – Chalupa, Gerhát, Lukeš – Svoboda, Hübl, Havelka.</t>
  </si>
  <si>
    <t>30. Patrik ZDRÁHAL (16) (Giorgio ESTEPHAN (23)) (PP)</t>
  </si>
  <si>
    <t>35. Jan STREJČEK (3) (Viktor HÜBL (13), Matěj CHALUPA (5))</t>
  </si>
  <si>
    <t>14. Patrik ZDRÁHAL (17) (Marek HRBAS (5), Aaron IRVING (14)) (PP)</t>
  </si>
  <si>
    <t>42. Giorgio ESTEPHAN (17) (Jan STREJČEK (3))</t>
  </si>
  <si>
    <t>43. Jiří FRONK (3) (Andrej KUDRNA (11))</t>
  </si>
  <si>
    <t>4:0; 4:1; 5:1</t>
  </si>
  <si>
    <t>Godla – Balinskis, Irving, Demel, Stříteský, Hrbas, Strejček, Zeman – Kudrna, Estephan, Zdráhal – Straka, Sukeľ, Jarůšek – Chalupa, Gerhát, Lukeš – Svoboda, Hübl, Havelka.</t>
  </si>
  <si>
    <t>rozvolnění, 1500 diváků u nás</t>
  </si>
  <si>
    <t>úplné rozvolnění, smí se stát</t>
  </si>
  <si>
    <t>TS úspěšně proměnil G. Estephan</t>
  </si>
  <si>
    <t>2:0; 2:1; 6:1</t>
  </si>
  <si>
    <t>1:0; 1:1; 2:1; 2:2; 4:2</t>
  </si>
  <si>
    <t>Godla – Balinskis, Irving, Demel, Stříteský, Hrbas, Strejček, Zeman – Kudrna, Estephan, Zdráhal – Straka, Sukeľ, Jarůšek – Svoboda, Gerhát, Fronk – Zygmunt, Hübl, Havelka.</t>
  </si>
  <si>
    <t>Godla – Kolář, Stříteský, Hrbas, Strejček, Demel, Zeman – Kudrna, Estephan, Zdráhal – Straka, Sukeľ, Jarůšek – Svoboda, Gerhát, Fronk – Zygmunt, Hübl, Havelka – Lukeš.</t>
  </si>
  <si>
    <t>30. Patrik ZDRÁHAL (18) (Přemysl SVOBODA (5), Uvis Janis BALINSKIS (12))</t>
  </si>
  <si>
    <t>40.  Aaron IRVING (9) (Giorgio ESTEPHAN (25)) (PP)</t>
  </si>
  <si>
    <t>55.  Uvis Janis BALINSKIS (9) (Aaron IRVING (14), Giorgio ESTEPHAN (26)) (PP)</t>
  </si>
  <si>
    <t>Godla (Neužil) – Stříteský, D. Kolář, Strejček, Hrbas, D. Zeman, Demel – P. Zdráhal, Estephan, Kudrna – Jarůšek, Sukeľ, P. Straka (A) – Fronk, Gerhát, P. Svoboda – M. Havelka, V. Hübl (C), Zygmunt – F. Lukeš (A).</t>
  </si>
  <si>
    <t>1 LIT Gól Giorgio ESTEPHAN (88)
2 MHK Neproměnil Jakub LEV (30)
3 LIT Neproměnil Pawel ZYGMUNT (12)
4 MHK Neproměnil Ahti OKSANEN (17)
5 LIT Neproměnil Patrik ZDRÁHAL (25)
6 MHK Neproměnil Graeme MCCORMACK (12)
7 LIT Gól Jiří FRONK (46)
8 MHK Neproměnil Lukáš CINGEL (6)</t>
  </si>
  <si>
    <t>Godla vychytal 1 trestné střílení. Nájezdy: 1 LIT Neproměnil Giorgio ESTEPHAN (88)
2 VIT Neproměnil Rostislav MAROSZ (28)
3 LIT Neproměnil Patrik ZDRÁHAL (25)
4 VIT Neproměnil Dominik LAKATOŠ (31)
5 LIT Gól Richard JARŮŠEK (96)
6 VIT Gól Petr FRIDRICH (12)
7 LIT Neproměnil František LUKEŠ (16)
8 VIT Gól Roberts BUKARTS (71)
9 LIT Neproměnil Viktor HÜBL (26)</t>
  </si>
  <si>
    <t>2:0sn</t>
  </si>
  <si>
    <t>0:2; 2:2; 3:2sn</t>
  </si>
  <si>
    <t>79:92</t>
  </si>
  <si>
    <t>Godla – Kolář, Stříteský, Hrbas, Strejček, Demel, Zeman – Sukeľ, Estephan, Zdráhal – Straka, Fronk, Jarůšek – Kudrna, Gerhát, Svoboda – Zygmunt, Hübl, Havelka – Lukeš.</t>
  </si>
  <si>
    <t>Godla – Stříteský, D. Kolář, Strejček, Hrbas, D. Zeman, Demel – P. Zdráhal, Estephan, Kudrna – Jarůšek, Sukeľ, P. Straka (A) – Fronk, Gerhát, M. Chalupa – M. Havelka, V. Hübl (C), Zygmunt – F. Lukeš (A).</t>
  </si>
  <si>
    <t>73:81</t>
  </si>
  <si>
    <t>152:173</t>
  </si>
  <si>
    <t>Godla – Balinskis, Irving, Demel, Stříteský, D. Kolář, Strejček, D. Zeman – Zygmunt, Estephan, P. Zdráhal – P. Straka (A), Sukeľ, Fronk – Kudrna, Gerhát, M. Havelka – P. Svoboda, V. Hübl (C), F. Lukeš (A).</t>
  </si>
  <si>
    <t>playoff 12 týmů, 15. sestup, 14. baráž</t>
  </si>
  <si>
    <t>38.  Andrej KUDRNA (9) (Uvis Janis BALINSKIS (13))</t>
  </si>
  <si>
    <t>40. František GERHÁT (2) (František LUKEŠ (12), Jan STREJČEK (3))</t>
  </si>
  <si>
    <t>42. Matúš SUKEĽ (3) (Richard JARŮŠEK (11))</t>
  </si>
  <si>
    <t>43.  Martin HAVELKA (2) (Viktor HÜBL (14), Přemysl SVOBODA (6))</t>
  </si>
  <si>
    <t>59.  Aaron IRVING (10) (Uvis Janis BALINSKIS (14), Petr STRAKA (12))</t>
  </si>
  <si>
    <t>4.  Matúš SUKEĽ (4) (Patrik DEMEL (14))</t>
  </si>
  <si>
    <t>17. Přemysl SVOBODA (4) (Aaron IRVING (15), František GERHÁT (5))</t>
  </si>
  <si>
    <t>24. Andrej KUDRNA (10) (Patrik ZDRÁHAL (21))</t>
  </si>
  <si>
    <t>40.  Petr STRAKA (9) (Patrik ZDRÁHAL (22), Giorgio ESTEPHAN (27)) (PP)</t>
  </si>
  <si>
    <t>47.  Patrik ZDRÁHAL (19) (Přemysl SVOBODA (7), Giorgio ESTEPHAN (28))</t>
  </si>
  <si>
    <t>50. Matěj STŘÍTESKÝ (2) (Richard JARŮŠEK (12), Viktor HÜBL (15)) (PP)</t>
  </si>
  <si>
    <t>10.  Andrej KUDRNA (11) (Matěj STŘÍTESKÝ (14))</t>
  </si>
  <si>
    <t>33. Matúš SUKEĽ (5) (Richard JARŮŠEK (13), Matěj STŘÍTESKÝ (15))</t>
  </si>
  <si>
    <t>39. Giorgio ESTEPHAN (18) (TS)</t>
  </si>
  <si>
    <t>49.  Pawel ZYGMUNT (7) (Martin HAVELKA (3))</t>
  </si>
  <si>
    <t>36. Matúš SUKEĽ (6) (Giorgio ESTEPHAN (29), František LUKEŠ (13)) (PP)</t>
  </si>
  <si>
    <t>58.  Patrik ZDRÁHAL (20) (František LUKEŠ (14), Giorgio ESTEPHAN (30)) (PP)</t>
  </si>
  <si>
    <t>13. Jan STREJČEK (4) (Richard JARŮŠEK (14), Pawel ZYGMUNT (2))</t>
  </si>
  <si>
    <t>9.  Přemysl SVOBODA (3) (Andrej Kudrna, František GERHÁT (4))</t>
  </si>
  <si>
    <t>42. Marek HRBAS (8) (Viktor HÜBL (16)) (PP)</t>
  </si>
  <si>
    <t>15. Matúš SUKEĽ (7) (Jan STREJČEK (4))</t>
  </si>
  <si>
    <t>Statistiky základní část - na konci základní části</t>
  </si>
  <si>
    <t>Celkem statistiky základní část</t>
  </si>
  <si>
    <t>R. Šalda</t>
  </si>
  <si>
    <t>a statistika v nové sezóně</t>
  </si>
  <si>
    <t>2021-22</t>
  </si>
  <si>
    <t> HC VERVA Litvínov</t>
  </si>
  <si>
    <t>Czechia</t>
  </si>
  <si>
    <t> HC VERVA Litvínov “A”</t>
  </si>
  <si>
    <t> Mountfield HK</t>
  </si>
  <si>
    <t> SK Trhači Kadaň </t>
  </si>
  <si>
    <t>Czechia2</t>
  </si>
  <si>
    <t> Mountfield HK </t>
  </si>
  <si>
    <t> Rockford IceHogs</t>
  </si>
  <si>
    <t>MATĚJ CHALUPA</t>
  </si>
  <si>
    <t>Relegation</t>
  </si>
  <si>
    <t> HC VERVA Litvínov “C”</t>
  </si>
  <si>
    <t>VIKTOR HÜBL</t>
  </si>
  <si>
    <t>FRANTIŠEK LUKEŠ</t>
  </si>
  <si>
    <t> HC Sparta Praha</t>
  </si>
  <si>
    <t> HC VERVA Litvínov </t>
  </si>
  <si>
    <t>RICHARD JARŮŠEK</t>
  </si>
  <si>
    <t>FRANTIŠEK GERHÁT</t>
  </si>
  <si>
    <t>Body/zápas</t>
  </si>
  <si>
    <t>GV</t>
  </si>
  <si>
    <t>GO</t>
  </si>
  <si>
    <t>B/Z</t>
  </si>
  <si>
    <t>N. Hlava</t>
  </si>
  <si>
    <t>J. Abdul</t>
  </si>
  <si>
    <t>2021/2022</t>
  </si>
  <si>
    <t>Sestava</t>
  </si>
  <si>
    <t>Poslední zápas</t>
  </si>
  <si>
    <t>Altrichter - Skuhrovec, Hranáč, Punčochář, Bombic, L. Poživil, Morava - Kubinčák, Reichel, Prorok - Bedna, Branda, M. Trávníček - Lukeš, Kopecký, Bednařík - Jánský, Sklenička, Jenáček.</t>
  </si>
  <si>
    <t>J. Hübl ml. – Šlégr, Hranáč, Punčochář, Skuhrovec, Gýna, L. Poživil – Kubinčák, Reichel, Jenáček – Kopecký, Branda, Prorok – Jánský, Lukeš, M. Trávníček.</t>
  </si>
  <si>
    <t>J. Hübl ml. - Šlégr, Koma, Hranáč, Vobořil, Skuhrovec, Punčochář - Bahenský, Reichel, Kubinčák - Jenáček, Branda, Benda - Jánský, Lukeš, Machulda - Černý, Rindoš, Bednařík</t>
  </si>
  <si>
    <t>Franěk - L. Poživil, Šlégr, Punčochář, O. Poživil, Vobořil, Skuhrovec, Švarný, Tůma - Bahenský, Reichel, Lukeš - Kubinčák, Branda, Jenáček - Jánský, J. Černý, Tomas - Bednařík, Sklenička, Machulda</t>
  </si>
  <si>
    <t>Franěk - Walter, Šlégr, Kroupa, Skuhrovec, Punčochář, Kubát, Vobořil, Švarný - Bahenský, Reichel, Lukeš - Kubinčák, Branda, Jenáček - Jánský, V. Hübl, Trávníček - J. Černý, Rindoš, Mach.</t>
  </si>
  <si>
    <t>J. Hübl ml. – Skuhrovec, Šlégr, Kubát, Švarný, Kroupa, Walter, Punčochář, Vobořil – Jánský, Rindoš, Lukeš – Kubinčák, Branda, Trávníček – Bahenský, Jenáček, Vrtek – Bojer, Bednařík, Heinisch</t>
  </si>
  <si>
    <t>J. Hübl - Punčochář, Švarný, Šlégr, Gureň, Kubát, Kroupa, Skuhrovec, O. Poživil - Lukeš, Reichel, Černý - Trávníček, V. Hübl, Jenáček - Kubinčák, Gerhát, Jánský - Heinisch, Majdan, Bojer</t>
  </si>
  <si>
    <t>Hübl J. - Černošek, Gula, Kousalík, Kubát, Pilař, Punčochář, Stříteský, Švarný - Bojer, Dragoun, Gerhát, Hübl, Jánský, Jenáček, Kubinčák, Lukeš, Majdan, Reichel, Trávníček, Vopat</t>
  </si>
  <si>
    <t>Franěk (22. J. Hübl) - Kroupa, Švarný, Černošek, Kubát, Skuhrovec, Jareš, Kousalík, Gula - Černý, Kracík, Lukeš - Jánský, V. Hübl, Kubinčák - Jenáček, Vopat, Bojer - Rindoš, Gerhát, Maxa.</t>
  </si>
  <si>
    <t>Volke - Černošek, Gula, Pojkar, Kubát, Stříteský, Jareš, Kousalík, Skuhrovec - Kubinčák, V.Hübl, Lukeš - Frolík, Hujsa, Jenáček - Majdan, Hanzl, Gerhát - Bojer, Heinisch, Trávníček.</t>
  </si>
  <si>
    <t>Franěk - Kousalík, Kubát, Jareš, Stříteský, Černošek, Brejčák, Šlégr, Gula - Majdan, V. Hübl, F. Lukeš - Kubinčák, Frolík, Ručinský - Černý, Hujsa, Jenáček - Kafan, Gerhát, Laš</t>
  </si>
  <si>
    <t>Francouz - Kousalík, Kubát - Stříteský, Zeman - Gula, Brejčák - Posmyk, Sklenička - Martynek, Lukeš, Hübl - Černý, Hanzl, Ručinský - Trávníček, Piroš, Pšurný - Baláž, Lapšanský, Gerhát. Připraven Franěk</t>
  </si>
  <si>
    <t xml:space="preserve">Francouz – Pavlík, Kousalík – Zeman, Stříteský – Chaloupka, Gula – (*), Hübl (A), Lukeš – Gerhát, Piroš, Ručinský (A) – Martynek, Hanzl, Trávníček (C) – Jurčík, Černý, Pšurný. Připraveni Franěk a Pavelka. Trenéři Jeřábek a Rosol </t>
  </si>
  <si>
    <t>Francouz – Gula, Šlégr - Stříteský, Zeman – Posmyk, Chaloupka – Pavlík - Jánský, Hübl, Ručinský – Martynek, Hanzl, Trávníček – Černý, Piroš, Lukeš – Majdan, Jurčík. Připraven Nechvátal. Trenéři Rulík a Hořava</t>
  </si>
  <si>
    <t>Francouz - Kubát, Gula - Sklenička, Zeman - Chaloupka, Pavelka - Jánský, Hübl, Lukeš - Martynek, Hanzl, Ručinský - Majdan, Piroš, Trávníček - Písařík, Šrámek, Jurčík. Připraven Soukup. Trenéři Rulík a Hořava</t>
  </si>
  <si>
    <t>Francouz – Frolo, Chaloupka - Pavlík, Sklenička – Štindl, Pavelka - Jánský, Hübl, Lukeš – Petružálek, Hanzl, Ručinský – Martynek, Šrámek, Trávníček - Eberle, Jurčík, Hořava ml. Připraven Horák. Trenéři Rulík a Hořava st.</t>
  </si>
  <si>
    <t>Janus - Kubát, Chaloupka - Sklenička, Pavlík - Pavelka, Gula - Jánský, Hübl, Lukeš - Martynek, Hanzl, Trávníček - Jurčík, Gerhát, Hořava - Písařík, Piroš, Šrámek. Připraven Petrásek. Trenéři Rulík, Weissmann, Šlégr</t>
  </si>
  <si>
    <t>Janus – Kubát, Chaloupka – Pavelka, Sklenička - Frolo, Pavlík - Gerhát, Hübl, Lukeš - Martynek, Hanzl, Hořava - Duda, K. Reichel, Trávníček - Jurčík, Válek, Piroš. Připraveni Řehoř a Jánský. Trenéři Rulík a Šlégr</t>
  </si>
  <si>
    <t>Janus – Kubát, Gula – Sklenička, Pavlík – Sørvik, Pavelka – Reichel, Hübl, Lukeš – Hořava, R. Hanzl, Nejezchleb – Martynek, J. Černý, Trávníček – Jurčík, M. Hanzl, Gerhát. Připraveni Halász a Kokeš. Trenéři Rulík, Stránský, Šlégr</t>
  </si>
  <si>
    <t>Janus (Petrásek) – Šesták, Trončinský, Ščotka, L. Doudera, Strejček, Graborenko, Březák – F. Lukeš, V. Hübl (A), Myšák – Helt, Válek, Kašpar – Jícha, M. Hanzl, Petružálek (A) – Trávníček (C), M. Havelka, Jurčík.</t>
  </si>
  <si>
    <t>Janus (Honzík) – J. Říha, Moravčík, Ščotka (A), Štich, Kudla, Baránek, L. Doudera – Petružálek, Mahbod, Jarůšek – Pospíšil, V. Hübl (C), F. Lukeš – Válek, Gerhát, Hedberg – Helt, Jurčík, Trávníček (A).</t>
  </si>
  <si>
    <t>Godla (Honzík) – Irving, Ščotka (C), Balinskis, Cibulskis, Kudla, Štich (A), L. Doudera – P. Zdráhal, Mahbod, Jarůšek – Pospíšil, V. Hübl, F. Lukeš – Látal, M. Hanzl (A), Petružálek – Zygmunt, Gerhát, M. Havelka.</t>
  </si>
  <si>
    <t>Godla (21. Zajíček) – Irving, Ščotka, Balinskis, Cibulskis, Demel, D. Zeman, Kudla – P. Zdráhal, Žejdl, Jarůšek – Pospíšil, V. Hübl (C), F. Lukeš – P. Svoboda, M. Hanzl (A), Látal – M. Havelka, Gerhát, Zygmunt.</t>
  </si>
  <si>
    <t>Godla – Demel, Irving, Hrbas, Balinskis, Kolář, Stříteský, Zeman – Pospíšil, Hübl, Lukeš – Kudrna, Estephan, Zdráhal – Straka, Sukeľ, Jarůšek – Stehlík, Havelka, Zygmunt.</t>
  </si>
  <si>
    <t>Franěk (41. Francouz) - Posmyk, Kubát, Stříteský, K. Černý, Kousalík, Jareš, Gula, 41. J. Havelka - Majdan, Hübl, Lukeš - J. Černý, Hanzl, Frolík - Kubinčák, Baláž, Gerhát - Martynek, Smolka, Pšurný</t>
  </si>
  <si>
    <t>Janus (10. Petrásek) – Kubát, Gula – Frolo, Sørvik (1. - 20.) – Pavlík, Pilař – Sklenička – Gerhát, V. Hübl, Lukeš – M. Hanzl, R. Hanzl, J. Černý – Hořava, Reichel, Trávníček – Jurčík, Válek, J. Doležal. Trenéři Rulík, Stránský, Šlégr</t>
  </si>
  <si>
    <t>Kde byl pak</t>
  </si>
  <si>
    <t>Finsko 1 (SaiPa)</t>
  </si>
  <si>
    <t>V. Kysela</t>
  </si>
  <si>
    <t>J. Šprynar</t>
  </si>
  <si>
    <t>L. Hocelík</t>
  </si>
  <si>
    <t>Konec hostování</t>
  </si>
  <si>
    <t> EHC Freiburg</t>
  </si>
  <si>
    <t>DEL2</t>
  </si>
  <si>
    <t> Herner EV 2007</t>
  </si>
  <si>
    <t>Germany3</t>
  </si>
  <si>
    <t> Fiemme</t>
  </si>
  <si>
    <t>Italy2</t>
  </si>
  <si>
    <t> HC Litvínov </t>
  </si>
  <si>
    <t>JIŘÍ FRONK</t>
  </si>
  <si>
    <t> HK Poprad</t>
  </si>
  <si>
    <t>Slovakia</t>
  </si>
  <si>
    <t> HC Slovan Bratislava</t>
  </si>
  <si>
    <t> Severstal Cherepovets</t>
  </si>
  <si>
    <t> HC Motor České Budějovice</t>
  </si>
  <si>
    <t>JINDŘICH ABDUL</t>
  </si>
  <si>
    <t>NICOLAS HLAVA</t>
  </si>
  <si>
    <t> Orli Znojmo</t>
  </si>
  <si>
    <t> HC Energie Karlovy Vary</t>
  </si>
  <si>
    <t> Piráti Chomutov</t>
  </si>
  <si>
    <t> Rytíři Kladno</t>
  </si>
  <si>
    <t>Czechia Q</t>
  </si>
  <si>
    <t>Qualification</t>
  </si>
  <si>
    <t> Rimouski Océanic</t>
  </si>
  <si>
    <t>QMJHL</t>
  </si>
  <si>
    <t> Czechia U20</t>
  </si>
  <si>
    <t>WJC-20</t>
  </si>
  <si>
    <t> Czechia U20 (all)</t>
  </si>
  <si>
    <t>International-Jr</t>
  </si>
  <si>
    <t> HC Stadion Litoměřice </t>
  </si>
  <si>
    <t> Czechia (all)</t>
  </si>
  <si>
    <t> SC Kolín </t>
  </si>
  <si>
    <t>RADIM ŠALDA</t>
  </si>
  <si>
    <t>Noví hráči</t>
  </si>
  <si>
    <t>Odchozí hráči</t>
  </si>
  <si>
    <t>TP/GP</t>
  </si>
  <si>
    <t> HC Vítkovice</t>
  </si>
  <si>
    <t> HC Poruba 2011 </t>
  </si>
  <si>
    <t> HC Plzeň </t>
  </si>
  <si>
    <t> HC Litvínov</t>
  </si>
  <si>
    <t>PATRIK ZDRÁHAL</t>
  </si>
  <si>
    <t> Cracovia Krakow U20</t>
  </si>
  <si>
    <t>Poland U20</t>
  </si>
  <si>
    <t> Cracovia Krakow</t>
  </si>
  <si>
    <t>Poland</t>
  </si>
  <si>
    <t> PZHL U23</t>
  </si>
  <si>
    <t> Poland U20</t>
  </si>
  <si>
    <t>WJC-20 D1B</t>
  </si>
  <si>
    <t> Poland (all)</t>
  </si>
  <si>
    <t> Poland</t>
  </si>
  <si>
    <t>OGQ</t>
  </si>
  <si>
    <t> Poland “A”</t>
  </si>
  <si>
    <t>WC D1B</t>
  </si>
  <si>
    <t>PAWEL ZYGMUNT</t>
  </si>
  <si>
    <t>K. Zile</t>
  </si>
  <si>
    <t>Š. Stránský</t>
  </si>
  <si>
    <t>2. liga (Chomutov)</t>
  </si>
  <si>
    <t>ELH (Brno)</t>
  </si>
  <si>
    <t>Smlouva i na další sezónu</t>
  </si>
  <si>
    <t>Česko extraliga celkem</t>
  </si>
  <si>
    <t>Extraliga bez poslední sezóny v Kladně</t>
  </si>
  <si>
    <t>R. Freibergs</t>
  </si>
  <si>
    <t>22-23</t>
  </si>
  <si>
    <t>Příprava na sezónu 2022/2023</t>
  </si>
  <si>
    <t>J. Jaks</t>
  </si>
  <si>
    <t>Mnichov</t>
  </si>
  <si>
    <t>sezóna 2022/2023</t>
  </si>
  <si>
    <t>Zajíček (Godla) – Jaks, Zile, Freibergs, Šalda, Strejček, Demel (A) – Zdráhal(A), Estephan, Abdul – Hlava, Š. Stránský, Straka (C) – Fronk, Sukeľ, Kudrna – Chalupa, Helt, Zygmunt</t>
  </si>
  <si>
    <t>Š. Stránský neproměnil trestné střílení</t>
  </si>
  <si>
    <t>Zajíček – Zile, Jaks, Šalda, Freibergs, Demel (A), Strejček, Zeman – Kudrna, Estephan, Zdráhal (A) – Straka (C), Š. Stránský, Abdul – Chalupa, Sukeľ, Hlava – Zygmunt, Gut, Helt.</t>
  </si>
  <si>
    <t>0:2; 2:2; 2:5; 3:5; 3:6</t>
  </si>
  <si>
    <t>Godla (30. Zajíček) – Zile, Jaks, Šalda, Zeman, Demel (A), Strejček, D. Kolář – Kudrna, Estephan, Zdráhal (A) – Straka (C), Š. Stránský, Abdul – Berka, Sukeľ, Hlava – Zygmunt, Helt, Havelka.</t>
  </si>
  <si>
    <t>Zajíček (Godla) – Jaks, Demel (A), Šalda, Zile, Zeman, Strejček, D. Kolář – Zdráhal (A), Š. Stránský, Straka (C) – Abdul, Estephan, Kudrna – Hlava, Sukeľ, Zygmunt – Havelka, Helt, Berka.</t>
  </si>
  <si>
    <t>1 LIT Neproměnil Šimon STRÁNSKÝ (83)
2 LIB Gól Michal BIRNER (16)
3 LIT Neproměnil Patrik ZDRÁHAL (25)
4 LIB Gól Oscar FLYNN (19)
5 LIT Gól Giorgio ESTEPHAN (88)
6 LIB Neproměnil Michal BULÍŘ (88)
7 LIT Neproměnil Janis JAKS (72)
8 LIB Neproměnil Tomáš FILIPPI (41)
9 LIT Neproměnil Nicolas HLAVA (77)</t>
  </si>
  <si>
    <t>29. Andrej KUDRNA (1) (Patrik ZDRÁHAL (1))</t>
  </si>
  <si>
    <t>55. Šimon STRÁNSKÝ (1) (Janis JAKS (1), Giorgio ESTEPHAN (1)) (PP)</t>
  </si>
  <si>
    <t>1:0; 1:1; 1:2p</t>
  </si>
  <si>
    <t>Zajíček (Godla) – Jaks, Zile, Strejček, Demel (A), Zeman, D. Kolář, Šalda – Zdráhal (A), Š. Stránský, Straka (C) – Abdul, Estephan, Kudrna – Hlava, Sukeľ, Zygmunt – Havelka, Helt, Berka.</t>
  </si>
  <si>
    <t>4. Andrej KUDRNA (3) (Giorgio ESTEPHAN (3), Denis ZEMAN (1))</t>
  </si>
  <si>
    <t>28. Matúš SUKEĽ (1) (Nicolas HLAVA (1), Kristaps ZILE (2))</t>
  </si>
  <si>
    <t>25. Filip HELT (1) (Marek BERKA (1)) (SH)</t>
  </si>
  <si>
    <t>28. Andrej KUDRNA (2) (Kristaps ZILE (1))</t>
  </si>
  <si>
    <t>50. Kristaps ZILE (1) (Giorgio ESTEPHAN (2)) (PP)</t>
  </si>
  <si>
    <t>J. Wesley</t>
  </si>
  <si>
    <t>Zajíček (Godla) – Jaks, Strejček, Wesley, Zile, Freibergs, Demel (A), Šalda – Zdráhal (A), Estephan, Kudrna – Š. Stránský, Sukeľ, Chalupa – Hlava, Gut, Straka (C) – Fronk, Berka, Zygmunt</t>
  </si>
  <si>
    <t>G. Estephan neproměnil trestné střílení</t>
  </si>
  <si>
    <t>2:0; 2:1; 4:1</t>
  </si>
  <si>
    <t>Zajíček – Zile, Jaks, Freibergs, Šalda, Demel (A), Strejček, Wesley – Kudrna, Estephan, Zdráhal (A) – Abdul, Sukeľ, Š. Stránský – Berka, Gut, Hlava – Straka (C), Helt, Havelka.</t>
  </si>
  <si>
    <t>38. Andrej KUDRNA (4) (Patrik ZDRÁHAL (2), Giorgio ESTEPHAN (4))</t>
  </si>
  <si>
    <t>výlet vlakem s Katkou</t>
  </si>
  <si>
    <t>výlet Plzeň s Katkou a Tomášem</t>
  </si>
  <si>
    <t>0:1; 1:1; 1:2; 3:2; 3:4; 4:4; 4:5</t>
  </si>
  <si>
    <t>0:4; 3:4</t>
  </si>
  <si>
    <t>1:0; 1:2; 2:2; 2:4; 3:4</t>
  </si>
  <si>
    <t>M. Tomek</t>
  </si>
  <si>
    <t>Do 13. kola (do 21. 10. 2022)</t>
  </si>
  <si>
    <t>1:0; 1:2; 2:2; 2:3sn (sn: 0:2; 1:2)</t>
  </si>
  <si>
    <t>0:0 (sn: 0:1; 1:1; 1:2; 3:2; 3:4)</t>
  </si>
  <si>
    <t>Zajíček (45. Godla) – Jaks, Zile, Šalda, Freibergs, Wesley, Demel, Zeman – Zdráhal, Estephan, Kudrna – Š. Stránský, Sukeľ, Abdul – Hlava, Gut, Berka – Havelka, Helt, Straka.</t>
  </si>
  <si>
    <t>41. Andrej KUDRNA (5) (Giorgio ESTEPHAN (5), Janis JAKS (2))</t>
  </si>
  <si>
    <t>44. Andrej KUDRNA (6) (Giorgio ESTEPHAN (6), Patrik ZDRÁHAL (3)) (PP)</t>
  </si>
  <si>
    <t>51.  Šimon STRÁNSKÝ (2) (Matúš SUKEĽ (1), Kristaps ZILE (3)) (PP)</t>
  </si>
  <si>
    <t>21. Matúš SUKEĽ (2) (Jindřich ABDUL (1))</t>
  </si>
  <si>
    <t>25. Joshua Jared WESLEY (1) (Michal GUT (1))</t>
  </si>
  <si>
    <t>49. Michal GUT (1) (Nicolas HLAVA (2), Marek BERKA (2))</t>
  </si>
  <si>
    <t>60.  Šimon STRÁNSKÝ (3) (EN)</t>
  </si>
  <si>
    <t>32. Matúš SUKEĽ (3) (Šimon STRÁNSKÝ (1), Patrik DEMEL (1))</t>
  </si>
  <si>
    <t>38. Nicolas HLAVA (1) (Marek BERKA (3))</t>
  </si>
  <si>
    <t>39. Giorgio ESTEPHAN (1) (Patrik ZDRÁHAL (4))</t>
  </si>
  <si>
    <t>44. Michal GUT (2) (Nicolas HLAVA (3))</t>
  </si>
  <si>
    <t>Zajíček (8. Godla) – Zile, Jaks, Freibergs, Šalda, Demel (A), Wesley, Zeman – Kudrna, Estephan, Zdráhal (A) – Abdul, Sukeľ, Š. Stránský – Berka, Gut, Hlava – Straka (C), Helt, Havelka.</t>
  </si>
  <si>
    <t>59. Patrik ZDRÁHAL (1) (Janis JAKS (3), Kristaps ZILE (4))</t>
  </si>
  <si>
    <t>1:0; 1:4; 3:4; 3:5</t>
  </si>
  <si>
    <t>1:0; 1:2; 2:2; 2:5; 3:5</t>
  </si>
  <si>
    <t>Godla – Zile, Jaks, Strejček, Wesley, Demel (A), Zeman, D. Kolář – Zygmunt, Sukeľ, Š. Stránský – Kudrna, Estephan, Zdráhal (A) – Abdul, Helt, Hlava – Berka, Straka (C), Chalupa.</t>
  </si>
  <si>
    <t>Tomek – Jaks, Zile, Wesley, Strejček, Zeman, Demel (A), D. Kolář – Hlava, Sukeľ, Š. Stránský – Straka (C), Estephan, Zdráhal (A) – Abdul, Berka, Kudrna – Zygmunt, Helt, Havelka.</t>
  </si>
  <si>
    <t>Tomek – Zile, Jaks, Freibergs, Wesley, Demel, Strejček, Zeman – Hlava, Sukeľ, Š. Stránský – Straka, Estephan, Zdráhal – Kudrna, Gut, Berka – Zygmunt, Helt, Havelka</t>
  </si>
  <si>
    <t>Godla – Jaks, Zile, Wesley, Freibergs, Strejček, Demel (A), Šalda – Hlava, Sukeľ, Abdul – Zdráhal (A), Š. Stránský, Berka – Kudrna, Gut, Straka (C) – Havelka, Helt, Zygmunt.</t>
  </si>
  <si>
    <t>34.  Nicolas HLAVA (2) (Šimon STRÁNSKÝ (2), Matúš SUKEĽ (2))</t>
  </si>
  <si>
    <t>51. Patrik ZDRÁHAL (2) (Jindřich ABDUL (2))</t>
  </si>
  <si>
    <t>58. Šimon STRÁNSKÝ (4) (Andrej KUDRNA (1), Janis JAKS (4)) (PP)</t>
  </si>
  <si>
    <t>11. Patrik DEMEL (1) (Matúš SUKEĽ (3), Šimon STRÁNSKÝ (3))</t>
  </si>
  <si>
    <t>51.  Nicolas HLAVA (3) (Šimon STRÁNSKÝ (4), Janis JAKS (5)) (PP)</t>
  </si>
  <si>
    <t>30. Michal GUT (3) (Kristaps ZILE (5), Ralfs FREIBERGS (1)) (PP)</t>
  </si>
  <si>
    <t>Tomek – Zile, Jaks, Freibergs, Wesley, Demel (A), Strejček – Abdul, Sukeľ, Š. Stránský – Kudrna, Gut, Zdráhal (A) – Straka (C), Berka, Hlava – Zygmunt, Helt, Havelka.</t>
  </si>
  <si>
    <t>odvolán Růžička!!</t>
  </si>
  <si>
    <t>Tomek (59. Godla) – Zile, Zeman, Strejček, Jaks, Demel (A), Wesley, Šalda – Kudrna, Sukeľ (C), Abdul – Š. Stránský, Estephan, Zdráhal (A) – Straka, Gut, Hlava – Zygmunt, Helt, Havelka.</t>
  </si>
  <si>
    <t>Tomek – Zeman, Zile, Jaks, Strejček, Wesley, Demel (A), Šalda – Abdul, Sukeľ (C), Kudrna – Zdráhal (A), Estephan, Š. Stránský – Hlava, Gut, Straka – Havelka, Helt, Zygmunt</t>
  </si>
  <si>
    <t>0:1; 1:1; 1:2; 2:2; 3:2p</t>
  </si>
  <si>
    <t>12.  Kristaps ZILE (2) (Patrik ZDRÁHAL (5), Giorgio ESTEPHAN (7))</t>
  </si>
  <si>
    <t>48.  Patrik ZDRÁHAL (3) (Giorgio ESTEPHAN (8)) (PP)</t>
  </si>
  <si>
    <t>50. Patrik ZDRÁHAL (4) (Giorgio ESTEPHAN (9), Šimon STRÁNSKÝ (5))</t>
  </si>
  <si>
    <t>15. Giorgio ESTEPHAN (2) (Šimon STRÁNSKÝ (6), Nicolas HLAVA (4)) (PP)</t>
  </si>
  <si>
    <t>25. Joshua Jared WESLEY (2) (Matúš SUKEĽ (4), Jindřich ABDUL (3)) (PP)</t>
  </si>
  <si>
    <t>47. Patrik ZDRÁHAL (5)</t>
  </si>
  <si>
    <t>Godla (Zajíček) – Zile, Zeman, Strejček, Jaks, Demel (A), Wesley, Šalda – Abdul, Sukeľ (C), Kudrna – Zdráhal (A), Estephan, Š. Stránský – Hlava, Gut, Straka – Havelka, Helt, Zygmunt</t>
  </si>
  <si>
    <t>výjezd fanklub s Katkou</t>
  </si>
  <si>
    <t>1:0; 1:1; 5:1; 5:3; 6:3; 6:4</t>
  </si>
  <si>
    <t>Godla – Zeman, Zile, Jaks, Strejček, Wesley, Demel (A), Freibergs – Abdul, Sukeľ (C), Kudrna – Zdráhal (A), Estephan, Š. Stránský – Hlava, Gut, Straka – Havelka, Helt, Zygmunt.</t>
  </si>
  <si>
    <t>Godla (Zajíček) – Zile, Zeman, Strejček, Jaks, Demel (A), Wesley, Šalda – Kudrna, Sukeľ (C), Abdul – Š. Stránský, Estephan, Zdráhal (A) – Straka, Gut, Hlava – Zygmunt, Helt, Havelka</t>
  </si>
  <si>
    <t>1:0; 1:1; 3:1; 3:2; 4:2; 4:3; 5:3</t>
  </si>
  <si>
    <t>30.  Michal GUT (4) (Matúš SUKEĽ (5), Kristaps ZILE (6)) (PP)</t>
  </si>
  <si>
    <t>33. Giorgio ESTEPHAN (3) (Nicolas HLAVA (5), Šimon STRÁNSKÝ (7)) (PP)</t>
  </si>
  <si>
    <t>54. Patrik ZDRÁHAL (6) (Giorgio ESTEPHAN (10))</t>
  </si>
  <si>
    <t>59.  Giorgio ESTEPHAN (4) (Janis JAKS (6), Šimon STRÁNSKÝ (8))</t>
  </si>
  <si>
    <t>5. Pawel ZYGMUNT (1) (Filip HELT (1))</t>
  </si>
  <si>
    <t>11.  Matúš SUKEĽ (4) (Jindřich ABDUL (4), Pawel ZYGMUNT (1))</t>
  </si>
  <si>
    <t>62.  Šimon STRÁNSKÝ (5) (Janis JAKS (7))</t>
  </si>
  <si>
    <t>5. Patrik ZDRÁHAL (7) (Šimon STRÁNSKÝ (9), Nicolas HLAVA (6)) (PP)</t>
  </si>
  <si>
    <t>12. Radim ŠALDA (1) (Patrik ZDRÁHAL (6), Giorgio ESTEPHAN (11))</t>
  </si>
  <si>
    <t>15. Jindřich ABDUL (1) (Kristaps ZILE (7))</t>
  </si>
  <si>
    <t>23. Filip HELT (2) (Martin HAVELKA (1), Kristaps ZILE (8))</t>
  </si>
  <si>
    <t>33. Petr STRAKA (1) (Nicolas HLAVA (7))</t>
  </si>
  <si>
    <t>45. Nicolas HLAVA (4) (Filip HELT (2))</t>
  </si>
  <si>
    <t>11. Martin HAVELKA (1) (Filip HELT (3), Patrik DEMEL (2))</t>
  </si>
  <si>
    <t>40. Andrej KUDRNA (7) (Matúš SUKEĽ (6))</t>
  </si>
  <si>
    <t>18. Janis JAKS (1) (Šimon STRÁNSKÝ (10), Nicolas HLAVA (8)) (PP)</t>
  </si>
  <si>
    <t>29. Andrej KUDRNA (8) (Patrik ZDRÁHAL (7), Kristaps ZILE (9))</t>
  </si>
  <si>
    <t>52. Denis ZEMAN (1) (Patrik ZDRÁHAL (8), Šimon STRÁNSKÝ (11))</t>
  </si>
  <si>
    <t>58. Andrej KUDRNA (9) (Giorgio ESTEPHAN (12), Matúš SUKEĽ (7)) (EN)</t>
  </si>
  <si>
    <t>60. Petr STRAKA (2) (Giorgio ESTEPHAN (13)) (EN)</t>
  </si>
  <si>
    <t>2022/2023</t>
  </si>
  <si>
    <t>S Katkou a Tomášem</t>
  </si>
  <si>
    <t>Poznámka</t>
  </si>
  <si>
    <t>trenéři Mlejnek, Reichel, Kočí</t>
  </si>
  <si>
    <t>2. liga, sezóna 2020/2021</t>
  </si>
  <si>
    <t>PO PRVNÍCH KOLECH BYLA SEZÓNA ZRUŠENA KVŮLI KORONAVIRU!!! MOST NEODEHRÁL NIC</t>
  </si>
  <si>
    <t>VÍTĚZ KLM ÚSTECKÉHO KRAJE A POSTUP DO 2. LIGY, SEZÓNA 2018/2019</t>
  </si>
  <si>
    <t>2. liga, sezóna 2021/2022</t>
  </si>
  <si>
    <t xml:space="preserve">6. Dohnal (Nedrda, Fučík), 23. Řehoř (Fučík, Mical), 30. Písařík (Procházka, Stříbrný), 33. Havlůj (Urbánek, Stříbrný), 45. Smolka (Fučík, Šimeček), 52. Šimeček (Mical, Smolka) </t>
  </si>
  <si>
    <t>Hosnedl, Kubík (J) – Havlík M., Urbánek, Fučík, Šesták, Havlůj (C), Havlík D., Hoffmann – Písařík, Nedrda, Řehoř, Böhm, Bakrlík, Mical, Smolka, Šimeček, Procházka, Stříbrný, Dohnal, Drašar. Trenér: Machulda.</t>
  </si>
  <si>
    <t>MOSTEČTÍ LVI - HC Wikov Hronov</t>
  </si>
  <si>
    <t>0:1; 1:1; 1:3; 2:3; 2:4; 4:4; 4:5; 6:5</t>
  </si>
  <si>
    <t>HC Letci Letňany — MOSTEČTÍ LVI</t>
  </si>
  <si>
    <t>18. Písařík (Stříbrný, Procházka), 28. Nedrda (Hoffmann, Böhm), 53. Stříbrný (Urbánek)</t>
  </si>
  <si>
    <t>Hosnedl, Kubík (J) – Šesták, Havlůj (C), Urbánek, Havlík M., Havlík D., Hoffmann – Šimeček, Nedrda (A), Böhm, Dohnal, Mical, Smolka, Písařík, Procházka, Drašar. Trenér: Machulda</t>
  </si>
  <si>
    <t>10. Šesták (Mical, Šimeček), 12. Šimeček (Šesták), 25. Nedrda (Bakrlík, Böhm), 26. Havlůj (Procházka, Stříbrný), 31. Böhm (Bakrlík, Nedrda), 37. Stříbrný (Písařík), 51. Stříbrný (Havlůj, Písařík), 58. Procházka (Písařík, Urbánek)</t>
  </si>
  <si>
    <t>Hosnedl (Kubík) – Havlůj (C), Urbánek, Šesták, Fučík, M. Havlík, D. Havlík, Hoffmann – Procházka, Písařík, Stříbrný – Mical, Šimeček, Drašar – Nedrda (A) Bakrlík, Böhm – Dohnal. Trenér: Machulda.</t>
  </si>
  <si>
    <t>1:0; 1:1; 5:1; 5:2; 6:2; 6:3; 8:3</t>
  </si>
  <si>
    <t>Draci Bílina — MOSTEČTÍ LVI</t>
  </si>
  <si>
    <t>9. J.Procházka (Havlůj, Písařík), 10. Bakrlík (Smolka, M.Havlík), 13. Písařík (J.Procházka, Stříbrný), 15. Smolka, 16. Mical (Šimeček), 20. Smolka (Bakrlík), 24. J.Procházka (Urbánek, Písařík), 31. Bakrlík (M.Havlík), 31. Stříbrný (Procházka), 32. Stříbrný (Procházka, Písařík), 37. Bakrlík (Dohnal, Smolka), 37. Písařík (Stříbrný, Urbánek), 56. Bakrlík (D.Havlík), 58. Mical (Řehoř)</t>
  </si>
  <si>
    <t>Hosnedl (41. Kubík (J)) – Havlík M., Urbánek, Fučík, Šesták, Havlůj (C), Havlík D., Hoffmann – Písařík, Drašar, Mical, Böhm, Dohnal, Bakrlík, Smolka, Stříbrný, Procházka, Šimeček. Trenér: Machulda.</t>
  </si>
  <si>
    <t>0:2; 2:2; 2:3; 6:3; 6:4; 7:4; 7:5; 14:5</t>
  </si>
  <si>
    <t>7. Bakrlík (Šimeček, Böhm), 15. Havlůj (Písařík, Stříbrný), 20. Šimeček (Šesták, Bakrlík), 28. Havlůj (Bakrlík, Šesták), 32. Drašar (Mical), 36. Procházka (Stříbrný, Písařík), 38. Drašar (Řehoř, Mical), 38. Drašar (Mical, Řehoř), 47. Bakrlík (Šimeček, Fučík), 52. Šimeček, 56. Bakrlík (Šimeček, Šesták), 58. Urbánek (Procházka, Stříbrný)</t>
  </si>
  <si>
    <t>Hosnedl – Urbánek, Havlůj (C), Šesták, Fučík, Havlík M, Havlík D., Hoffmann – Procházka, Písařík, Stříbrný – Böhm (A), Bakrlík, Šimeček – Mical, Řehoř, Drašar – Dohnal. Trenér: Vladimír Machulda.</t>
  </si>
  <si>
    <t>1:0; 1:1; 12:1</t>
  </si>
  <si>
    <t>MOSTEČTÍ LVI — HC Děčín</t>
  </si>
  <si>
    <t xml:space="preserve">8. Drašar (Řehoř, Mical), 13. Stříbrný (Písařík, Procházka), 26. Bakrlík, 29. Písařík (Stříbrný), 42. Drašar (Mical, Řehoř), 45. Drašar, 51. Smolka (Smolka, Bakrlík), 56. Procházka (Havlůj), 59. D (Stříbrný, Šimeček) </t>
  </si>
  <si>
    <t>Kubík (J) (Hosnedl) – Havlík M., Urbánek, Fučík, Šesták, Havlůj (C), Havlík D., Hoffmann – Písařík, Nedrda (A), Řehoř, Böhm (A), Bakrlík, Mical, Smolka, Šimeček, Procházka, Stříbrný, Dohnal, Drašar. Trenér: Machulda.</t>
  </si>
  <si>
    <t>2:0; 2:1; 4:1; 4:2; 6:2; 6:3; 7:3; 7:4; 9:4</t>
  </si>
  <si>
    <t>HC Dvůr Králové n. Labem — MOSTEČTÍ LVI</t>
  </si>
  <si>
    <t>0:2; 1:2</t>
  </si>
  <si>
    <t>36. Smolka (Šimeček, Bakrlík)</t>
  </si>
  <si>
    <t>Hosnedl, Kubík (J) – Havlík M., Urbánek, Fučík, Šesták, Havlůj (C), Havlík D., Hoffmann – Písařík, Nedrda (A), Řehoř, Böhm (A), Bakrlík, Mical, Smolka, Šimeček, Procházka, Stříbrný, Dohnal, Drašar. Trenér: Machulda.</t>
  </si>
  <si>
    <t>HC Wikov Hronov — MOSTEČTÍ LVI</t>
  </si>
  <si>
    <t>4. Písařík (Procházka, Havlůj), 31. Mical (Drašar, Řehoř), 34. Mical (Drašar), 40. Drašar (Mical, Havlůj), 51. Böhm (Šimeček, Nedrda), 60. J.Procházka (Písařík, Stříbrný)</t>
  </si>
  <si>
    <t>Hosnedl (Kubík) – Šesták, Fučík, Urbánek, Havlůj (C), Havlík, Hoffmann – Písařík, Řehoř, Mical, Nedrda (A), Böhm (A), Šimeček, Procházka, Stříbrný, Dohnal, Drašar. Trenér: Machulda.</t>
  </si>
  <si>
    <t>1:0; 1:2; 2:2; 2:3; 4:3; 4:4; 5:4; 5:5; 6:5</t>
  </si>
  <si>
    <t>MOSTEČTÍ LVI — HC Letci Letňany</t>
  </si>
  <si>
    <t>54. Procházka (Šesták)</t>
  </si>
  <si>
    <t>0:7; 1:7; 1:9</t>
  </si>
  <si>
    <t>13. Hoffmann (Dohnal, Havlík), 20. Řehoř (Mical), 56. Mical (Smolka, Bakrlík), 60. Hoffmann (Řehoř, Böhm)</t>
  </si>
  <si>
    <t>Hosnedl (51. Kubík) – Havlůj (C), Havlík, Fučík, Hoffmann – Böhm (A), Řehoř, Bakrlík – Smolka, Mical, J. Procházka – Písařík, Dohnal, Drašar. Trenér: Machulda..</t>
  </si>
  <si>
    <t>Hosnedl (Kubík) – Urbánek, Havlůj (C), Šesták, Fučík, Havlík M., Havlík Dominik, Hoffmann – Stříbrný, Písařík, Procházka – Mical, Řehoř, Drašar – Šimeček, Bakrlík, Smolka – Böhm (A). Trenér: Vladimír Machulda.</t>
  </si>
  <si>
    <t>0:2; 2:2; 2:8; 3:8; 3:9; 4:9</t>
  </si>
  <si>
    <t>MOSTEČTÍ LVI — Draci Bílina</t>
  </si>
  <si>
    <t>5. Smolka (Procházka, Havlůj), 11. Smolka (Nedrda, Havlůj), 21. Mical (Drašar, Řehoř), 31. Smolka (Havlůj), 33. Procházka (Smolka, Havlůj), 33. Mical, 44. Smolka (Procházka, Písařík), 60. Šimeček (Kýhos)</t>
  </si>
  <si>
    <t>Hosnedl (Kubík) – Havlůj (C), Nedrda (A), Fučík, Havlík D., Hoffmann, Havlík M. – Procházka, Písařík, Smolka – Mical, Řehoř, Drašar – Böhm, Šimeček, Dohnal – Kýhos. Trenér: Machulda.</t>
  </si>
  <si>
    <t>0:1; 3:1; 3:2; 7:2; 7:4; 8:4</t>
  </si>
  <si>
    <t>Hosnedl (Kubík (J)) – Šoustek (J), Fučík, Urbánek, Havlůj (C), Havlík D., Hoffmann – Buberl (J), Nedrda (A), Písařík, Kýhos (A), Smolka, Mical, Dohnal, Drašar. Trenér: Machulda.</t>
  </si>
  <si>
    <t>20. Smolka (Písařík, Urbánek), 22. Buberl (Dohnal), 40. Drašar (Mical, Kýhos)</t>
  </si>
  <si>
    <t>2:0; 2:1; 3:1; 3:4</t>
  </si>
  <si>
    <t>HC Děčín — MOSTEČTÍ LVI</t>
  </si>
  <si>
    <t>9. Drašar (Mical), 19. Procházka, 23. Böhm (Kýhos, Stříbrný), 25. Procházka (Šimeček, Kýhos), 26. Písařík (Šimeček, Havlůj), 34. Písařík (Šimeček), 55. Písařík (Šimeček), 58. Procházka (Písařík, Šimeček)</t>
  </si>
  <si>
    <t>Hosnedl (Kubík) – Havlůj (C), Nedrda (A), Urbánek, Fučík, D. Havlík, Hoffmann – Písařík, Řehoř, Mical – Kýhos (A), Böhm, Šimeček – Smolka, Stříbrný, Procházka – Drašar</t>
  </si>
  <si>
    <t>8:0; 8:1</t>
  </si>
  <si>
    <t>MOSTEČTÍ LVI — HC Dvůr Králové n. Labem</t>
  </si>
  <si>
    <t>Hosnedl (Kubík) – Urbánek, Havlůj (C), Havlík, Fučík, Hoffmann, Nedrda (A) – Procházka, Písařík, Šimeček, Mical, Řehoř, Drašar – Böhm, Kýhos (A), Stříbrný – Dohnal. Trenér: Vladimír Machulda.</t>
  </si>
  <si>
    <t>MOSTEČTÍ LVI — HC Wikov Hronov</t>
  </si>
  <si>
    <t>Hosnedl (Kubík) – Nedrda (A), Havlůj (C), Fučík, Havlík D., Böhm, Havlík M., Hoffmann – Stříbrný, Písařík, Procházka – Šimeček, Řehoř, Mical – Bakrlík, Kýhos (A), Drašar – Dohnal. Trenér: Vladimír Machulda.</t>
  </si>
  <si>
    <t>19. Procházka (Písařík)</t>
  </si>
  <si>
    <t>Hosnedl (Kovařík) – Havlůj (C), Urbánek, M. Havlík, D. Havlík, Nedrda (A), Hoffmann – Stříbrný, Mical, Šimeček – Kýhos (A), Böhm, Bakrlík – Dohnal, Písařík, Procházka – Drašar</t>
  </si>
  <si>
    <t>42. Mical, 52. Havlůj (Písařík), 58. Procházka</t>
  </si>
  <si>
    <t>2. Drašar (Mical, Šimeček), 11. Böhm (Kýhos), 16. Mical (Šimeček, Drašar), 40. Böhm (Bakrlík), 46. Havlůj (Nedrda, Procházka), 48. Písařík (Procházka, Havlík), 55. Procházka (Písařík, Urbánek)</t>
  </si>
  <si>
    <t>Hosnedl (Kovařík) – Havlůj (C), Urbánek, Nedrda (A), Havlík D, Šesták, Hoffmann, Havlík M – Stříbrný, Písařík, Procházka – Drašar, Šimeček, Mical – Bakrlík, Kýhos, Böhm (A) – Dohnal. Trenér: Vladimír Machulda</t>
  </si>
  <si>
    <t>1:0; 1:1; 3:1; 3:8; 7:8</t>
  </si>
  <si>
    <t>Hosnedl, Kubík – Šesták, Urbánek, Steinocher, Hoffmann – Mical, Stříbrný, Böhm (C), Procházka (A), Šimeček, Dohnal, Řehoř. Trenér: Machulda.</t>
  </si>
  <si>
    <t>3. Řehoř (Stříbrný, Mical), 10. Procházka, 29. Řehoř (Šesták, Mical)</t>
  </si>
  <si>
    <t>4. Mical (Řehoř, Urbánek), 7. Písařík (Böhm), 26. Mical (Řehoř), 34. Kýhos (Nedrda, Bakrlík), 55. Řehoř (Mical, Urbánek)</t>
  </si>
  <si>
    <t>Hosnedl (Kovařík) – Urbánek, Šesták, Steinocher, Havlůj (C), Hoffmann, Nedrda (A), Havlík M. – Stříbrný, Řehoř, Mical – Böhm, Písařík, Procházka – Bakrlík, Kýhos (A), Dohnal. Trenér: Vladimír Machulda</t>
  </si>
  <si>
    <t>1:0; 1:1; 2:1; 2:2; 5:2</t>
  </si>
  <si>
    <t>Hosnedl (Kubík) – Šesták, Urbánek, Havlůj (C), Böhm, Hoffmann, Havlík M. – Stříbrný, Řehoř, Mical – Drašar, Písařík, Procházka – Kýhos (A), Bakrlík, Dohnal
Trenér: Vladimír Machulda.</t>
  </si>
  <si>
    <t xml:space="preserve">8. Urbánek (Stříbrný), 17. Bakrlík (Kýhos, Dohnal), 47. Kýhos (Urbánek, Bakrlík), 54. Řehoř (Havlůj, Mical), 55. Písařík (Drašar) </t>
  </si>
  <si>
    <t>0:1; 1:1; 1:3; 2:3; 2:4; 5:4; 5:5; 5:6pp</t>
  </si>
  <si>
    <t>Hosnedl, 40. Kubík – Havlůj (C), Urbánek, Šesták, Steinocher, Hoffmann – Kýhos (A), Písařík, Řehoř, Böhm, Mical, Procházka, Stříbrný, Dohnal, Drašar. Trenér: Machulda.</t>
  </si>
  <si>
    <t>32. Procházka (Písařík) (nájezdy: 1. série:
 0:0    Řehoř (MOL)
 0:0    Dušek (DVK)
2. série:
 0:0    Havlůj (MOL)
 1:0    Půhoný (DVK)
3. série:
 1:0    Písařík (MOL)
 1:0    Havlas (DVK)
4. série:
 1:0    Kýhos (MOL)
 1:0    Bláha (DVK)
5. série:
 1:0    Procházka (MOL))</t>
  </si>
  <si>
    <t>Kubík, Kovařík – Havlůj, Steinocher, Šesták, Urbánek, Nedrda, Fučík – Procházka, Písařík, Smolka, Mical, Šimeček, Drašar, Böhm, Kýhos, Stříbrný. Trenér: Machulda.</t>
  </si>
  <si>
    <t>29. Smolka (Procházka, Písařík), 32. Písařík (Havlůj), 38. Stříbrný (Böhm), 59. Šesták (Nedrda)</t>
  </si>
  <si>
    <t>Kubík, Kovařík – Havlůj (C), Urbánek, Šesták, Steinocher, Nedrda (A), Fučík, Hoffmann – Procházka, Písařík, Šimeček, Mical Řehoř, Drašar, Böhm, Kýhos (A), Stříbrný, Dohnal. Trenér: Machulda.</t>
  </si>
  <si>
    <t>2. Mical (Drašar), 20. Řehoř (Drašar), 37. Nedrda (Kýhos, Fučík), 49. Písařík (Procházka), 51. Písařík (Šimeček, Procházka), 58. Stříbrný (Kýhos)</t>
  </si>
  <si>
    <t>1:0; 1:1; 2:1; 2:2; 5:2; 5:4; 6:4</t>
  </si>
  <si>
    <t>Kubík, Kovařík – Havlůj (C), Urbánek, Šesták, Steinocher, Fučík, Hoffmann – Procházka, Písařík, Šimeček, Mical, Řehoř, Drašar, Böhm, Kýhos (A), Stříbrný, Dohnal. Trenér: Machulda.</t>
  </si>
  <si>
    <t>1. Procházka (Šimeček, Písařík), 30. Procházka (Urbánek, Havlůj), 34. Kýhos (Procházka), 37. Procházka (Kýhos, Stříbrný), 46. Procházka (Písařík, Havlůj)</t>
  </si>
  <si>
    <t>1:0; 1:4; 5:4</t>
  </si>
  <si>
    <t>7. Drašar (Řehoř, Mical), 8. Smolka (Písařík, Procházka), 12. Smolka (Písařík, Procházka), 18. Urbánek (Písařík, Procházka), 20. Písařík (Smolka, Procházka), 24. Havlůj (Procházka), 28. Písařík (Procházka, Havlůj), 34. Fučík (Mical), 38. Böhm (Dohnal, Stříbrný), 40. Řehoř (Mical), 46. Hoffmann (Dohnal, Stříbrný), 53. Mical (Urbánek), 54. Řehoř (Mical)</t>
  </si>
  <si>
    <t>Kubík (Kovařík) – Havlůj, Urbánek, Šesták, Fučík, Nedrda, Hoffmann – Procházka, Písařík, Smolka, Mical, Řehoř, Drašar, Bohm, Dohnal, Stříbrný. Trenér: Machulda.</t>
  </si>
  <si>
    <t>2:0; 2:1; 3:1; 3:3; 13:3</t>
  </si>
  <si>
    <t>24. Drašar (Mical), 28. Mical (Drašar, Řehoř), 48. Fučík (Mical, Řehoř)</t>
  </si>
  <si>
    <t>Kubík (29. Kovařík) – Fučík, Urbánek, Havlůj (C), Steinocher, Hoffmann – Písařík, Řehoř, Mical, Böhm, Dohnal, Šimeček, Smolka, Stříbrný, Procházka, Drašar. Trenér: Machulda.</t>
  </si>
  <si>
    <t>0:3; 1:3; 1:5; 2:5; 2:6; 3:6; 3:8</t>
  </si>
  <si>
    <t>Godla – Zile, Zeman, Strejček, Jaks, Demel (A), Wesley, Freibergs – Kudrna, Sukeľ (C), Abdul – Š. Stránský, Estephan, Zdráhal (A) – Straka, Gut, Hlava – Zygmunt, Helt, Havelka.</t>
  </si>
  <si>
    <t>5:0; 5:1</t>
  </si>
  <si>
    <t>1:0; 1:1; 1:2pp</t>
  </si>
  <si>
    <t>3:0; 3:2; 4:2; 4:6</t>
  </si>
  <si>
    <t>Godla – Zile, Zeman, Strejček, Jaks, Demel (A), Wesley, Freibergs – Kudrna, Sukeľ (C), Abdul – Š. Stránský, Estephan, Zdráhal (A) – Straka, Gut, Hlava – Zygmunt, Berka, Havelka.</t>
  </si>
  <si>
    <t>26. Giorgio ESTEPHAN (TS)</t>
  </si>
  <si>
    <t>Godla (od 21. Zajíček) – Zile, Zeman, Freibergs, Jaks, Demel (A), Wesley, Šalda – Kudrna, Sukeľ (C), Abdul – Š. Stránský, Estephan, Zdráhal (A) – Straka, Gut, Hlava – Zygmunt, Berka, Havelka.</t>
  </si>
  <si>
    <t xml:space="preserve">14. Šimeček (Mical), 15. Stříbrný (Šimeček), 33. Kýhos (Písařík, Procházka), 59. Procházka (Havlůj, Kýhos), 60. Šimeček (Řehoř, Nedrda) </t>
  </si>
  <si>
    <t>Čermák (Kubík) – Urbánek Havlůj (C), Steinocher, Fučík, Nedrda (A), Hoffmann, Šoustek – Kýhos, Písařík, Procházka – Drašar, Řehoř, Mical – Stříbrný, Šimeček, Böhm (A) – Puczek. Trenér: Vladimír Machulda.</t>
  </si>
  <si>
    <t>0:1; 2:1; 2:3; 3:3; 3:5; 5:5; 5:6pp</t>
  </si>
  <si>
    <t>21. Havlůj, 30. Šimeček (Stříbrný), 33. Písařík (Nedrda), 40. Fučík (Nedrda, Šimeček), 44. Šimeček (Steinocher), 46. Mical (Písařík, Kubík), 57. Mical (Řehoř, Šesták)</t>
  </si>
  <si>
    <t>Kubík, Kovařík – Šesták, Steinocher, Urbánek, Fučík, Nedrda (A), Hoffmann, Havlůj (C) – Mical, Písařík, Řehoř, Kýhos, Šimeček, Procházka, Stříbrný, Drašar, Böhm (A). Trenér: Machulda.</t>
  </si>
  <si>
    <t>1:0; 1:1; 2:1; 2:2; 7:2; 7:3</t>
  </si>
  <si>
    <t>Kubík (Kovařík) – Urbánek, Havlůj (C), Steinocher, Šesták, Hoffmann, Fučík – Kýhos (A), Písařík, Procházka – Nedrda (A), Řehoř, Mical – Stříbrný, Šimeček, Böhm. Trenér: Vladimír Machulda.</t>
  </si>
  <si>
    <t>17. Kýhos (Urbánek, Písařík), 28. Mical (Steinocher), 28. Šimeček, 31. Kýhos (Urbánek, Písařík), 60. Kýhos (Procházka, Havlůj)</t>
  </si>
  <si>
    <t>4:0; 4:3; 5:3</t>
  </si>
  <si>
    <t>1:0; 1:1; 3:1; 3:3; 4:3pp</t>
  </si>
  <si>
    <t>1. Písařík (Havlík), 15. Písařík (Kýhos, Procházka), 31. Smolka (Mical), 63. Písařík (Smolka)</t>
  </si>
  <si>
    <t>Kubík (Bubeník) – Havlík, Fučík, Urbánek, Havlůj (C), Steinocher, Hoffmann – Böhm, Mical, Střibrný, Procházka, Kýhos (A), Smolka, Písařík, Šesták, Řehoř. Trenér: Vladimír Machulda.</t>
  </si>
  <si>
    <t>4. Urbánek (Procházka, Písařík), 23. Steinocher (Řehoř, Fučík), 27. Procházka (Kýhos, Havlůj), 28. Mical (Stříbrný), 30. Urbánek (Kýhos), 33. Smolka (Mical), 40. Písařík (Procházka, Havlůj), 52. Stříbrný (Böhm, Šesták), 53. Písařík (Kýhos)</t>
  </si>
  <si>
    <t>Kubík (Kovařík) – Urbánek, Havlůj (C), Steinocher, Fučík, Havlík, Hoffmann – Kýhos (A), Písařík, Procházka – Smolka, Řehoř, Mical – Stříbrný, Böhm, Šesták. Trenér: Vladimír Machulda.</t>
  </si>
  <si>
    <t>1:0; 1:3; 5:3; 5:4; 9:4</t>
  </si>
  <si>
    <t>2:0; 2:1; 7:1; 7:2</t>
  </si>
  <si>
    <t>1. Smolka (Mical, Šesták), 3. Písařík (Kýhos), 39. Nedrda (Šimeček, Stříbrný), 43. Stříbrný (Řehoř), 54. Řehoř (Smolka), 55. Nedrda (Šimeček, Stříbrný), 59. Böhm (Stříbrný, Písařík)</t>
  </si>
  <si>
    <t>5. Drašar (Dohnal), 16. Písařík (Procházka), 37. Šimeček (Stříbrný, Mical), 41. Mical (Šimeček, Fučík), 56. Šimeček (Mical)</t>
  </si>
  <si>
    <t>Kubík (Hosnedl) – Urbánek, Havlůj (C), Fučík, Böhm, Hoffmann, Šoustek – Kýhos (A), Písařík, Procházka – Stříbrný, Šimeček, Mical – Kysela, Dohnal, Drašar. Trenér: Vladimír Machulda.</t>
  </si>
  <si>
    <t>Kubík (Hosnedl) – Urbánek, Havlůj (C), Šesták, Fučík, Steinocher, Hoffmann – Kýhos (A), Písařík, Procházka – Smolka, Řehoř, Mical – Stříbrný, Šimeček, Nedrda (A) – Böhm, Dohnal, Drašar. Trenér: Vladimír Machulda</t>
  </si>
  <si>
    <t>0:1; 1:1; 1:3; 2:3; 2:4; 5:4</t>
  </si>
  <si>
    <t>0:1; 1:1; 1:2; 2:2; 2:3pp</t>
  </si>
  <si>
    <t>33. Kysela (Smolka, Řehoř), 46. Kysela (Řehoř, Smolka)</t>
  </si>
  <si>
    <t>Kubík, Hosnedl – Šoustek, Steinocher, Urbánek, Böhm, Nedrda, Hoffmann, Šimeček, Stříbrný, Kysela, Kýhos, Písařík, Smolka, Řehoř, Dohnal, Drašar. Trenér: Machulda.</t>
  </si>
  <si>
    <t>11. Drašar</t>
  </si>
  <si>
    <t>Kubík (42. Hosnedl) – Šoustek, Böhm, Urbánek, Havlůj (C), Steinocher, Hoffmann – Kýhos (A), Písařík, Kysela – Dohnal, Mical, Smolka – Řehoř, Procházka, Drasař. Trenér: Vladimír Machulda</t>
  </si>
  <si>
    <t>Hosnedl (Kubík) – Urbánek, Havlůj (C), Steinocher, Fučík, Nedrda (A), Hoffmann – Kýhos (A), Písařík, Procházka – Smolka, Řehoř, Mical – Šimeček, Stříbrný, Drašar – Böhm, Dohnal, Kysela. Trenér: Machulda.</t>
  </si>
  <si>
    <t>1. Smolka (Mical, Řehoř), 28. Šimeček (Nedrda, Böhm), 35. Písařík (Procházka, Havlůj), 60. Stříbrný (Šimeček)</t>
  </si>
  <si>
    <t>1:0; 1:1; 3:1; 3:2; 4:2</t>
  </si>
  <si>
    <t>7. Šimeček (Stříbrný, Böhm), 28. Řehoř (Kysela), 44. Kýhos (Nedrda), 49. Řehoř (Šimeček, Steinocher)</t>
  </si>
  <si>
    <t>Hosnedl (Kubík) – Havlůj (C), Steinocher, Urbánek, Fučík, Nedrda, Hoffmann – Písařík, Řehoř, Mical, Kýhos (A), Böhm, Šimeček, Procházka, Stříbrný, Dohnal, Kysela.</t>
  </si>
  <si>
    <t>4. Procházka (Řehoř, Kýhos), 17. Procházka (Šimeček), 46. Kýhos (Písařík), 53. Řehoř (Šimeček, Smolka), 60. Stříbrný (Böhm)</t>
  </si>
  <si>
    <t>0:1; 2:1; 2:2; 5:2</t>
  </si>
  <si>
    <t>Hosnedl (Kubík) – Havlůj (C), Steinocher, Urbánek, Fučík, Nedrda (A), Hoffmann – Böhm, Mical, Písařík – Řehoř, Kýhos (A), Smolka – Šimeček, Prcházka, Stříbrný – Dohnal, Kysela. Trenér: Vladimír Machulda.</t>
  </si>
  <si>
    <t>8:0; 8:1; 12:1; 12:2; 13:2; 13:3; 14:3</t>
  </si>
  <si>
    <t>1. Písařík (Kýhos, Procházka), 3. Kýhos (Písařík), 5. Procházka (Kýhos, Písařík), 23. Písařík (Urbánek), 29. Hoffmann (Stříbrný, Nedrda), 37. Kysela (Fučík, Řehoř), 38. Šimeček (Stříbrný), 40. Kysela (Řehoř, Steinocher), 44. Urbánek, 46. Stříbrný (Šimeček, Böhm), 48. Šimeček (Stříbrný), 50. Kýhos, 55. Dohnal (Řehoř), 57. Urbánek (Procházka, Písařík)</t>
  </si>
  <si>
    <t>Hosnedl (Kovařík) – Urbánek, Havlůj (C), Steinocher, Fučík, Nedrda (A), Hoffmann – Kýhos (A), Písařík, Procházka – Kysela, Řehoř, Dohnal – Stříbrný, Šimeček, Böhm. Trenér: Vladimír Machulda.</t>
  </si>
  <si>
    <t>36. Šimeček (Stříbrný), 39. Hoffmann (Šimeček, Kysela), 45. Kysela (Šimeček, Stříbrný), 56. Nedrda (Šimeček, Kysela)</t>
  </si>
  <si>
    <t>0:3; 4:3</t>
  </si>
  <si>
    <t>72 Hosnedl, 69 Haspra,19 Havlůj, 71 Nedrda, 9 Šoustek, 28 Fučík, 37 Böhm, 4 Hoffmann, 33 Dohnal, 92 Stříbrný, 88 Šimeček, 56 Kýhos, 11 Buberl, 16 Svoboda, 91 Písařík, 26 Procházka, 95 Kysela. Trenér: Machulda Vladimír.</t>
  </si>
  <si>
    <t>11. Kysela (Řehoř, Smolka), 13. Smolka (Řehoř, Fučík), 28. Pačan, 44. Procházka (Stříbrný), 54. Řehoř (Smolka)</t>
  </si>
  <si>
    <t>2:0; 2:2; 5:2; 5:3</t>
  </si>
  <si>
    <t>Hosnedl (Kovařík) – Šoustek, Havlůj (C), Urbánek, Šesták, Fučík, Hoffmann, Dohnal, Stříbrný, Kysela, Procházka, Kýhos (A), Smolka, Řehoř, J. Svoboda, Pačan. Trenér: Vladimír Machulda.</t>
  </si>
  <si>
    <t>25. Mical (Řehoř, Steinocher), 48. Böhm (Hoffmann)</t>
  </si>
  <si>
    <t>0:3; 2:3; 2:4</t>
  </si>
  <si>
    <t>Hosnedl (Kovařík) – Urbánek, Havlůj (C), Steinocher, Fučík, Šesták, Hoffmann – Stříbrný, Kýhos (A), Procházka – Smolka, Řehoř, Mical – Kysela, Böhm, Nedrda (A) – Dohnal. Trenér: Vladimír Machulda.</t>
  </si>
  <si>
    <t>Hosnedl, Kubík – Fučík, Urbánek, Havlůj (C), Steinocher, Šoustek, Hoffmann – Böhm, Mical, Řehoř, Kýhos (A), Smolka, Stříbrný, Svoboda, Kysela, Procházka Jakub. Trenér: Vladimír Machulda.</t>
  </si>
  <si>
    <t>50. Procházka (Kýhos)</t>
  </si>
  <si>
    <t>stav 3:3</t>
  </si>
  <si>
    <t>Hosnedl (Kubík) – Urbánek, Havlůj (C), Steinocher, Fučík, Šesták, Hoffmann – Kýhos (A), Písařík, Procházka – Nedrda, Mical, Řehoř – Stříbrný, Šimeček, Böhm – Kysela, Svoboda. Trenér: Vladimír Machulda.</t>
  </si>
  <si>
    <t>1:0; 1:1; 5:1; 5:2; 6:2; 6:3</t>
  </si>
  <si>
    <t>2. Řehoř (Mical, Nedrda), 4. Mical (Nedrda, Šesták), 12. Šimeček, 20. Kýhos, 26. Písařík (Kýhos), 29. Šesták (Stříbrný, Nedrda)</t>
  </si>
  <si>
    <t>40. Mical (Havlůj, Urbánek), 46. Mical, rozh. náj. Šimeček</t>
  </si>
  <si>
    <t>Hosnedl, Kubík – Hoffmann, Urbánek, Smolka, Šesták, Havlůj, Procházka, Fučík, Dohnal, Böhm, Steinocher, Kýhos, Nedrda, Mical, Šimeček, Písařík, Stříbrný, Řehoř, Kysela. Trenér: Machulda.</t>
  </si>
  <si>
    <t>0:1; 2:1; 2:2; 3:2sn</t>
  </si>
  <si>
    <t>stav 2:2</t>
  </si>
  <si>
    <t>stav 3:2</t>
  </si>
  <si>
    <t>stav 3:4</t>
  </si>
  <si>
    <t>Hosnedl (Kubík) – Urbánek, Havlůj (C), Steinocher, Fučík, Šesták, Hoffmann – Kýhos (A), Písařík, Procházka – Kysela, Mical, Řehoř – Stříbrný, Šimeček, Böhm – Dohnal. Trenér: Vladimír Machulda.</t>
  </si>
  <si>
    <t>25. Šimeček (Procházka), 47. Procházka (Kýhos, Šimeček)</t>
  </si>
  <si>
    <t>0:2; 1:2; 1:4; 2:4</t>
  </si>
  <si>
    <t>Hosnedl (Kubík) – Urbánek, Havlůj (C), Fučík, Böhm, Nedrda, Hoffmann – Kýhos (A), Šimeček, Procházka – Smolka, Řehoř, Mical – Stříbrný, Písařík, Kysela – Dohnal.</t>
  </si>
  <si>
    <t>Hosnedl, Kubík – Havlůj, Urbánek, Nedrda, Havlík, Fučík, Steinocher, Hoffmann, Písařík, Řehoř, Kýhos, Dohnal, Mical, Smolka, Stříbrný, Procházka, Kysela. Trenér: Machulda.</t>
  </si>
  <si>
    <t>5. Písařík, 38. Kýhos (Havlůj, Řehoř)</t>
  </si>
  <si>
    <t>1:0; 1:1; 2:1; 2:2; 2:3sn</t>
  </si>
  <si>
    <t>9. Šimeček (Hoffmann, Stříbrný), 45. Šimeček (Procházka, Kýhos), 60. Kysela (Písařík)</t>
  </si>
  <si>
    <t>Hosnedl (Kubík) – Urbánek, Havlůj (C), Fučík, Procházka, Hoffmann, Dohnal, Böhm – Kýhos (A), Písařík – Kysela, Mical, Řehoř – Stříbrný, Šimeček, Nedrda. Trenér: Vladimír Machulda.</t>
  </si>
  <si>
    <t>2. liga, sezóna 2022/2023</t>
  </si>
  <si>
    <t>MOSTEČTÍ LVI — HC Stadion Cheb</t>
  </si>
  <si>
    <t>31. Šimeček (Procházka), 59. Šimeček (Kýhos, Kroupa), 60. Mical (Řehoř)</t>
  </si>
  <si>
    <t>Hosnedl, Kubík – Urbánek, Havlůj (C), Steinocher, Kroupa, Urban, Hoffmann, Šoustek – Kysela, Písařík, Böhm, Šimeček, Kýhos (A), Procházka, Zdeněk, Řehoř, Mical, Smolka. Trenér: Kýhos.</t>
  </si>
  <si>
    <t>3:0; 3:2</t>
  </si>
  <si>
    <t>Hosnedl, Kubík – Urbánek, Havlůj (C), Steinocher, Kroupa, Urban, Nedrda, Šoustek – Kysela, Písařík, Böhm, Smolka, Kýhos (A), Procházka, Zdeněk, Řehoř, Mical. Trenér: Vladimír Kýhos.</t>
  </si>
  <si>
    <t>19. Havlůj (Urbánek), 42. Steinocher (Kýhos, Smolka), 50. Kýhos (Smolka, Kroupa)</t>
  </si>
  <si>
    <t>0:1; 1:1; 1:2; 3:2; 3:3, 5:3; 5:4; 6:4</t>
  </si>
  <si>
    <t>Hosnedl (Kubík) – Urbánek, Havlůj (C), Fučík, Kroupa, Urban, Hofmann – Kysela, Písařík, Böhm (Aú – Smolka, Kýhos (A), Procházka – Zdeněk, Řehoř, Mical – Stříbrný, Šimeček, Nedrda.
Trenér: Vladimír Kýhos, Petr Rosol.</t>
  </si>
  <si>
    <t>24. Šimeček (Havlůj, Urbánek), 28. Procházka (Smolka), 31. Smolka (Kýhos, Procházka), 41. Stříbrný (Písařík, Havlůj), 52. Böhm (Stříbrný), 60. Řehoř</t>
  </si>
  <si>
    <t>Hosnedl, (Kubík) – Fučík, Urbánek, Havlůj (C), Nedrda, Kroupa – Šimeček, Kýhos (A), Řehoř, Böhm (A), Smolka, Mical, Procházka, Písařík, Kysela, Zdeněk. Trenér: Vladimír Kýhos.</t>
  </si>
  <si>
    <t>Kubík (41. Hosnedl) – Urbánek, Steinocher, Hoffmann, Havlůj (C), Nedrda, Kroupa – Písařík, Zdeněk, Mical, Kýhos ml. (A), Böhm, Šimeček, Procházka, Řehoř, Kysela, Drašar. Trenér: Vladimír Kýhos.</t>
  </si>
  <si>
    <t>HC Kobra Praha — MOSTEČTÍ LVI</t>
  </si>
  <si>
    <t>0:6; 1:6</t>
  </si>
  <si>
    <t>53. Procházka (Šimeček, Kroupa)</t>
  </si>
  <si>
    <t>MOSTEČTÍ LVI — HC Benátky n.J.</t>
  </si>
  <si>
    <t>Hosnedl (Kubík) – Urbánek, Havlůj (C), Steinocher, Kroupa, Nedrda, Šesták, Hofman – Drašar, Písařík, Böhm (A) – Šimeček, Kýhos (A), Procházka – Mical, Zdeněk, Kysela. Trenér: Vladimír Kýhos, Petr Rosol.</t>
  </si>
  <si>
    <t>5. Mical (Kýhos), 12. Havlůj, 14. Drašar (Böhm, Písařík), 23. Böhm (Písařík), 27. Písařík, 42. Procházka, 47. Písařík (Drašar, Böhm), 57. Mical</t>
  </si>
  <si>
    <t>1:0; 1:1; 5:1; 5:3; 8:3</t>
  </si>
  <si>
    <t>MOSTEČTÍ LVI — HC Klatovy</t>
  </si>
  <si>
    <t xml:space="preserve"> 4. Procházka (Kroupa, Kýhos), 9. Procházka (Kýhos, Steinocher), 15. Procházka (Kýhos, Kroupa), 26. Böhm (Drašar, Písařík), 38. Smolka (Urbánek, Procházka), 43. Procházka (Kýhos), 50. Drašar (Böhm, Havlůj)</t>
  </si>
  <si>
    <t>1:0; 1:1; 3:1; 3:2; 6:2; 6:3; 7:3; 7:4</t>
  </si>
  <si>
    <t>Hosnedl (Kubík) – Urbánek, Havlůj (C), Steinocher, Kroupa, Fučík, Šesták, Hofmann – Drašar, Písařík, Böhm (A) – Smolka, Kýhos (A), Procházka – Urban, Kysela, Mical. Trenér: Vladimír Kýhos st., Petr Rosol.</t>
  </si>
  <si>
    <t>TJ HC Řisuty — MOSTEČTÍ LVI</t>
  </si>
  <si>
    <t>Kubík (43. Hosnedl) – Šesták, Hoffmann, Fučík, Havlůj (C), Urban, Kroupa – Böhm (A), Nedrda, Písařík, Procházka, Kýhos (A), Kysela, Mical, Smolka, Drašar. Trenér: Vladimír Kýhos.</t>
  </si>
  <si>
    <t>6. Böhm (Drašar), 11. Písařík (Böhm), 35. Procházka (Kýhos), 54. Nedrda (Fučík, Šesták)</t>
  </si>
  <si>
    <t>1:0; 1:2; 2:2; 2:4; 3:4; 3:7; 4:7</t>
  </si>
  <si>
    <t>HC Tábor — MOSTEČTÍ LVI</t>
  </si>
  <si>
    <t>MOSTEČTÍ LVI — HC Slovan Ústí n/L</t>
  </si>
  <si>
    <t>Hosnedl (Kubík) – Urbánek, Havlůj (C), Steinocher, Kroupa, Šesták, Havlík, Hofamnn – Písařík, Řehoř, Mical – Smolka, Kýhos (A), Procházka – Nedrda, Böhm, Urban. Trenér: Vladimír Kýhos, Petr Rosol.</t>
  </si>
  <si>
    <t>0:6; 1:6; 1:7</t>
  </si>
  <si>
    <t>42. Böhm (Urban, Hofmann)</t>
  </si>
  <si>
    <t>0:6; 2:6; 2:7</t>
  </si>
  <si>
    <t>29. Procházka (Řehoř), 40. Písařík (Steinocher)</t>
  </si>
  <si>
    <t>MOSTEČTÍ LVI — IHC Králové Písek</t>
  </si>
  <si>
    <t>2:0; 2:1; 3:1; 3:3; 4:3sn</t>
  </si>
  <si>
    <t>7. Písařík (Procházka, Kýhos), 26. Drašar (Urban, Urbánek), 31. Procházka (Písařík), rozh. náj. Kýhos</t>
  </si>
  <si>
    <t>Hosnedl (Kubík) – Urbánek, Havlůj (C), Šesták, Fučík, Steinocher, Urban, Hofmann – Böhm (A), Řehoř, Stříbrný – Písařík, Kýhos (A), Procházka – Mical, Nedrda, Drašar – Zdeněk. Trenér: Vladimír Kýhos, Petr Rosol.</t>
  </si>
  <si>
    <t>Hosnedl (27. Kubík) - Šesták, Steinocher, Hoffmann, Havlůj, Urban, Kroupa - Böhm, Nedrda, Písařík, Kysela, Kýhos, Smolka, Mical, Procházka, Řehoř.</t>
  </si>
  <si>
    <t>12. Král (Hoffmann, Urban), 33. Písařík (Zdeněk), 35. Hoffmann (Mical), 57. Písařík, 61. Písařík (Kýhos)</t>
  </si>
  <si>
    <t>Hosnedl (Kubík) – Kroupa, Hoffmann, Šoustek, Havlůj, Fučík – Pačan, Král, Böhm, Kýhos, Urban, Nedrda, Mical, Písařík, Řehoř, Zdeněk, Drašar</t>
  </si>
  <si>
    <t>0:1; 1:1; 1:3; 3:3; 3:4; 4:4; 5:4pp</t>
  </si>
  <si>
    <t>MOSTEČTÍ LVI — HC Příbram</t>
  </si>
  <si>
    <t>0:5; 2:5</t>
  </si>
  <si>
    <t>55. Písařík, 57. Böhm (Mical, Urban)</t>
  </si>
  <si>
    <t>Hosnedl (Kubík) – Šoustek, Havlůj (C), Steinocher, Kroupa, Urban, Hofmann – Procházka, Řehoř, Drašar – Písařík, Zdeněk, Smolka – Mical, Böhm (A), Nedrda – Král 
Trenér: Vladimír Kýhos, Petr Rosol</t>
  </si>
  <si>
    <t>2:0; 2:5; 4:5; 4:6</t>
  </si>
  <si>
    <t>3. Písařík (Kýhos, Šesták), 4. Smolka (Řehoř, Havlůj), 39. Böhm (Zdeněk), 47. Písařík (Procházka, Steinocher)</t>
  </si>
  <si>
    <t>Hosnedl (Kubík) – Šoustek, Havlůj (C), Steinocher, Šesták, Urban, Havlík, Hofmann – Mical, Řehoř, Smolka – Písařík, Kýhos (A), Procházka – Böhm, Zdeněk, Drašar – Stříbrný. Trenér: Vladimír Kýhos, Petr Rosol.</t>
  </si>
  <si>
    <t>Piráti Chomutov — MOSTEČTÍ LVI</t>
  </si>
  <si>
    <t>Kubík (35. Hosnedl) – Šesták, Steinocher, Poustek, Havlůj (C), Urban, Hoffmann – Písařík, Zdeněk, Nedrda, Böhm (A), Kysela, Mical, Smolka, Řehoř, Procházka, Drašar. Trenér: Vladimír Kýhos.</t>
  </si>
  <si>
    <t>7. Mical (Havlůj, Zdeněk), 20. Písařík (Smolka, Procházka)</t>
  </si>
  <si>
    <t>0:1; 1:1; 1:3; 2:3; 2:9</t>
  </si>
  <si>
    <t>2:0; 2:3; 5:3; 5:4; 6:4; 6:5</t>
  </si>
  <si>
    <t>8. Zdeněk (Havlůj), 20. Procházka (Urban, Steinocher), 32. Procházka (Smolka, Písařík), 40. Písařík (Smolka), 44. Slavík (Vopat), 58. Procházka (Písařík, Urban)</t>
  </si>
  <si>
    <t>Hosnedl (Kubík) – Steinocher, Havlůj (C), Kroupa, Urban, Hora, Bystřický – Drašar, Zdeněk, Böhm (c) – Smolka, Písařík, Procházka – Slavík, Vopat, Bednařík – Mical, Nedrda. Trenér: Vladimír Kýhos, Petr Rosol.</t>
  </si>
  <si>
    <t>HC Stadion Cheb — MOSTEČTÍ LVI</t>
  </si>
  <si>
    <t>12. Urban (Procházka, Nedrda)</t>
  </si>
  <si>
    <t>Hosnedl (Kubík) – Charousek, Hoffmann, Havlůj /C/, Steinocher, Kroupa – Böhm, Nedrda, Pačan – Procházka, Urban, Král – Mical, Šoustek, Písařík. Trenér: Kýhos.</t>
  </si>
  <si>
    <t>Hosnedl (Kovařík) – Steinocher, Havlůj (C), Šoustek, Charousek, Hofmann, Havlík – Drašar, Stříbrný, Böhm (A), – Nedrda, Písařík, Procházka – Urban, Kysela, Mical. Trenér: Vladimír Kýhos, Petr Rosol.</t>
  </si>
  <si>
    <t>MOSTEČTÍ LVI — HC Kobra Praha</t>
  </si>
  <si>
    <t xml:space="preserve">12. Procházka (Smolka, Písařík), 14. Písařík (Böhm, Procházka), 34. Řehoř (Šimeček, Kysela), 46. Procházka, 57. Smolka (Zdeněk) </t>
  </si>
  <si>
    <t>Hosnedl (Kubík) – Steinocher, Havlůj (C), Charousek, Böhm (A), Šoustek, Fučík, Hofmann – Drašar, Zdeněk, Mical – Smolka, Pisařík, Procházka – Šimeček, Řehoř, Kysela. Trenér: Vladimír Kýhos, Petr Rosol.</t>
  </si>
  <si>
    <t>HC Benátky n.J. — MOSTEČTÍ LVI</t>
  </si>
  <si>
    <t>13. Šimeček (Zdeněk), 25. Písařík (Smolka, Charousek), 37. Zdeněk (Šimeček, Kysela), 42. Písařík (Smolka, Charousek)</t>
  </si>
  <si>
    <t>Hosnedl (10. Kubík) – Havlůj, Hoffmann, Charousek, Šoustek, Fučík, Steinocher, Kroupa – Böhm, Šimeček, Zdeněk, Smolka, Mical, Kysela, Písařík, Procházka, Drašar. Trenér: Kýhos.</t>
  </si>
  <si>
    <t>0:4; 1:4; 1:5; 2:5; 2:8; 4:8; 4:9</t>
  </si>
  <si>
    <t>HC Klatovy — MOSTEČTÍ LVI</t>
  </si>
  <si>
    <t>1. Procházka (Písařík, Steinocher), 48. Šoustek (Mical, Písařík), 60. Písařík (Smolka)</t>
  </si>
  <si>
    <t>Hosnedl (Kubík) – Šoustek, Steinocher, Hoffmann, Havlůj (C), Nedrda, Kroupa – Procházka, Böhm (A), Šimeček, Kysela, Pačan, Král, Mical, Smolka, Písařík. Trenér: Vladimír Kýhos.</t>
  </si>
  <si>
    <t>Statistiky zápasů po jednotlivých částech ligy - sezóna 2022/2023</t>
  </si>
  <si>
    <t>0:2; 1:2; 1:3; 5:3</t>
  </si>
  <si>
    <t>Zajíček – Zile, Zeman, Strejček, Freibergs, Demel (A), Wesley, Šalda – Kudrna, Sukeľ (C), Zdráhal (A) – Š. Stránský, Estephan, Abdul – Straka, Gut, Hlava – Havelka, Jurčík, Zygmunt</t>
  </si>
  <si>
    <t>Do 26. kola (do 6. 12. 2022)</t>
  </si>
  <si>
    <t>Od 14. do 26. kola (od 22. 10. 2022 do 6. 12. 2022)</t>
  </si>
  <si>
    <t>Zajíček – Zile, D. Zeman, Freibergs, Strejček, Demel (A), Jaks, Šalda – Kudrna, Sukeľ (C), Abdul – Š. Stránský, Estephan, Zdráhal (A) – Straka, Gut, Hlava – Havelka, Jurčík, Zygmunt.</t>
  </si>
  <si>
    <t>1.  Andrej KUDRNA (10) (Jindřich ABDUL (5))</t>
  </si>
  <si>
    <t>1.  Patrik ZDRÁHAL (8) (Šimon STRÁNSKÝ (12), Jan STREJČEK (1))</t>
  </si>
  <si>
    <t>24.  Matúš SUKEĽ (5) (Joshua Jared WESLEY (1), Patrik DEMEL (3))</t>
  </si>
  <si>
    <t>44. Giorgio ESTEPHAN (5) (Andrej KUDRNA (2), Jindřich ABDUL (6))</t>
  </si>
  <si>
    <t>48.  Giorgio ESTEPHAN (6) (Janis JAKS (8), Šimon STRÁNSKÝ (13)) (PP)</t>
  </si>
  <si>
    <t>6. Nicolas HLAVA (5) (Patrik DEMEL (4))</t>
  </si>
  <si>
    <t>15. Šimon STRÁNSKÝ (6) (Ralfs FREIBERGS (2))</t>
  </si>
  <si>
    <t>17. Šimon STRÁNSKÝ (7)</t>
  </si>
  <si>
    <t>38. Andrej KUDRNA (11) (Jindřich ABDUL (7))</t>
  </si>
  <si>
    <t>15. Janis JAKS (2) (Giorgio ESTEPHAN (14)) (PP)</t>
  </si>
  <si>
    <t>55. Janis JAKS (3) (Jindřich ABDUL (8), Matúš SUKEĽ (8))</t>
  </si>
  <si>
    <t>33. Ralfs FREIBERGS (1) (Giorgio ESTEPHAN (15), Šimon STRÁNSKÝ (14)) (PP)</t>
  </si>
  <si>
    <t>38. Pawel ZYGMUNT (2) (Jan STREJČEK (2), Ralfs FREIBERGS (3))</t>
  </si>
  <si>
    <t>47. Andrej KUDRNA (12) (Ralfs FREIBERGS (4))</t>
  </si>
  <si>
    <t>55.  Andrej KUDRNA (13) (Ondřej JURČÍK (1))</t>
  </si>
  <si>
    <t>60. Matúš SUKEĽ (6) (Andrej KUDRNA (3)) (EN)</t>
  </si>
  <si>
    <t>Hosnedl (Kubík) – Steinocher, Havlůj (C), Šoustek, Kroupa, Hofmann, Šesták – Smolka, Písařík, Procházka – Kysela, Šimeček, Mical – Böhm (A), Zdeněk, Nedrda – Král. Trenér: Vladimír Kýhos, Petr Rosol.</t>
  </si>
  <si>
    <t>7:0; 7:1; 8:1; 8:3; 9:3</t>
  </si>
  <si>
    <t>6. Smolka (Procházka, Steinocher), 8. Písařík (Procházka, Smolka), 14. Písařík (Havlůj, Smolka), 17. Mical (Šimeček, Šoustek), 22. Mical (Kysela), 36. Mical (Šoustek), 38. Šimeček (Kysela, Mical), 50. Král (Hofmann, Böhm), 60. Šimeček (Kysela)</t>
  </si>
  <si>
    <t>0:1; 4:1; 4:4; 7:4</t>
  </si>
  <si>
    <t>MOSTEČTÍ LVI — HC Tábor</t>
  </si>
  <si>
    <t>16.88</t>
  </si>
  <si>
    <t>Šimon Stránský</t>
  </si>
  <si>
    <t>Nicolas Hlava</t>
  </si>
  <si>
    <t>Michal Gut</t>
  </si>
  <si>
    <t>36.36</t>
  </si>
  <si>
    <t>Janis Jaks</t>
  </si>
  <si>
    <t>6.00</t>
  </si>
  <si>
    <t>Kristaps Zile</t>
  </si>
  <si>
    <t>Joshua Jared Wesley</t>
  </si>
  <si>
    <t>Jindřich Abdul</t>
  </si>
  <si>
    <t>Ralfs Freibergs</t>
  </si>
  <si>
    <t>Radim Šalda</t>
  </si>
  <si>
    <t>HC Slovan Ústí n/L — MOSTEČTÍ LVI</t>
  </si>
  <si>
    <t>0:1; 1:1; 1:3; 5:3</t>
  </si>
  <si>
    <t>4:0; 4:2; 5:2</t>
  </si>
  <si>
    <t>Zajíček – Zile, D. Zeman, Freibergs, Strejček, Demel (A), Jaks, Šalda – Hlava, Sukeľ (C), Kudrna – Š. Stránský, Estephan, Zdráhal (A) – Straka, Gut, Fronk – Havelka, Jurčík, Zygmunt.</t>
  </si>
  <si>
    <t>Zajíček – Zile, D. Zeman, Freibergs, Strejček, Demel (A), Jaks, Šalda – Kudrna, Sukeľ (C), Straka – Š. Stránský, Estephan, Zdráhal (A) – Hlava, Gut, Fronk – Zygmunt, Jurčík, Havelka</t>
  </si>
  <si>
    <t>IHC Králové Písek - MOSTEČTÍ LVI</t>
  </si>
  <si>
    <t>0:1; 2:1; 2:4; 4:4; 4:5pp</t>
  </si>
  <si>
    <t>nedohráno</t>
  </si>
  <si>
    <t>9:0; 9:1; 11:1 - ukončen zápas</t>
  </si>
  <si>
    <t>11:1*</t>
  </si>
  <si>
    <t>Zajíček – Zile, D. Zeman, Freibergs, Strejček, Demel, Šalda – Kudrna, Sukeľ, Abdul – Š. Stránský, Estephan, Zdráhal – Hlava, Straka, Fronk – Zygmunt, Jurčík, Havelka</t>
  </si>
  <si>
    <t>0:1; 2:1; 2:2; 3:2sn (sn: 1:0; 1:1; 2:1)</t>
  </si>
  <si>
    <t>6. Ondřej JURČÍK (1) (Pawel ZYGMUNT (2), Martin HAVELKA (2))</t>
  </si>
  <si>
    <t>32. Jiří FRONK (1) (Ralfs FREIBERGS (5), Janis JAKS (9))</t>
  </si>
  <si>
    <t>34.  Denis ZEMAN (2) (Giorgio ESTEPHAN (16), Patrik ZDRÁHAL (9))</t>
  </si>
  <si>
    <t>53.  Janis JAKS (4) (Šimon STRÁNSKÝ (15)) (PP)</t>
  </si>
  <si>
    <t>60. Pawel ZYGMUNT (3) (Martin HAVELKA (3), Denis ZEMAN (2)) (EN)</t>
  </si>
  <si>
    <t>4. Andrej KUDRNA (14) (Michal GUT (2)) (SH)</t>
  </si>
  <si>
    <t>8. Andrej KUDRNA (15) (Petr STRAKA (1))</t>
  </si>
  <si>
    <t>24. Pawel ZYGMUNT (4) (Denis ZEMAN (3), Ondřej JURČÍK (2))</t>
  </si>
  <si>
    <t>26. Pawel ZYGMUNT (5) (Martin HAVELKA (4))</t>
  </si>
  <si>
    <t>56. Andrej KUDRNA (16) (Petr STRAKA (2)) (EN)</t>
  </si>
  <si>
    <t>2:0; 2:1; 3:1; 3:2; 5:2</t>
  </si>
  <si>
    <t xml:space="preserve">Zajíček – Zile, D. Zeman, Freibergs, Strejček, Demel (A), Šalda, Wesley – Kudrna, Sukeľ (C), Válek – Š. Stránský, Estephan, Zdráhal (A) – Straka, Jurčík, Zygmunt – L. Stehlík, Gut, Berka. </t>
  </si>
  <si>
    <t>HC Děčín - MOSTEČTÍ LVI</t>
  </si>
  <si>
    <t>2:0; 2:2; 5:2</t>
  </si>
  <si>
    <t>četnost</t>
  </si>
  <si>
    <t>0:1; 2:1; 2:2; 2:3p</t>
  </si>
  <si>
    <t>HC Příbram — MOSTEČTÍ LVI</t>
  </si>
  <si>
    <t>3:0; 3:2; 4:2; 4:3; 5:3</t>
  </si>
  <si>
    <t>11. Šimeček (Böhm), 23. Smolka (Písařík, Procházka), 29. Řehoř (Šimeček), 38. Písařík (Smolka, Procházka), 52. Řehoř (Šimeček)</t>
  </si>
  <si>
    <t>Hosnedl (Čermák) – Šoustek, Hoffmann, Charousek, Urbánek, Havlůj „C“, Steinocher, Kroupa – Böhm „A“, Šimeček, Řehoř, Král, Mical, Procházka, Písařík, Smolka, Pačan. Trenér: Vladimír Kýhos.</t>
  </si>
  <si>
    <t>13. Giorgio ESTEPHAN (8) (Šimon STRÁNSKÝ (16), Patrik ZDRÁHAL (10))</t>
  </si>
  <si>
    <t>32. Denis ZEMAN (3) (Šimon STRÁNSKÝ (17), Kristaps ZILE (10))</t>
  </si>
  <si>
    <t>1 LIT Gól Giorgio ESTEPHAN (88)
2 LIB Gól Michal BIRNER (16)
3 LIT Neproměnil Patrik ZDRÁHAL (25)
4 LIB Neproměnil Tomáš FILIPPI (41)
5 LIT Neproměnil Andrej KUDRNA (17)
6 LIB Neproměnil Oscar FLYNN (19)
7 LIT Neproměnil Nicolas HLAVA (77)
8 LIB Neproměnil Jakub RYCHLOVSKÝ (18)
9 LIT Gól Šimon STRÁNSKÝ (83)
10 LIB Neproměnil Martin FAŠKO-RUDÁŠ (77)</t>
  </si>
  <si>
    <t>Šimon STRÁNSKÝ - rozhodující nájezd</t>
  </si>
  <si>
    <t>7. Pawel ZYGMUNT (6) (Petr STRAKA (3), Ondřej JURČÍK (3))</t>
  </si>
  <si>
    <t>13.  Giorgio ESTEPHAN (9) (Kristaps ZILE (11), Denis ZEMAN (4))</t>
  </si>
  <si>
    <t>22. Lukáš VÁLEK (1) (Matúš SUKEĽ (9), Kristaps ZILE (12)) (PP)</t>
  </si>
  <si>
    <t>47.  Patrik DEMEL (2) (Patrik ZDRÁHAL (11), Šimon STRÁNSKÝ (18))</t>
  </si>
  <si>
    <t>50. Matúš SUKEĽ (7) (Šimon STRÁNSKÝ (19), Ralfs FREIBERGS (6)) (PP)</t>
  </si>
  <si>
    <t>Zajíček – D. Zeman, Zile, Šalda, Freibergs, Jaks, Demel (A), Wesley – Abdul, Sukeľ (C), Kudrna – Zdráhal (A), Estephan, Š. Stránský – Chalupa, Gut, Hlava – Zygmunt, Jurčík, Havelka</t>
  </si>
  <si>
    <t>13. Matěj CHALUPA (1) (Ondřej JURČÍK (4), Pawel ZYGMUNT (3))</t>
  </si>
  <si>
    <t>24. Jindřich ABDUL (2) (Pawel ZYGMUNT (4))</t>
  </si>
  <si>
    <t>Godla – Zile, D. Zeman, Freibergs, Šalda, Demel (A), Jaks, Wesley – Kudrna, Sukeľ (C), Abdul – Š. Stránský, Estephan, Zdráhal (A) – Straka, Gut, Chalupa – Havelka, Jurčík, Zygmunt</t>
  </si>
  <si>
    <t>36. Patrik ZDRÁHAL (9) (Šimon STRÁNSKÝ (20))</t>
  </si>
  <si>
    <t>37.  Nicolas HLAVA (6) (Janis JAKS (10), Patrik DEMEL (5))</t>
  </si>
  <si>
    <t>45. Patrik ZDRÁHAL (10) (Matúš SUKEĽ (10), Denis ZEMAN (5))</t>
  </si>
  <si>
    <t>Zajíček – Zile, D. Zeman, Freibergs, Strejček, Demel (A), Jaks, Wesley, Šalda – Š. Stránský, Sukeľ (C), Zdráhal (A) – Kudrna, Estephan, Abdul – Straka, Gut, Hlava – Havelka, Jurčík.</t>
  </si>
  <si>
    <t xml:space="preserve">Godla – D. Zeman, Zile, Šalda, Freibergs, Jaks, Demel (A), Wesley – Zdráhal (A), Sukeľ (C), Š. Stránský – Abdul, Estephan, Kudrna – Hlava, Gut, Straka – Zygmunt, Jurčík, Havelka
</t>
  </si>
  <si>
    <t>2. Mical (Šimeček), 4. Drašar (Kroupa, Šimeček), 22. Mical (Šimeček, Kroupa), 26. Nedrda (Böhm), 33. Mical (Šimeček, Drašar)</t>
  </si>
  <si>
    <t>Hosnedl (Kubík) - Havlík, Hoffmann, Charousek, Urbánek, Havlůj, Steinocher, Kroupa - Šimeček, Král, Nedrda - Böhm, Procházka, Mical - Smolka, Písařík, Pačan - Drašar</t>
  </si>
  <si>
    <t>3. Stříbrný (Řehoř, Böhm), 4. Šimeček (Kroupa, Steinocher), 7. Písařík (Smolka, Havlůj), 13. Písařík (Smolka, Procházka), 16. Procházka (Smolka, Urbánek), 16. Böhm (Řehoř, Urbánek), 17. Šimeček, 18. Böhm (Stříbrný, Nedrda), 27. Urbánek (Hofmann, Procházka), 32. Písařík (Procházka), 33. Nedrda (Havlík, Böhm)</t>
  </si>
  <si>
    <t>Hosnedl (Kubík) - Urbánek, Havlůj, Steinocher, Kroupa, Nedrda, Havlík, Hofmann - Smolka, Písařík, Procházka - Kysela, Šimeček, Mical - Stříbrný, Řehoř, Böhm - Drašar</t>
  </si>
  <si>
    <t>14. Smolka (Kroupa, Havlůj), 15. Kysela (Šimeček), 54. Písařík (Smolka), 60. Šimeček (Charousek)</t>
  </si>
  <si>
    <t>Hosnedl (Kubík) - Havlík, Hoffmann, Charousek, Urbánek, Havlůj, Steinocher, Kroupa - Šimeček, Stříbrný, Kysela, Böhm, Písařík, Mical, Řehoř, Smolka, Drašar</t>
  </si>
  <si>
    <t>9. Mical (Stříbrný)</t>
  </si>
  <si>
    <t>Hosnedl (Kubík) - Šesták, Hoffmann, Fučík, Urbánek, Havlůj, Charousek, Kroupa - Mical, Písařík, Řehoř, Böhm, Šimeček, Nedrda, Stříbrný, Procházka, Zdeněk</t>
  </si>
  <si>
    <t>Hosnedl (Kubík) - Steinocher, Havlůj, Šoustek, Kroupa, Charousek, Fučík, Hofmann - Zdeněk, Písařík, Procházka - Kysela, Šimeček, Mical - Böhm, Řehoř, Nedrda - Stříbrný</t>
  </si>
  <si>
    <t>10. Řehoř (Böhm), 21. Písařík (Steinocher), 23. Nedrda (Böhm, Řehoř), 31. Písařík (Procházka, Havlůj), 49. Böhm, 58. Nedrda, 59. Böhm (Řehoř)</t>
  </si>
  <si>
    <t>HC Stadion Vrchlabí — MOSTEČTÍ LVI</t>
  </si>
  <si>
    <t>Hosnedl (Čermák) - Šoustek, Hoffmann, Fučík, Urbánek, Havlůj, Steinocher, Kroupa - Mical, Písařík, Pačan, Procházka, Šimeček, Böhm, Řehoř, Král, Drašar</t>
  </si>
  <si>
    <t>Godla – D. Zeman, Zile, Wesley, Freibergs, Jaks, Demel (A), Strejček – Zdráhal (A), Sukeľ (C), Š. Stránský – Hlava, Gut, Kudrna – Abdul, Estephan, Straka – Chalupa, Jurčík, Šalda</t>
  </si>
  <si>
    <t>Zajíček (29. Godla) – D. Zeman, Zile, Strejček, Freibergs, Wesley, Demel (A) – Zdráhal (A), Sukeľ (C), Š. Stránský – Abdul, Gut, Kudrna – Hlava, Estephan, Chalupa – Šalda, Jurčík, Havelka</t>
  </si>
  <si>
    <t>0:1; 1:1; 1:3; 4:3</t>
  </si>
  <si>
    <t>0:2; 2:2; 2:3p</t>
  </si>
  <si>
    <t>MOSTEČTÍ LVI — Piráti Chomutov</t>
  </si>
  <si>
    <t>1:0; 1:2; 2:2; 2:4; 4:4; 5:4sn</t>
  </si>
  <si>
    <t>11. Matúš SUKEĽ (8) (Nicolas HLAVA (9), Šimon STRÁNSKÝ (21)) (PP)</t>
  </si>
  <si>
    <t>43. Andrej KUDRNA (17) (Denis ZEMAN (6), Giorgio ESTEPHAN (17))</t>
  </si>
  <si>
    <t>22. Nicolas HLAVA (7) (Patrik ZDRÁHAL (12), Ralfs FREIBERGS (7)) (PP)</t>
  </si>
  <si>
    <t>30. Patrik DEMEL (3) (Patrik ZDRÁHAL (13), Šimon STRÁNSKÝ (22))</t>
  </si>
  <si>
    <t>55.  Giorgio ESTEPHAN (10) (Ralfs FREIBERGS (8), Jindřich ABDUL (10))</t>
  </si>
  <si>
    <t>36.  Matúš SUKEĽ (9) (Jindřich ABDUL (9), Andrej KUDRNA (4)) (PP)</t>
  </si>
  <si>
    <t>Godla – Zile, D. Zeman, Freibergs, Strejček, Demel (A), D. Kolář, Šalda – Š. Stránský, Sukeľ (C), Zdráhal (A) – Kudrna, Estephan, Abdul – Berka, Gut, Hlava – Havelka, Jurčík, Chalupa</t>
  </si>
  <si>
    <t>2.  Giorgio ESTEPHAN (11) (TS)</t>
  </si>
  <si>
    <t>Godla (Zajíček) – D. Zeman, Zile, Strejček, Freibergs, Jaks, Demel (A), Šalda – Válek, Sukeľ (C), Kudrna – Zdráhal (A), Estephan, Š. Stránský – Hlava, Gut, Abdul – Danielčák, Jurčík, Havelka</t>
  </si>
  <si>
    <t>Do 39. kola (do 20. 1. 2023)</t>
  </si>
  <si>
    <t>Od 27. kola do 39. kola (od 7. 12. 2022 do 20. 1. 2023)</t>
  </si>
  <si>
    <t>Od 40. kola do 52. kola (od 22. 1. 2023 do konce zákl. č.)</t>
  </si>
  <si>
    <t>Po 1. čtvrtině</t>
  </si>
  <si>
    <t>Po 2. čtvrtině</t>
  </si>
  <si>
    <t>Po 3. čtvrtině</t>
  </si>
  <si>
    <t>Po 4. čtvrtině</t>
  </si>
  <si>
    <t>body/zápas</t>
  </si>
  <si>
    <t>4:0; 4:1; 8:1</t>
  </si>
  <si>
    <t>8 vstřelených gólů</t>
  </si>
  <si>
    <t>8. gól</t>
  </si>
  <si>
    <t>Tim Danielčák</t>
  </si>
  <si>
    <t>Zajíček (M. Tomek) – Zile, Freibergs, D. Zeman, Strejček, Demel (A), Jaks, Šalda – Kudrna, Sukeľ (C), Abdul – Š. Stránský, Estephan, Zdráhal (A) – Danielčák, Gut, Hlava – Havelka, Fronk, L. Stehlík.</t>
  </si>
  <si>
    <t>0:2; 2:2; 3:2sn (sn: 1:0; 1:2; 3:2; 3:3; 4:3)</t>
  </si>
  <si>
    <t xml:space="preserve">Zajíček (M. Tomek) – Zile, D. Zeman, Freibergs, Strejček, Demel (A), Jaks, Šalda – Kudrna, Sukeľ (C), Berka – Abdul, Estephan, Zdráhal (A) – Danielčák, Gut, Hlava – Havelka, Fronk, L. Stehlík. </t>
  </si>
  <si>
    <t>ELH (Hradec)</t>
  </si>
  <si>
    <t>Zajíček – Zile, Zeman, Freibergs, Strejček, Demel (A), Jaks, Wesley – Kudrna, Sukeľ (C), Fronk – Abdul, Estephan, Zdráhal (A) – Danielčák, Gut, Hlava – Havelka, Jurčík, Šalda</t>
  </si>
  <si>
    <t>Zajíček inkasoval z 1 trestného střílení</t>
  </si>
  <si>
    <t>0:0; 1:0 sn (sn: 1:0; 1:1; 2:1)</t>
  </si>
  <si>
    <t>Giorgio ESTEPHAN - rozhodující nájezd</t>
  </si>
  <si>
    <t>Zajíček – Zile, D. Zeman, Freibergs, Strejček, Demel (A), Jaks, Wesley, Šalda – Kudrna, Sukeľ (C), Zdráhal (A) – Abdul, Estephan, Hlava – Danielčák, Gut, Berka – Havelka, Jurčík</t>
  </si>
  <si>
    <t>Zajíček – Zile, D. Zeman, Freibergs, Strejček, Demel (A), Jaks, Wesley, Šalda – Kudrna, Sukeľ (C), Jurčík – Abdul, Estephan, Zdráhal (A) – Havelka, Gut, Hlava – Berka, Danielčák</t>
  </si>
  <si>
    <t>36.  Jindřich ABDUL (3) (Kristaps ZILE (13), Andrej KUDRNA (5)) (PP)</t>
  </si>
  <si>
    <t>39.  Andrej KUDRNA (19) (Kristaps ZILE (15), Ralfs FREIBERGS (11)) (PP)</t>
  </si>
  <si>
    <t>2.  Nicolas HLAVA (8) (Janis JAKS (11), Tim DANIELČÁK (1))</t>
  </si>
  <si>
    <t>9.  Andrej KUDRNA (18) (Jindřich ABDUL (11), Jan STREJČEK (3))</t>
  </si>
  <si>
    <t>17. Nicolas HLAVA (9) (Šimon STRÁNSKÝ (23), Janis JAKS (12)) (PP)</t>
  </si>
  <si>
    <t>20. Patrik ZDRÁHAL (11) (Šimon STRÁNSKÝ (24), Patrik DEMEL (6))</t>
  </si>
  <si>
    <t>33. Patrik ZDRÁHAL (12) (Šimon STRÁNSKÝ (25), Giorgio ESTEPHAN (18))</t>
  </si>
  <si>
    <t>37. Nicolas HLAVA (10) (Ralfs FREIBERGS (9))</t>
  </si>
  <si>
    <t>40. Jindřich ABDUL (4) (Ralfs FREIBERGS (10), Matúš SUKEĽ (11))</t>
  </si>
  <si>
    <t>60. Jindřich ABDUL (5) (Matúš SUKEĽ (12), Janis JAKS (13)) (PP)</t>
  </si>
  <si>
    <t>23. Janis JAKS (5) (Giorgio ESTEPHAN (19), Nicolas HLAVA (10)) (PP)</t>
  </si>
  <si>
    <t>58.  Jindřich ABDUL (6) (Andrej KUDRNA (6), Kristaps ZILE (14)) (PP)</t>
  </si>
  <si>
    <t>29. Nicolas HLAVA (11)</t>
  </si>
  <si>
    <t>47. Patrik DEMEL (4) (Radim ŠALDA (1), Martin HAVELKA (5))</t>
  </si>
  <si>
    <t>0:3; 1:3; 1:4; 2:4</t>
  </si>
  <si>
    <t xml:space="preserve">M. Tomek (Godla) – Zile, D. Zeman, Strejček, Jaks, Demel, Freibergs, Šalda – Kudrna, Sukeľ, Válek – Jícha, Estephan, Zdráhal – Straka, Gut, Hlava – Havelka, Jurčík, Helt. </t>
  </si>
  <si>
    <t>Zajíček – Zile, D. Zeman, Freibergs, Strejček, Demel (A), Jaks, Wesley – Kudrna, Sukeľ (C), Jícha – Abdul, Estephan, Zdráhal (A) – Straka, Gut, Havelka – Jurčík, Fronk, Hlava</t>
  </si>
  <si>
    <t>0:1; 2:1; 2:2; 3:2sn (2:0 sn)</t>
  </si>
  <si>
    <t>0:2; 3:2; 3:3; 4:3pp</t>
  </si>
  <si>
    <t>Nicolas Hlava - rozhodující nájezd</t>
  </si>
  <si>
    <t>1 KOM Neproměnil Andrej KOLLÁR (72)
2 LIT Neproměnil Giorgio ESTEPHAN (88)
3 KOM Neproměnil Adam ZBOŘIL (18)
4 LIT Neproměnil Patrik ZDRÁHAL (25)
5 KOM Neproměnil Petr HOLÍK (92)
6 LIT Gól Nicolas HLAVA (77)
7 KOM Neproměnil Tomáš VINCOUR (81)
8 LIT Gól Šimon STRÁNSKÝ (83)</t>
  </si>
  <si>
    <t>1 CEB Neproměnil Milan GULAŠ (77)
2 LIT Gól Giorgio ESTEPHAN (88)
3 CEB Neproměnil Martin HANZL (79)
4 LIT Neproměnil Patrik ZDRÁHAL (25)
5 CEB Neproměnil Tomáš ČACHOTSKÝ (21)
6 LIT Neproměnil Michal GUT (62)
7 CEB Neproměnil Jan ŠTENCEL (7)
8 LIT Neproměnil Nicolas HLAVA (77)
9 CEB Gól Lukáš PECH (23)
10 LIT Neproměnil Andrej KUDRNA (17)
11 LIT Gól Giorgio ESTEPHAN (88)
12 CEB Neproměnil Lukáš PECH (23)</t>
  </si>
  <si>
    <t>1 VIT Neproměnil Rostislav MAROSZ (28)
2 LIT Neproměnil Giorgio ESTEPHAN (88)
3 VIT Neproměnil Petr FRIDRICH (12)
4 LIT Gól Patrik ZDRÁHAL (25)
5 VIT Gól Peter MUELLER (88)
6 LIT Neproměnil Jindřich ABDUL (24)
7 VIT Gól Roberts BUKARTS (71)
8 LIT Gól Nicolas HLAVA (77)
9 VIT Neproměnil Dominik LAKATOŠ (31)
10 LIT Neproměnil Andrej KUDRNA (17)
11 LIT Gól Giorgio ESTEPHAN (88)
12 VIT Gól Peter MUELLER (88)
13 LIT Neproměnil Giorgio ESTEPHAN (88)
14 VIT Neproměnil Peter MUELLER (88)
15 LIT Neproměnil Patrik ZDRÁHAL (25)
16 VIT Neproměnil Roberts BUKARTS (71)
17 LIT Neproměnil Nicolas HLAVA (77)
18 VIT Neproměnil Peter MUELLER (88)
19 LIT Neproměnil Jindřich ABDUL (24)
20 VIT Neproměnil Roberts BUKARTS (71)
21 LIT Neproměnil Janis JAKS (72)
22 VIT Neproměnil Rostislav MAROSZ (28)
23 LIT Neproměnil Giorgio ESTEPHAN (88)
24 VIT Neproměnil Lukáš KRENŽELOK (29)
25 LIT Gól Michal GUT (62)
26 VIT Neproměnil Peter MUELLER (88)</t>
  </si>
  <si>
    <t>54. Giorgio ESTEPHAN (12) (Patrik ZDRÁHAL (14), Janis JAKS (14)) (PP)</t>
  </si>
  <si>
    <t>59. Andrej KUDRNA (20)</t>
  </si>
  <si>
    <t>31.  Nicolas HLAVA (12) (Janis JAKS (15), Giorgio ESTEPHAN (20)) (PP)</t>
  </si>
  <si>
    <t>M. Tomek – Zile, D. Zeman, Strejček, Jaks, Demel (A), Freibergs – Kudrna, Sukeľ (C), Abdul – Š. Stránský, Estephan, Zdráhal (A) – Straka, Gut, Hlava – Havelka, Jurčík, Zygmunt – Fronk</t>
  </si>
  <si>
    <t>M. Tomek – Zile, Strejček, Freibergs, Wesley, Demel, Jaks, D. Zeman – Š. Stránský, Sukeľ, Zdráhal – Kudrna, Estephan, Abdul – Fronk, Straka, Hlava – Havelka, Jurčík, Zygmunt</t>
  </si>
  <si>
    <t>M. Tomek – Zile, Strejček, Freibergs, D. Zeman, Demel (A), Jaks, Šalda – Š. Stránský, Sukeľ (C), Zdráhal – Kudrna, Estephan, Abdul – Fronk, Straka, Hlava – Havelka, Jurčík, Zygmunt</t>
  </si>
  <si>
    <t>M. Tomek – Zile, Strejček, Freibergs, D. Zeman, Demel (A), Jaks, Šalda – Kudrna, Sukeľ (C), Abdul – Š. Stránský, Estephan, Zdráhal (A) – Fronk, Straka, Hlava – Havelka, Jurčík, Zygmunt.</t>
  </si>
  <si>
    <t>Orságh 1. sezóna</t>
  </si>
  <si>
    <t>Orságh 2. sezóna</t>
  </si>
  <si>
    <t>Růžička 1. sezóna</t>
  </si>
  <si>
    <t>Růžička 2. sezóna</t>
  </si>
  <si>
    <t>Mlejnek 1. sezóna</t>
  </si>
  <si>
    <t>zápasy</t>
  </si>
  <si>
    <t>bod/zápas</t>
  </si>
  <si>
    <t>M. Tomek (Zajíček) – Jaks, Demel (A), D. Zeman, Freibergs, Strejček, Zile, Šalda – Abdul, Sukeľ (C), Kudrna – Zdráhal (A), Estephan, Š. Stránský – Hlava, Straka, Fronk – Zygmunt, Jurčík, Havelka</t>
  </si>
  <si>
    <t>Orságh celkem</t>
  </si>
  <si>
    <t>Růžička celkem</t>
  </si>
  <si>
    <t>Mlejnek celkem</t>
  </si>
  <si>
    <t>Mlejnek 2. sezóna</t>
  </si>
  <si>
    <t> HC Litvínov U20</t>
  </si>
  <si>
    <t>Czechia U20</t>
  </si>
  <si>
    <t> HC Děčín </t>
  </si>
  <si>
    <t>Czechia3</t>
  </si>
  <si>
    <t>2022-23</t>
  </si>
  <si>
    <t> HC Baník Sokolov </t>
  </si>
  <si>
    <t> HC Slavia Praha </t>
  </si>
  <si>
    <t> HC Litvínov U20 “A”</t>
  </si>
  <si>
    <t> Czechia U19 (all)</t>
  </si>
  <si>
    <t> Mostečtí Lvi </t>
  </si>
  <si>
    <t> Boston Advantage</t>
  </si>
  <si>
    <t>NCDC</t>
  </si>
  <si>
    <t> LHK Jestřábi Prostějov </t>
  </si>
  <si>
    <t>Vojtěch Kysela</t>
  </si>
  <si>
    <t>60:85</t>
  </si>
  <si>
    <t>137:144</t>
  </si>
  <si>
    <t xml:space="preserve">Zajíček – Demel, Jaks, Freibergs, D. Zeman, Šalda, Strejček, Wesley – Kudrna, Sukeľ, Hlava – Š. Stránský, Estephan, Zdráhal – Straka, Gut, Fronk – Havelka, Jurčík, Zygmunt.
</t>
  </si>
  <si>
    <t>Patrik Zdráhal - rozhodující nájezd</t>
  </si>
  <si>
    <t>2:0; 2:2; 3:2sn (2:0 sn)</t>
  </si>
  <si>
    <t>M. Tomek – Jaks, Demel (A), D. Zeman, Freibergs, Strejček, Šalda, Wesley – Hlava, Sukeľ (C), Kudrna – Zdráhal (A), Estephan, Š. Stránský – Fronk, Gut, Straka – Helt, Jurčík, Havelka</t>
  </si>
  <si>
    <t>1:0; 1:1; 5:1</t>
  </si>
  <si>
    <t>19.  Jindřich ABDUL (7) (Giorgio ESTEPHAN (21), Petr STRAKA (4)) (PP)</t>
  </si>
  <si>
    <t>43. Patrik ZDRÁHAL (13) (Matúš SUKEĽ (13), Šimon STRÁNSKÝ (26))</t>
  </si>
  <si>
    <t>28. Jindřich ABDUL (8) (Matúš SUKEĽ (14), Andrej KUDRNA (7))</t>
  </si>
  <si>
    <t>37.  Šimon STRÁNSKÝ (8) (Matúš SUKEĽ (15), Patrik ZDRÁHAL (15)) (PP)</t>
  </si>
  <si>
    <t>46. Janis JAKS (6) (Šimon STRÁNSKÝ (27), Giorgio ESTEPHAN (22)) (PP)</t>
  </si>
  <si>
    <t>63. Janis JAKS (7) (Patrik ZDRÁHAL (16), Matúš SUKEĽ (16))</t>
  </si>
  <si>
    <t>7. Patrik ZDRÁHAL (14) (Janis JAKS (16), Matúš SUKEĽ (17)) (PP)</t>
  </si>
  <si>
    <t>12.  Jindřich ABDUL (9)</t>
  </si>
  <si>
    <t>27.  Patrik ZDRÁHAL (15) (Giorgio ESTEPHAN (23))</t>
  </si>
  <si>
    <t>34.  Patrik ZDRÁHAL (16) (Šimon STRÁNSKÝ (28), Patrik DEMEL (7))</t>
  </si>
  <si>
    <t>1 PCE Neproměnil Patrik POULÍČEK (44)
2 LIT Neproměnil Giorgio ESTEPHAN (88)
3 PCE Neproměnil Lukáš SEDLÁK (23)
4 LIT Gól Patrik ZDRÁHAL (25)
5 PCE Neproměnil Tomáš ZOHORNA (79)
6 LIT Neproměnil Nicolas HLAVA (77)
7 PCE Neproměnil David CIENCIALA (81)
8 LIT Gól Šimon STRÁNSKÝ (83)</t>
  </si>
  <si>
    <t>2. Ralfs FREIBERGS (2) (Šimon STRÁNSKÝ (29), Patrik ZDRÁHAL (17))</t>
  </si>
  <si>
    <t>23.  Nicolas HLAVA (13) (Andrej KUDRNA (8), Patrik DEMEL (8))</t>
  </si>
  <si>
    <t>Víc než 1 vstřelený gól</t>
  </si>
  <si>
    <t>Víc než 2 vstřelené góly</t>
  </si>
  <si>
    <t>Víc než 3 vstřelené góly</t>
  </si>
  <si>
    <t>počet</t>
  </si>
  <si>
    <t>do Vánoc</t>
  </si>
  <si>
    <t>od Vánoc</t>
  </si>
  <si>
    <t>39. Andrej KUDRNA (1) (Matúš SUKEĽ (1))</t>
  </si>
  <si>
    <t>6. Andrej KUDRNA (21) (Nicolas HLAVA (11), Matúš SUKEĽ (18))</t>
  </si>
  <si>
    <t>28. Šimon STRÁNSKÝ (9)</t>
  </si>
  <si>
    <t>33.  Nicolas HLAVA (14) (Janis JAKS (17), Šimon STRÁNSKÝ (30)) (PP)</t>
  </si>
  <si>
    <t>51.  Janis JAKS (8) (Michal GUT (3), Andrej KUDRNA (9)) (PP)</t>
  </si>
  <si>
    <t>52.  Nicolas HLAVA (15) (Šimon STRÁNSKÝ (31), Ralfs FREIBERGS (12)) (PP)</t>
  </si>
  <si>
    <t>15.44</t>
  </si>
  <si>
    <t>playoff 12 týmů, 14. baráž</t>
  </si>
  <si>
    <t>Švédsko1</t>
  </si>
  <si>
    <t>přímý sestup, playoff neodehráno (COVID)</t>
  </si>
  <si>
    <t>P. Koblasa</t>
  </si>
  <si>
    <t>D. Kaše</t>
  </si>
  <si>
    <t>Moje výjezdy</t>
  </si>
  <si>
    <t>2023/2024</t>
  </si>
  <si>
    <t>poslední den aktuální sezóny</t>
  </si>
  <si>
    <t>21/22..</t>
  </si>
  <si>
    <t>22/23..</t>
  </si>
  <si>
    <t>O. Kaše</t>
  </si>
  <si>
    <t>K. Czuczman</t>
  </si>
  <si>
    <t>L. Kirk</t>
  </si>
  <si>
    <t>Další hráči připravení hrát</t>
  </si>
  <si>
    <t>M. Maštalířský</t>
  </si>
  <si>
    <t>Kevin Czuczman (32 let)</t>
  </si>
  <si>
    <t> NHL</t>
  </si>
  <si>
    <t> NCAA</t>
  </si>
  <si>
    <t> Liiga</t>
  </si>
  <si>
    <t> ECHL</t>
  </si>
  <si>
    <t> Czechia</t>
  </si>
  <si>
    <t> AHL</t>
  </si>
  <si>
    <t>Seasons</t>
  </si>
  <si>
    <t>TP / GP</t>
  </si>
  <si>
    <t>Josh Wesley (27 let)</t>
  </si>
  <si>
    <t>0.08</t>
  </si>
  <si>
    <t>23-24</t>
  </si>
  <si>
    <t>Příprava na sezónu 2023/2024</t>
  </si>
  <si>
    <t>Davos</t>
  </si>
  <si>
    <t>Zug</t>
  </si>
  <si>
    <t>0:2; 1:2; 1:5</t>
  </si>
  <si>
    <t>2:0; 2:1; 3:1; 3:2; 4:2</t>
  </si>
  <si>
    <t>M. Tomek (Zajíček) – Demel, Zile, Strejček, Jaks, Czuczman, Baránek, Zeman – Kudrna, Sukeľ, Koblasa – Abdul, Kirk, O. Kaše – Válek, Gut, Hlava – Zygmunt, Jurčík, Havelka.</t>
  </si>
  <si>
    <t>M. Tomek (Zajíček) – Demel (A), Zile, Jaks, Baránek, Zeman, Czuczman, Šalda – Koblasa, Sukeľ (C), Kudrna – O. Kaše (A), D. Kaše, Hlava – Abdul, Kirk, Válek – Havelka, Jurčík, Zygmunt</t>
  </si>
  <si>
    <t>M. Tomek (Zajíček) – Demel (A), Zile, Jaks, Baránek, Zeman, Czuczman, Šalda – Koblasa, Sukeľ (C), Kudrna (A) – Abdul, D. Kaše, Kirk – Hlava, Gut, Válek – Havelka, Jurčík, Zygmunt.</t>
  </si>
  <si>
    <t>M. Tomek (Zajíček) – Demel (A), Zile, Jaks, Baránek, Zeman, Czuczman, Šalda – Koblasa, Kudrna, Sukeľ (C) – O. Kaše (A), D. Kaše, Hlava – Abdul, Kirk, Válek – Havelka, Jurčík, Zygmunt.</t>
  </si>
  <si>
    <t>Nicolas Hlava neproměnil TS</t>
  </si>
  <si>
    <t>2:0; 2:2, 3:2sn (2:0 sn)</t>
  </si>
  <si>
    <t>M. Tomek (Klika) – Zile, Demel (C), Baránek, Jaks, Czuczman, Zeman, Šalda – Kudrna (A), Gut, Koblasa – Hlava, D. Kaše, O. Kaše (A) – Válek, Kirk, Abdul – Zygmunt, Jurčík, Havelka.</t>
  </si>
  <si>
    <t>38. Petr KOBLASA (1) (Jindřich ABDUL (1), Andrej KUDRNA (1))</t>
  </si>
  <si>
    <t>6.  Jindřich ABDUL (1) (Marek BARÁNEK (1)) (PP)</t>
  </si>
  <si>
    <t>9. David KAŠE (1) (Nicolas HLAVA (1), Ondřej KAŠE (1))</t>
  </si>
  <si>
    <t>24.  Ondřej KAŠE (1) (Janis JAKS (1)) (PP)</t>
  </si>
  <si>
    <t>60. David KAŠE (2) (EN)</t>
  </si>
  <si>
    <t>15.  Jindřich ABDUL (2) (David KAŠE (1))</t>
  </si>
  <si>
    <t>35. Liam KIRK (1) (Nicolas HLAVA (2), Janis JAKS (2)) (PP)</t>
  </si>
  <si>
    <t>45. Jindřich ABDUL (3)</t>
  </si>
  <si>
    <t>5. Ondřej KAŠE (2) (David KAŠE (2), Nicolas HLAVA (3))</t>
  </si>
  <si>
    <t>9.  Liam KIRK (2) (Janis JAKS (3)) (PP)</t>
  </si>
  <si>
    <t>19.  Jindřich ABDUL (4) (Petr KOBLASA (1), Marek BARÁNEK (2)) (PP)</t>
  </si>
  <si>
    <t>40.  Petr KOBLASA (2) (David KAŠE (3), Janis JAKS (4)) (PP)</t>
  </si>
  <si>
    <t>10.  Michal GUT (1) (Kristaps ZILE (1), Petr KOBLASA (2))</t>
  </si>
  <si>
    <t>22.  Nicolas HLAVA (1) (David KAŠE (4), Liam KIRK (1)) (PP)</t>
  </si>
  <si>
    <t>Ondřej Kaše neproměnil TS během zápasu, TS během rozstřelu: 1 LIT Gól Petr KOBLASA (10)
2 MHK Neproměnil Aleš JERGL (26)
3 LIT Neproměnil Ondřej KAŠE (73)
4 MHK Neproměnil Oliver OKULIAR (8)
5 LIT Gól David KAŠE (25)
6 MHK Neproměnil Christophe LALANCETTE (21)
7 LIT Neproměnil Liam KIRK (94)
8 MHK Neproměnil David ŠŤASTNÝ (92)</t>
  </si>
  <si>
    <t>Tomek – Zile, Demel, Baránek, Jaks, Czuczman, Zeman, Šalda – Kudrna, Sukeľ, Koblasa – Hlava, D. Kaše, O. Kaše – Válek, Kirk, Abdul – Zygmunt, Jurčík, Havelka.</t>
  </si>
  <si>
    <t>Tomek – Zile, Demel, Baránek, Jaks, Czuczman, Zeman, Šalda – Kudrna, Sukeľ, Koblasa – Hlava, D. Kaše, O. Kaše – Válek, Kirk, Abdul – Jurčík, Gut, Havelka.</t>
  </si>
  <si>
    <t>1:0; 1:1; 4:1; 4:2; 6:2; 6:4</t>
  </si>
  <si>
    <t>2:0; 2:1; 3:1; 3:2; 4:2; 4:3</t>
  </si>
  <si>
    <t>4.  David KAŠE (3) (Kevin CZUCZMAN (1), Denis ZEMAN (1))</t>
  </si>
  <si>
    <t>11. Jindřich ABDUL (5) (Marek BARÁNEK (3)) (PP)</t>
  </si>
  <si>
    <t>48.  Andrej KUDRNA (1) (Matúš SUKEĽ (1), Petr KOBLASA (3))</t>
  </si>
  <si>
    <t>56.  Matúš SUKEĽ (1) (Patrik DEMEL (1)) (SH) (EN)</t>
  </si>
  <si>
    <t>60. Ondřej KAŠE (3) (Jindřich ABDUL (2)) (EN)</t>
  </si>
  <si>
    <t>1. Andrej KUDRNA (2) (Matúš SUKEĽ (2), Kristaps ZILE (2))</t>
  </si>
  <si>
    <t>18. Ondřej KAŠE (4) (David KAŠE (5))</t>
  </si>
  <si>
    <t>20. Lukáš VÁLEK (1) (Jindřich ABDUL (3), Patrik DEMEL (2))</t>
  </si>
  <si>
    <t>27.  Nicolas HLAVA (2) (Janis JAKS (5), Petr KOBLASA (4))</t>
  </si>
  <si>
    <t>35. Petr KOBLASA (3) (Marek BARÁNEK (4)) (PP)</t>
  </si>
  <si>
    <t>42. Matúš SUKEĽ (2)</t>
  </si>
  <si>
    <t>Zajíček (M. Tomek) – Zile, Demel (A), Baránek, Jaks, Czuczman, Zeman, Šalda – Kudrna, Sukeľ (C), Koblasa – Hlava, D. Kaše, O. Kaše (A) – Válek, Kirk, Abdul – Jurčík, Gut, Havelka.</t>
  </si>
  <si>
    <t>M. Tomek – Demel (A), Zile, Jaks, Baránek, Zeman, Czuczman, Šalda – Koblasa, Sukeľ (C), Kudrna – O. Kaše (A), D. Kaše, Hlava – Abdul, Kirk, Válek – Havelka, Gut, Jurčík.</t>
  </si>
  <si>
    <t>3. Ondřej JURČÍK (1) (Martin HAVELKA (1), Patrik DEMEL (3))</t>
  </si>
  <si>
    <t>9. Janis JAKS (1) (David KAŠE (6)) (PP)</t>
  </si>
  <si>
    <t>24. Petr KOBLASA (4) (Nicolas HLAVA (4))</t>
  </si>
  <si>
    <t>28. Marek BARÁNEK (1) (David KAŠE (7), Ondřej KAŠE (2))</t>
  </si>
  <si>
    <t>6. Lukáš VÁLEK (2) (Jindřich ABDUL (4), Liam KIRK (2))</t>
  </si>
  <si>
    <t>17. Lukáš VÁLEK (3) (Jindřich ABDUL (5), Liam KIRK (3))</t>
  </si>
  <si>
    <t>27. Nicolas HLAVA (3) (Ondřej KAŠE (3), David KAŠE (8))</t>
  </si>
  <si>
    <t>34. Ondřej KAŠE (5) (Liam KIRK (4)) (PP)</t>
  </si>
  <si>
    <t>Tomek – Zile, Demel, Šalda, Jaks, Czuczman, Zeman, Strejček – Kudrna, Sukeľ, Koblasa – Hlava, D. Kaše, O. Kaše – Válek, Kirk, Abdul – Jurčík, Gut, Havelka.</t>
  </si>
  <si>
    <t>1:0; 1:3; 2:3; 2:4; 4:4; 5:4pp</t>
  </si>
  <si>
    <t>Do 13. kola (do 22. 10. 2023)</t>
  </si>
  <si>
    <t>20. Andrej KUDRNA (3) (Matúš SUKEĽ (3))</t>
  </si>
  <si>
    <t>37. Janis JAKS (2) (Ondřej KAŠE (4)) (PP)</t>
  </si>
  <si>
    <t>52. Nicolas HLAVA (4) (Kevin CZUCZMAN (2), Ondřej KAŠE (5))</t>
  </si>
  <si>
    <t>60. Petr KOBLASA (5) (Andrej KUDRNA (2), Matúš SUKEĽ (4)) (EN)</t>
  </si>
  <si>
    <t>6. David KAŠE (4) (Nicolas HLAVA (5), Ondřej KAŠE (6)) (PP)</t>
  </si>
  <si>
    <t>36. Petr KOBLASA (6) (David KAŠE (9), Ondřej KAŠE (7)) (PP)</t>
  </si>
  <si>
    <t>54. Matúš SUKEĽ (3) (Kevin CZUCZMAN (3), Denis ZEMAN (2))</t>
  </si>
  <si>
    <t>58. Kristaps ZILE (1) (David KAŠE (10))</t>
  </si>
  <si>
    <t>64. Ondřej KAŠE (6) (David KAŠE (11))</t>
  </si>
  <si>
    <t>0:1; 2:1; 2:2; 6:2; 6:3</t>
  </si>
  <si>
    <t>Zajíček – Zile, Demel, Baránek, Jaks, Czuczman, Zeman, Šalda – Kudrna, Sukeľ, Koblasa – Hlava, D. Kaše, O. Kaše – Válek, Kirk, Abdul – Jurčík, Gut, Havelka.</t>
  </si>
  <si>
    <t>Zajíček – Zile, Demel, Baránek, Jaks, Czuczman, Zeman, Šalda – Kudrna, Gut, Koblasa – Hlava, D. Kaše, O. Kaše – Maštalířský, Kirk, Abdul – Válek, Jurčík, Havelka.</t>
  </si>
  <si>
    <t>5. Ondřej KAŠE (7)</t>
  </si>
  <si>
    <t>14. Petr KOBLASA (7) (Jindřich ABDUL (6), Marek BARÁNEK (5)) (PP)</t>
  </si>
  <si>
    <t>31. Matúš SUKEĽ (4) (Andrej KUDRNA (3))</t>
  </si>
  <si>
    <t>32. David KAŠE (5) (Ondřej KAŠE (8), Nicolas HLAVA (6))</t>
  </si>
  <si>
    <t>33. David KAŠE (6) (Marek BARÁNEK (6))</t>
  </si>
  <si>
    <t>36. Liam KIRK (3) Lukáš VÁLEK (1)</t>
  </si>
  <si>
    <t>30. Ondřej JURČÍK (2) (Kristaps ZILE (3), Lukáš VÁLEK (2))</t>
  </si>
  <si>
    <t>David Kaše</t>
  </si>
  <si>
    <t>Ondřej Kaše</t>
  </si>
  <si>
    <t>Petr Koblasa</t>
  </si>
  <si>
    <t>Liam Kirk</t>
  </si>
  <si>
    <t>27.27</t>
  </si>
  <si>
    <t>Kevin Czuczman</t>
  </si>
  <si>
    <t>22.22</t>
  </si>
  <si>
    <t>Matěj Maštalířský</t>
  </si>
  <si>
    <t>Tomek – Zile, Demel, Baránek, Jaks, Czuczman, Zeman, Šalda – Kudrna, Gut, Koblasa – Hlava, D. Kaše, O. Kaše – Maštalířský, Kirk, Abdul – Válek, Jurčík, Havelka.</t>
  </si>
  <si>
    <t>M. Tomek (Zajíček) – Zile, Demel (A), Baránek, Jaks, Czuczman, Zeman, Šalda – Kudrna, Gut, Koblasa – Hlava, D. Kaše (A), O. Kaše (C) – Maštalířský, Kirk, Abdul – Válek, Jurčík, Havelka.</t>
  </si>
  <si>
    <t>0:2; 1:2; 1:4; 2:4; 2:5</t>
  </si>
  <si>
    <t xml:space="preserve">Tomek (Zajíček) – Demel (A), Zile, Jaks, Baránek, Zeman, Czuczman, Šalda – Kudrna, Gut, Koblasa – Hlava, D. Kaše (A), O. Kaše (C) – Maštalířský, Kirk, Abdul – Válek, Jurčík, Havelka.
</t>
  </si>
  <si>
    <t>0:1; 4:1; 4:3; 6:3</t>
  </si>
  <si>
    <t xml:space="preserve">Zajíček – Zile, Demel, Baránek, Jaks, Czuczman, Zeman, Šalda – Kudrna, Gut, Koblasa – Hlava, D. Kaše, O. Kaše – Maštalířský, Kirk, Abdul – Válek, Jurčík, Havelka.
</t>
  </si>
  <si>
    <t>0:1; 1:1; 1:4; 2:4; 2:5</t>
  </si>
  <si>
    <t>Tomek – Zile, Demel, Baránek, Jaks, Czuczman, Zeman, Šalda – Koblasa, Gut, Kudrna – Hlava, D. Kaše, O. Kaše – Maštalířský, Kirk, Abdul – Válek, Jurčík, Havelka.</t>
  </si>
  <si>
    <t>4.  Petr KOBLASA (8) (Janis JAKS (6))</t>
  </si>
  <si>
    <t>12. Liam KIRK (4) (Matěj MAŠTALÍŘSKÝ (1), Jindřich ABDUL (7))</t>
  </si>
  <si>
    <t>20.  Michal GUT (2) (Petr KOBLASA (5), Marek BARÁNEK (7))</t>
  </si>
  <si>
    <t>58. Liam KIRK (5) (Petr KOBLASA (6), Ondřej JURČÍK (1)) (EN)</t>
  </si>
  <si>
    <t>30. Ondřej KAŠE (8) (David KAŠE (12))</t>
  </si>
  <si>
    <t>59. Liam KIRK (6) (Matěj MAŠTALÍŘSKÝ (2), Jindřich ABDUL (8))</t>
  </si>
  <si>
    <t>12. David KAŠE (7) (Nicolas HLAVA (7), Marek BARÁNEK (8))</t>
  </si>
  <si>
    <t>14.  Janis JAKS (3) (David KAŠE (13)) (PP)</t>
  </si>
  <si>
    <t>33. Matěj MAŠTALÍŘSKÝ (1) (Liam KIRK (5))</t>
  </si>
  <si>
    <t>40.  Jindřich ABDUL (6) (Michal GUT (1))</t>
  </si>
  <si>
    <t>52.  Nicolas HLAVA (5) (Ondřej KAŠE (9))</t>
  </si>
  <si>
    <t>60. Nicolas HLAVA (6) (Ondřej KAŠE (10)) (EN)</t>
  </si>
  <si>
    <t>28. David KAŠE (8) (Janis JAKS (7), Ondřej KAŠE (11)) (PP)</t>
  </si>
  <si>
    <t>51. Michal GUT (3) (Martin HAVELKA (2), Kevin CZUCZMAN (4))</t>
  </si>
  <si>
    <t>14-15</t>
  </si>
  <si>
    <t>1.</t>
  </si>
  <si>
    <t>pá 12.9.2014</t>
  </si>
  <si>
    <t>ZS I. Hlinky</t>
  </si>
  <si>
    <t> Energie KV</t>
  </si>
  <si>
    <t> 5:0</t>
  </si>
  <si>
    <t>út 16.9.2014</t>
  </si>
  <si>
    <t> Třinec</t>
  </si>
  <si>
    <t> 3:2sn</t>
  </si>
  <si>
    <t>ne 21.9.2014</t>
  </si>
  <si>
    <t> Kometa</t>
  </si>
  <si>
    <t> 6:1</t>
  </si>
  <si>
    <t>7. (ČT 19:40)</t>
  </si>
  <si>
    <t>ne 28.9.2014</t>
  </si>
  <si>
    <t> Zlín</t>
  </si>
  <si>
    <t> 5:1</t>
  </si>
  <si>
    <t>ne 5.10.2014</t>
  </si>
  <si>
    <t> Olomouc</t>
  </si>
  <si>
    <t> 3:1</t>
  </si>
  <si>
    <t>ne 12.10.2014</t>
  </si>
  <si>
    <t> Liberec</t>
  </si>
  <si>
    <t> 1:4</t>
  </si>
  <si>
    <t>pá 17.10.2014</t>
  </si>
  <si>
    <t> Pardubice</t>
  </si>
  <si>
    <t> 2:4</t>
  </si>
  <si>
    <t>15.</t>
  </si>
  <si>
    <t>pá 24.10.2014</t>
  </si>
  <si>
    <t> Plzeň</t>
  </si>
  <si>
    <t> 1:0</t>
  </si>
  <si>
    <t>17.</t>
  </si>
  <si>
    <t>pá 31.10.2014</t>
  </si>
  <si>
    <t> Ml.Boleslav</t>
  </si>
  <si>
    <t>19.</t>
  </si>
  <si>
    <t>st 12.11.2014</t>
  </si>
  <si>
    <t> 4:1</t>
  </si>
  <si>
    <t>21.</t>
  </si>
  <si>
    <t>ne 16.11.2014</t>
  </si>
  <si>
    <t> Slavia</t>
  </si>
  <si>
    <t> 0:1</t>
  </si>
  <si>
    <t>23.</t>
  </si>
  <si>
    <t>ne 23.11.2014</t>
  </si>
  <si>
    <t> Vítkovice</t>
  </si>
  <si>
    <t> 3:2</t>
  </si>
  <si>
    <t>25. (ČT)</t>
  </si>
  <si>
    <t>pá 28.11.2014</t>
  </si>
  <si>
    <t> Sparta</t>
  </si>
  <si>
    <t> 6:3</t>
  </si>
  <si>
    <t>27.</t>
  </si>
  <si>
    <t>pá 5.12.2014</t>
  </si>
  <si>
    <t> 4:2</t>
  </si>
  <si>
    <t>29.</t>
  </si>
  <si>
    <t>pá 12.12.2014</t>
  </si>
  <si>
    <t> 3:5</t>
  </si>
  <si>
    <t>31.</t>
  </si>
  <si>
    <t>pá 26.12.2014</t>
  </si>
  <si>
    <t> 1:3</t>
  </si>
  <si>
    <t>33.</t>
  </si>
  <si>
    <t>út 30.12.2014</t>
  </si>
  <si>
    <t> 4:3sn</t>
  </si>
  <si>
    <t>35.</t>
  </si>
  <si>
    <t>út 6.1.2015</t>
  </si>
  <si>
    <t>37. (ČT)</t>
  </si>
  <si>
    <t>ne 11.1.2015</t>
  </si>
  <si>
    <t> 3:2pr.</t>
  </si>
  <si>
    <t>39.</t>
  </si>
  <si>
    <t>ne 18.1.2015</t>
  </si>
  <si>
    <t> 6:2</t>
  </si>
  <si>
    <t>41.</t>
  </si>
  <si>
    <t>ne 25.1.2015</t>
  </si>
  <si>
    <t>43.</t>
  </si>
  <si>
    <t>pá 30.1.2015</t>
  </si>
  <si>
    <t>45.</t>
  </si>
  <si>
    <t>st 11.2.2015</t>
  </si>
  <si>
    <t> 5:2</t>
  </si>
  <si>
    <t>47.</t>
  </si>
  <si>
    <t>ne 15.2.2015</t>
  </si>
  <si>
    <t>49. (ČT 19:10)</t>
  </si>
  <si>
    <t>ne 22.2.2015</t>
  </si>
  <si>
    <t>51.</t>
  </si>
  <si>
    <t>pá 27.2.2015</t>
  </si>
  <si>
    <t> 5:3</t>
  </si>
  <si>
    <t>1. ČTF (ČT 18:55)</t>
  </si>
  <si>
    <t>pá 13.3.2015</t>
  </si>
  <si>
    <t> 4:0</t>
  </si>
  <si>
    <t>2. ČTF</t>
  </si>
  <si>
    <t>so 14.3.2015</t>
  </si>
  <si>
    <t>5. ČTF (ČT)</t>
  </si>
  <si>
    <t>pá 20.3.2015</t>
  </si>
  <si>
    <t> 2:1pr.</t>
  </si>
  <si>
    <t>1. SMF (ČT)</t>
  </si>
  <si>
    <t>čt 26.3.2015</t>
  </si>
  <si>
    <t>2. SMF (ČT)</t>
  </si>
  <si>
    <t>pá 27.3.2015</t>
  </si>
  <si>
    <t> 2:1</t>
  </si>
  <si>
    <t>5. SMF (ČT)</t>
  </si>
  <si>
    <t>pá 3.4.2015</t>
  </si>
  <si>
    <t>3. FIN (ČT)</t>
  </si>
  <si>
    <t>st 15.4.2015</t>
  </si>
  <si>
    <t>4. FIN (ČT)</t>
  </si>
  <si>
    <t>čt 16.4.2015</t>
  </si>
  <si>
    <t> 3:0</t>
  </si>
  <si>
    <t>6. FIN (ČT)</t>
  </si>
  <si>
    <t>út 21.4.2015</t>
  </si>
  <si>
    <t> 3:6</t>
  </si>
  <si>
    <t>Zápasy doma</t>
  </si>
  <si>
    <t>vstřelený gól do prázdné</t>
  </si>
  <si>
    <t>inkasovaný gól do naší prázdné</t>
  </si>
  <si>
    <t>Čisté skóre</t>
  </si>
  <si>
    <t>ne 14.9.2014</t>
  </si>
  <si>
    <t> 2:3sn</t>
  </si>
  <si>
    <t>pá 19.9.2014</t>
  </si>
  <si>
    <t> 3:4</t>
  </si>
  <si>
    <t>pá 26.9.2014</t>
  </si>
  <si>
    <t> 1:2</t>
  </si>
  <si>
    <t>út 14.10.2014</t>
  </si>
  <si>
    <t>Praha</t>
  </si>
  <si>
    <t>14. (ČT)</t>
  </si>
  <si>
    <t>ne 19.10.2014</t>
  </si>
  <si>
    <t>út 21.10.2014</t>
  </si>
  <si>
    <t>Ostrava-Vítkovice</t>
  </si>
  <si>
    <t> 2:3</t>
  </si>
  <si>
    <t>16. (ČT)</t>
  </si>
  <si>
    <t>ne 26.10.2014</t>
  </si>
  <si>
    <t>út 28.10.2014</t>
  </si>
  <si>
    <t>18. (ČT)</t>
  </si>
  <si>
    <t>ne 2.11.2014</t>
  </si>
  <si>
    <t> 5:6sn</t>
  </si>
  <si>
    <t>20.</t>
  </si>
  <si>
    <t>pá 14.11.2014</t>
  </si>
  <si>
    <t> 6:5pr.</t>
  </si>
  <si>
    <t>22. (ČT)</t>
  </si>
  <si>
    <t>pá 21.11.2014</t>
  </si>
  <si>
    <t> 4:5</t>
  </si>
  <si>
    <t>24.</t>
  </si>
  <si>
    <t>út 25.11.2014</t>
  </si>
  <si>
    <t>26.</t>
  </si>
  <si>
    <t>ne 30.11.2014</t>
  </si>
  <si>
    <t> 6:4</t>
  </si>
  <si>
    <t>28.</t>
  </si>
  <si>
    <t>ne 7.12.2014</t>
  </si>
  <si>
    <t>30. (ČT)</t>
  </si>
  <si>
    <t>ne 14.12.2014</t>
  </si>
  <si>
    <t>32.</t>
  </si>
  <si>
    <t>ne 28.12.2014</t>
  </si>
  <si>
    <t>34.</t>
  </si>
  <si>
    <t>ne 4.1.2015</t>
  </si>
  <si>
    <t>36.</t>
  </si>
  <si>
    <t>pá 9.1.2015</t>
  </si>
  <si>
    <t> 0:5</t>
  </si>
  <si>
    <t>38.</t>
  </si>
  <si>
    <t>pá 16.1.2015</t>
  </si>
  <si>
    <t> 7:1</t>
  </si>
  <si>
    <t>40.</t>
  </si>
  <si>
    <t>pá 23.1.2015</t>
  </si>
  <si>
    <t> 0:2</t>
  </si>
  <si>
    <t>42.</t>
  </si>
  <si>
    <t>út 27.1.2015</t>
  </si>
  <si>
    <t>44. (ČT)</t>
  </si>
  <si>
    <t>ne 1.2.2015</t>
  </si>
  <si>
    <t>46.</t>
  </si>
  <si>
    <t>pá 13.2.2015</t>
  </si>
  <si>
    <t>48.</t>
  </si>
  <si>
    <t>pá 20.2.2015</t>
  </si>
  <si>
    <t>50.</t>
  </si>
  <si>
    <t>st 25.2.2015</t>
  </si>
  <si>
    <t>52.</t>
  </si>
  <si>
    <t>ne 1.3.2015</t>
  </si>
  <si>
    <t>3. ČTF (ČT)</t>
  </si>
  <si>
    <t>út 17.3.2015</t>
  </si>
  <si>
    <t>Pardubice, Tipsport arena</t>
  </si>
  <si>
    <t>4. ČTF (ČT 19:55)</t>
  </si>
  <si>
    <t>st 18.3.2015</t>
  </si>
  <si>
    <t>3. SMF (ČT)</t>
  </si>
  <si>
    <t>po 30.3.2015</t>
  </si>
  <si>
    <t>DRFG Arena</t>
  </si>
  <si>
    <t> 0:3</t>
  </si>
  <si>
    <t>4. SMF (ČT)</t>
  </si>
  <si>
    <t>út 31.3.2015</t>
  </si>
  <si>
    <t>1. FIN (ČT)</t>
  </si>
  <si>
    <t>so 11.4.2015</t>
  </si>
  <si>
    <t>WERK ARENA</t>
  </si>
  <si>
    <t>2. FIN (ČT)</t>
  </si>
  <si>
    <t>ne 12.4.2015</t>
  </si>
  <si>
    <t>5. FIN (ČT)</t>
  </si>
  <si>
    <t>ne 19.4.2015</t>
  </si>
  <si>
    <t> 2:1sn</t>
  </si>
  <si>
    <t>7. FIN (ČT)</t>
  </si>
  <si>
    <t>čt 23.4.2015</t>
  </si>
  <si>
    <t>Zápasy venku</t>
  </si>
  <si>
    <t> 2:0</t>
  </si>
  <si>
    <t>Četnost</t>
  </si>
  <si>
    <t>zápasů celkem</t>
  </si>
  <si>
    <t>3 a více vstřelených</t>
  </si>
  <si>
    <t>3 a více inkasovaných</t>
  </si>
  <si>
    <t>16-17</t>
  </si>
  <si>
    <t>sezóna 2023/2024</t>
  </si>
  <si>
    <t>(. místo)</t>
  </si>
  <si>
    <t>zákl. č.  (.)</t>
  </si>
  <si>
    <t>Zajíček (55. Tomek) – Zile, Zeman, Baránek, Jaks, Czuczman, Šalda, Strejček – Hlava, D. Kaše, O. Kaše – Koblasa, Kirk, Abdul – Válek, Jurčík, Kudrna – Zygmunt, Gut, Maštalířský.</t>
  </si>
  <si>
    <t>Tomek – Zile, Strejček, Šalda, Jaks, Czuczman, Zeman – Koblasa, Kirk, Abdul – Hlava, D. Kaše, O. Kaše – Maštalířský, Válek, Kudrna – Zygmunt, Jurčík, Havelka – Gut.</t>
  </si>
  <si>
    <t>Zajíček – Zile, Zeman, Baránek, Demel, Czuczman, Šalda, Kočí – Hlava, D. Kaše, O. Kaše – Koblasa, Kirk, Abdul – Maštalířský, Jurčík, Kudrna – Zygmunt, Gut, Havelka.</t>
  </si>
  <si>
    <t>Zajíček (M. Tomek) – Zeman, Zile, Demel (A), Baránek, Šalda, Czuczman, Baláž – O. Kaše (C), D. Kaše (A), Hlava – Abdul, Kirk, Koblasa – Zygmunt, Jurčík, Kudrna – Havelka, Gut, Maštalířský.</t>
  </si>
  <si>
    <t>12.  Ondřej KAŠE (9) (David KAŠE (14))</t>
  </si>
  <si>
    <t>22.  Petr KOBLASA (9) (Jindřich ABDUL (9))</t>
  </si>
  <si>
    <t>63. Nicolas HLAVA (7) (Ondřej KAŠE (12), David KAŠE (15)) (PP)</t>
  </si>
  <si>
    <t>0:3; 6:3; 6:4</t>
  </si>
  <si>
    <t>Zajíček – Zile, Zeman, Baránek, Demel, Czuczman, Šalda, Baláž – Hlava, D. Kaše, O. Kaše – Koblasa, Kirk, Abdul – Kudrna, Gut, Zygmunt – Maštalířský, Jícha, Havelka.</t>
  </si>
  <si>
    <t>Zajíček chytil 1 trestné střílení</t>
  </si>
  <si>
    <t>Tomek – Zile, Zeman, Baránek, Šalda, Czuczman, Demel, Baláž – Hlava, D. Kaše, O. Kaše – Koblasa, Kirk, Abdul – Kudrna, Zygmunt, Maštalířský – Válek, Gut, Havelka.</t>
  </si>
  <si>
    <t>Tomek – Baránek, Demel, Czuczman, Zeman, Zile, Baláž, Šalda – Koblasa, Zygmunt, Kudrna – Hlava, D. Kaše, O. Kaše – Maštalířský, Kirk, Abdul – Válek, Gut, Havelka.</t>
  </si>
  <si>
    <t>0:2; 1:2; 1:3; 2:3; 2:6</t>
  </si>
  <si>
    <t>Zajíček (37. Tomek) – Baránek, Demel (A), Czuczman, Zeman, Zile, Baláž, Šalda – Kudrna (C), Jícha, Koblasa – Maštalířský, Kirk, Abdul – Urban, Slavík, Hlava (A) – Válek, Zygmunt, Havelka</t>
  </si>
  <si>
    <t>Zajíček (Tomek) – Demel (A), Baránek, Baláž, Zile, Šalda, Czuczman, Kočí – Koblasa, D. Kaše (C), Hlava – Abdul, Kirk, Maštalířský – Urban, Gut, Kudrna (A) – Havelka, Jícha, Zygmunt.</t>
  </si>
  <si>
    <t>Do 26. kola (do 10. 12. 2022)</t>
  </si>
  <si>
    <t>Od 14. do 26. kola (od 23. 10. 2023 do 10. 12. 2022)</t>
  </si>
  <si>
    <t>Tomáš Urban</t>
  </si>
  <si>
    <t>Fabien Kočí</t>
  </si>
  <si>
    <t>25. Liam KIRK (7) (Nicolas HLAVA (8)) (PP)</t>
  </si>
  <si>
    <t>29. Andrej KUDRNA (4) (Ondřej JURČÍK (2))</t>
  </si>
  <si>
    <t>31. Petr KOBLASA (10) (Jindřich ABDUL (10))</t>
  </si>
  <si>
    <t>36.  Liam KIRK (8) (Kristaps ZILE (4), Ondřej KAŠE (13)) (PP)</t>
  </si>
  <si>
    <t>47. Pawel ZYGMUNT (1) (Ondřej JURČÍK (3), Andrej KUDRNA (4))</t>
  </si>
  <si>
    <t>50. Jindřich ABDUL (7)</t>
  </si>
  <si>
    <t>26. Marek BARÁNEK (2) (Petr KOBLASA (7), Jindřich ABDUL (11)) (PP)</t>
  </si>
  <si>
    <t>23. Jindřich ABDUL (8) (Ondřej BALÁŽ (1))</t>
  </si>
  <si>
    <t>43. Patrik DEMEL (1) (Marek BARÁNEK (9), Liam KIRK (6))</t>
  </si>
  <si>
    <t>2. Liam KIRK (9) (Matěj MAŠTALÍŘSKÝ (3), Jindřich ABDUL (12))</t>
  </si>
  <si>
    <t>28.  Tomáš URBAN (1)</t>
  </si>
  <si>
    <t>32. Radim ŠALDA (1) (Nicolas HLAVA (9), Tomáš URBAN (1))</t>
  </si>
  <si>
    <t>41. Matěj MAŠTALÍŘSKÝ (2) (Petr KOBLASA (8), Jindřich ABDUL (13)) (PP)</t>
  </si>
  <si>
    <t>1:0; 1:2; 2:2; 2:3; 3:3; 3:4; 4:4; 4:5pp</t>
  </si>
  <si>
    <t>0:1; 1:1; 1:2; 2:2; 2:4</t>
  </si>
  <si>
    <t>1 LIT Neproměnil Petr KOBLASA (10)
2 PLZ Neproměnil Jakub LEV (30)
3 LIT Neproměnil Ondřej KAŠE (73)
4 PLZ Neproměnil Tim SÖDERLUND (12)
5 LIT Neproměnil David KAŠE (25)
6 PLZ Neproměnil Ondřej MATÝS (81)
7 LIT Neproměnil Nicolas HLAVA (77)
8 PLZ Gól Aleksi REKONEN (18)
9 LIT Gól Jindřich ABDUL (24)
10 PLZ Neproměnil Jan SCHLEISS (84)
11 PLZ Gól Ondřej MATÝS (81)
12 LIT Neproměnil Jindřich ABDUL (24)</t>
  </si>
  <si>
    <t>28. Ondřej Kaše (10)</t>
  </si>
  <si>
    <t>M. Tomek - M. Baránek, D. Zeman - K. Zile, J. Jaks - K. Czuczman, P. Demel - R. Šalda - A. Kudrna, M. Gut, P. Koblasa - N. Hlava, D. Kaše, O. Kaše - L. Válek, L. Kirk, J. Abdul - T. Urban, O. Jurčík, M. Havelka
Zdroj: https://www.idnes.cz/hokej/extraliga/30-kolo-online-zpravodajstvi.A231226_104214_hokej_ivt</t>
  </si>
  <si>
    <t>M. Tomek - M. Baránek, D. Zeman - K. Czuczman, P. Demel - K. Zile, O. Baláž - R. Šalda - N. Hlava, D. Kaše, O. Kaše - A. Kudrna, T. Urban, P. Koblasa - L. Válek, L. Kirk, J. Abdul - P. Zygmunt, M. Gut, M. Havelka
Zdroj: https://www.idnes.cz/hokej/extraliga/28-kolo-extraliga-souhrn-online-zpravodajstvi.A231219_112720_hokej_huda</t>
  </si>
  <si>
    <t>0:1; 3:1; 3:2; 6:2; 6:3</t>
  </si>
  <si>
    <t>3:0; 3:1; 5:1</t>
  </si>
  <si>
    <t>M. Tomek - D. Zeman, M. Baránek - J. Jaks, K. Zile - P. Demel, K. Czuczman - R. Šalda - P. Koblasa, J. Jícha, A. Kudrna - O. Kaše, D. Kaše, N. Hlava - J. Abdul, L. Kirk, L. Válek - M. Havelka, O. Jurčík, T. Urban
Zdroj: https://www.idnes.cz/hokej/extraliga/31-kolo-souhrn-online-zpravodajstvi.A231227_150316_hokej_huda</t>
  </si>
  <si>
    <t>výjezd sami vlakem s přespáním</t>
  </si>
  <si>
    <t>4:0; 4:1; 6:1</t>
  </si>
  <si>
    <t>Zajíček – Baránek, Zeman, Zile, Jaks, Czuczman, Demel, Šalda – Kudrna, Slavík, Koblasa – Hlava, D. Kaše, O. Kaše – Urban, Kirk, Abdul – Zygmunt, Jurčík, Havelka</t>
  </si>
  <si>
    <t>Tomek (50. Klika) – Baránek, Zeman, Zile, Jaks, Czuczman, Demel, Šalda – Kudrna, Urban, Koblasa – Hlava, D. Kaše, O. Kaše – Šik, Kirk, Abdul – Zygmunt, Jurčík, Havelka.</t>
  </si>
  <si>
    <t>Tomek – Baránek, Zeman, Zile, Jaks, Czuczman, Demel, Šalda – Kudrna, Jícha, Koblasa – Hlava, D. Kaše, O. Kaše – Urban, Kirk, Abdul – Zygmunt, Jurčík, Havelka.</t>
  </si>
  <si>
    <t>60. Ondřej KAŠE (11) (Liam KIRK (7), Marek BARÁNEK (10)) (PP)</t>
  </si>
  <si>
    <t>2. Jindřich ABDUL (9) (Liam KIRK (8), Lukáš VÁLEK (3))</t>
  </si>
  <si>
    <t>12. Ondřej KAŠE (12)</t>
  </si>
  <si>
    <t>13. Ondřej KAŠE (13) (Janis JAKS (8), David KAŠE (16)) (PP)</t>
  </si>
  <si>
    <t>18. David KAŠE (9) (Petr KOBLASA (9), Ondřej KAŠE (14)) (PP)</t>
  </si>
  <si>
    <t>31. Ondřej JURČÍK (3) (Andrej KUDRNA (5)) (SH)</t>
  </si>
  <si>
    <t>55. Nicolas HLAVA (8) (Ondřej KAŠE (15))</t>
  </si>
  <si>
    <t>6. Lukáš VÁLEK (4)</t>
  </si>
  <si>
    <t>16. Liam KIRK (10) (Jindřich ABDUL (14), Lukáš VÁLEK (4))</t>
  </si>
  <si>
    <t>18. Petr KOBLASA (12) (Andrej KUDRNA (6), Patrik DEMEL (4))</t>
  </si>
  <si>
    <t>47. Liam KIRK (11) (Jindřich ABDUL (15), Lukáš VÁLEK (5))</t>
  </si>
  <si>
    <t>13. Lukáš VÁLEK (5) (Janis JAKS (10), Jindřich ABDUL (16))</t>
  </si>
  <si>
    <t>23. Lukáš VÁLEK (6) (Jindřich ABDUL (17), Patrik DEMEL (5))</t>
  </si>
  <si>
    <t>31. Nicolas HLAVA (9) (Radim ŠALDA (1), Ondřej KAŠE (16))</t>
  </si>
  <si>
    <t>41.  Petr KOBLASA (13) (Andrej KUDRNA (7), Josef JÍCHA (2))</t>
  </si>
  <si>
    <t>59. Lukáš VÁLEK (7) (Andrej KUDRNA (8), Marek BARÁNEK (11)) (PP)</t>
  </si>
  <si>
    <t>0:1; 1:1; 1:2; 5:2</t>
  </si>
  <si>
    <t>52. Ondřej KAŠE (14) David KAŠE (17), Janis JAKS (9) (PP)</t>
  </si>
  <si>
    <t>22. Ondřej KAŠE (15)</t>
  </si>
  <si>
    <t>0:1; 3:1; 3:3; 4:3pp</t>
  </si>
  <si>
    <t>1:0; 1:2; 3:2; 3:6</t>
  </si>
  <si>
    <t>Předkolo 22/23</t>
  </si>
  <si>
    <t>Předkolo 20/21</t>
  </si>
  <si>
    <t>Od 27. kola do 39. kola (od 7. 12. 2022 do 23. 1. 2024)</t>
  </si>
  <si>
    <t>Do 39. kola (do 23. 1. 2023)</t>
  </si>
  <si>
    <t>Od 40. kola do 52. kola (od 24. 1. 2024 do konce zákl. č.)</t>
  </si>
  <si>
    <t>Statistiky zápasů po jednotlivých částech ligy - sezóna 2023/2024</t>
  </si>
  <si>
    <t>0:4; 1:4; 1:5</t>
  </si>
  <si>
    <t>Tomek – Baránek, Zeman, Zile, Jaks, Czuczman, Demel, Šalda – Kudrna, Jícha, Koblasa – Abdul, Kirk, Kaše – Maštalířský, Urban, Hlava – Zygmunt, Jurčík, Havelka.</t>
  </si>
  <si>
    <t>Zajíček – Baránek, Zeman, Šalda, Jaks, Czuczman, Demel, Baláž – Kudrna, Urban, Koblasa – Hlava, D. Kaše, O. Kaše – Maštalířský, Kirk, Abdul – Zygmunt, Jurčík, Havelka.</t>
  </si>
  <si>
    <t>Tomek – Baránek, Zeman, Šalda, Jaks, Czuczman, Demel – Kudrna, Urban, Koblasa – Hlava, D. Kaše, O. Kaše – Maštalířský, Kirk, Abdul – Zygmunt, Jurčík, Havelka.</t>
  </si>
  <si>
    <t>Zajíček – Baránek, Zeman, Zile, Jaks, Czuczman, Demel, Šalda – Kudrna, Jurčík, Koblasa – Hlava, D. Kaše, O. Kaše – Maštalířský, Kirk, Abdul – Zygmunt, Urban, Havelka.</t>
  </si>
  <si>
    <t>Zajíček – Baránek, Zeman, Zile, Jaks, Czuczman, Demel, Šalda – Kudrna, Jícha, Koblasa – Hlava, D. Kaše, O. Kaše – Urban, Kirk, Abdul – Zygmunt, Jurčík, Havelka.</t>
  </si>
  <si>
    <t>25.93</t>
  </si>
  <si>
    <t>Otakar Šik</t>
  </si>
  <si>
    <t>Tomek – Baránek, Zeman, Zile, Jaks, Czuczman, Demel, Šalda – Zygmunt, Jurčík, Havelka – Hlava, D. Kaše, O. Kaše – Urban, Kirk, Abdul – Kudrna, Gut, Koblasa.</t>
  </si>
  <si>
    <t>8. Petr KOBLASA (14) (Janis JAKS (11), Tomáš URBAN (2))</t>
  </si>
  <si>
    <t>22. Liam KIRK (12) (Tomáš URBAN (3), Jindřich ABDUL (18))</t>
  </si>
  <si>
    <t>38. David KAŠE (10) (Ondřej KAŠE (17), Nicolas HLAVA (10))</t>
  </si>
  <si>
    <t>40. Ondřej KAŠE (16) (David KAŠE (18), Nicolas HLAVA (11))</t>
  </si>
  <si>
    <t>46. Jindřich ABDUL (10) (Tomáš URBAN (4))</t>
  </si>
  <si>
    <t>60. Nicolas HLAVA (10) (Petr KOBLASA (10), Kristaps ZILE (5)) (EN)</t>
  </si>
  <si>
    <t>20. Liam KIRK (13) (Nicolas HLAVA (12)</t>
  </si>
  <si>
    <t>3. Petr KOBLASA (15) (Josef JÍCHA (3))</t>
  </si>
  <si>
    <t>4. Jindřich ABDUL (11) (Liam KIRK (9), Ondřej KAŠE (18))</t>
  </si>
  <si>
    <t>5. Kristaps ZILE (2) (Petr KOBLASA (11), Andrej KUDRNA (9))</t>
  </si>
  <si>
    <t>63. Nicolas HLAVA (11) (Ondřej KAŠE (19), Janis JAKS (12)) (PP)</t>
  </si>
  <si>
    <t>25. Andrej KUDRNA (5) (Ondřej KAŠE (20), Petr KOBLASA (12))</t>
  </si>
  <si>
    <t>36. Ondřej KAŠE (17) (David KAŠE (19)) (PP)</t>
  </si>
  <si>
    <t>37. Radim ŠALDA (2)</t>
  </si>
  <si>
    <t>22. David KAŠE (11) (Janis JAKS (13), Nicolas HLAVA (13))</t>
  </si>
  <si>
    <t>5. Jindřich ABDUL (12) (Tomáš URBAN (5), David KAŠE (20))</t>
  </si>
  <si>
    <t>20. Nicolas HLAVA (12) (David KAŠE (21), Janis JAKS (14)) (PP)</t>
  </si>
  <si>
    <t>37. Petr KOBLASA (16) (Jindřich ABDUL (19))</t>
  </si>
  <si>
    <t>50. Nicolas HLAVA (13) (David KAŠE (22), Ondřej KAŠE (21))</t>
  </si>
  <si>
    <t>M. Tomek inkasoval z 1 TS během zápasu</t>
  </si>
  <si>
    <t>0:1; 2:1; 2:2; 4:2; 4:3; 5:3</t>
  </si>
  <si>
    <t>0:1; 2:1; 2:3</t>
  </si>
  <si>
    <t>1:0; 1:5; 5:5; 5:6pp</t>
  </si>
  <si>
    <t>0:2; 2:2; 2:6</t>
  </si>
  <si>
    <t>Zajíček – Baránek, Zeman, Zile, Jaks, Czuczman, Demel, Šalda – Kudrna, Jícha, Zygmunt – Hlava, Kaše, Koblasa – Maštalířský, Kirk, Abdul – Slavík, Havelka.</t>
  </si>
  <si>
    <t>Zajíček (M. Tomek) – Zeman, Baránek, Jaks, Zile, Demel (A), Czuczman, Šalda – Koblasa, Jícha, Kudrna – O. Kaše (C), D. Kaše (A), Hlava – Abdul, Gut, Kirk – Havelka, Jurčík, Zygmunt.</t>
  </si>
  <si>
    <t>Tomek – Baránek, Zeman, Zile, Jaks, Czuczman, Demel, Šalda – Kudrna, Gut, Koblasa – Hlava, D. Kaše, O. Kaše – Urban, Kirk, Abdul – Zygmunt, Jurčík, Havelka.</t>
  </si>
  <si>
    <t>Tomek (27. Zajíček) – Baránek, Zeman, Zile, Jaks, Czuczman, Demel, Šalda – Kudrna, Gut, Koblasa – Hlava, D. Kaše, O. Kaše – Maštalířský, Kirk, Abdul – Zygmunt, Jurčík, Havelka.</t>
  </si>
  <si>
    <t>53. Nicolas HLAVA (14 (Janis JAKS (15), Liam KIRK (10)) (PP)</t>
  </si>
  <si>
    <t>28. Ondřej KAŠE (18) (Janis JAKS (16), Jindřich ABDUL (20)) (PP)</t>
  </si>
  <si>
    <t>36. Petr KOBLASA (17) (Andrej KUDRNA (10))</t>
  </si>
  <si>
    <t>40. Petr KOBLASA (18) (Ondřej KAŠE (22), Marek BARÁNEK (12)) (PP)</t>
  </si>
  <si>
    <t>60. Andrej KUDRNA (6) (Josef JÍCHA (4)) (EN)</t>
  </si>
  <si>
    <t>20. Liam KIRK (14) (Janis JAKS (17)) (PP)</t>
  </si>
  <si>
    <t>14. Petr KOBLASA (19) (Michal GUT (2), Pawel ZYGMUNT (1))</t>
  </si>
  <si>
    <t>31. Andrej KUDRNA (7) (Ondřej KAŠE (23), Marek BARÁNEK (13)) (PP)</t>
  </si>
  <si>
    <t>44. Janis JAKS (4) (Michal GUT (3), Andrej KUDRNA (11))</t>
  </si>
  <si>
    <t>45. Nicolas HLAVA (15) (Ondřej KAŠE (24))</t>
  </si>
  <si>
    <t>60. Nicolas HLAVA (16) (Ondřej KAŠE (25), Kristaps ZILE (6)) (EN)</t>
  </si>
  <si>
    <t>26. David KAŠE (12) (Denis ZEMAN (4), Ondřej KAŠE (26))</t>
  </si>
  <si>
    <t>41. Petr KOBLASA (20) (Janis JAKS (18)) (PP)</t>
  </si>
  <si>
    <t>26. Pawel ZYGMUNT (2) (Liam KIRK (11), Jindřich ABDUL (21))</t>
  </si>
  <si>
    <t>26. Petr KOBLASA (21) (Janis JAKS (19)) (PP)</t>
  </si>
  <si>
    <t>Zajíček – Baránek, Zeman, Zile, Jaks, Czuczman, Demel, Šalda – Kudrna, Kirk, Abdul – Hlava, D. Kaše, O. Kaše – Maštalířský, Gut, Zygmunt – Jurčík, Havelka.</t>
  </si>
  <si>
    <t>Zajíček – Baránek, Zeman, Zile, Jaks, Czuczman, Demel, Šalda – Kudrna, Kirk, Koblasa – Hlava, D. Kaše, O. Kaše – Maštalířský, Gut, Abdul – Jurčík, Havelka, Zygmunt</t>
  </si>
  <si>
    <t>1:0; 1:5; 2:5</t>
  </si>
  <si>
    <t>6:0; 6:4; 7:4</t>
  </si>
  <si>
    <t>M. Tomek - M. Baránek, D. Zeman - K. Zile, J. Jaks - K. Czuczman, P. Demel - R. Šalda - A. Kudrna, M. Sukeľ, P. Koblasa - N. Hlava, D. Kaše, O. Kaše - L. Kirk, M. Gut, J. Abdul - P. Zygmunt, O. Jurčík, M. Havelka
Zdroj: https://www.idnes.cz/hokej/extraliga/48-kolo-predehravka-online-zpravodajstvi.A240222_095325_hokej_ivt</t>
  </si>
  <si>
    <t>103:79</t>
  </si>
  <si>
    <t>163:165</t>
  </si>
  <si>
    <t>Předkolo 1</t>
  </si>
  <si>
    <t>Předkolo 2</t>
  </si>
  <si>
    <t>Předkolo 3</t>
  </si>
  <si>
    <t>Tomek (28. Zajíček) – Baránek, Zeman, Zile, Jaks, Czuczman, Demel, Šalda – Kudrna, Gut, Koblasa – Hlava, D. Kaše, O. Kaše – Kirk, Abdul – Zygmunt, Jurčík, Havelka.</t>
  </si>
  <si>
    <t>Tomek – Baránek, Zeman, Zile, Jaks, Czuczman, Demel, Šalda – Kudrna, Sukeľ, Koblasa – Hlava, D. Kaše, O. Kaše – Kirk, Abdul – Zygmunt, Jurčík, Havelka.</t>
  </si>
  <si>
    <t>Tomek – Baránek, Zile, Šalda, Jaks, Czuczman, Zeman, Demel – Kudrna, Sukeľ, Koblasa – Hlava, D. Kaše, O. Kaše – Jurčík, Kirk, Abdul – Zygmunt, Gut, Havelka.</t>
  </si>
  <si>
    <t>0:1; 1:1; 1:5; 2:5; 2:8; 3:8</t>
  </si>
  <si>
    <t>12. Nicolas HLAVA (21) (David KAŠE (27), Ondřej KAŠE (29))</t>
  </si>
  <si>
    <t>38. Petr KOBLASA (23) (Jindřich ABDUL (24), Marek BARÁNEK (16)) (PP)</t>
  </si>
  <si>
    <t>60. Marek BARÁNEK (3)	(Jindřich ABDUL (25))</t>
  </si>
  <si>
    <t>15. Nicolas HLAVA (17) (Janis JAKS (20), Petr KOBLASA (13)) (PP)</t>
  </si>
  <si>
    <t>32. Ondřej KAŠE (19) (Nicolas HLAVA (14), David KAŠE (23)) (PP)</t>
  </si>
  <si>
    <t>42. Nicolas HLAVA (18) (Ondřej KAŠE (27), Janis JAKS (21)) (PP)</t>
  </si>
  <si>
    <t>46. Liam KIRK (15) (Petr KOBLASA (14), Jindřich ABDUL (22))</t>
  </si>
  <si>
    <t>56. 	Nicolas HLAVA (19) (Denis ZEMAN (5), Marek BARÁNEK (14))</t>
  </si>
  <si>
    <t>12. Liam KIRK (16) (Janis JAKS (22)) (PP)</t>
  </si>
  <si>
    <t>15. 	Ondřej KAŠE (20) (David KAŠE (24), Kevin CZUCZMAN (5))</t>
  </si>
  <si>
    <t>38. 	Andrej KUDRNA (8) (Patrik DEMEL (6), Kevin CZUCZMAN (6))</t>
  </si>
  <si>
    <t>2. 	Kristaps ZILE (3)	(David KAŠE (25))</t>
  </si>
  <si>
    <t>48. 	Kristaps ZILE (4)	 (Martin HAVELKA (3))</t>
  </si>
  <si>
    <t>8. 	Nicolas HLAVA (20) (David KAŠE (26), Ondřej KAŠE (28))</t>
  </si>
  <si>
    <t>11. Petr KOBLASA (22)	 (Andrej KUDRNA (12), Marek BARÁNEK (15)) (PP)</t>
  </si>
  <si>
    <t>22. 	Ondřej KAŠE (21) (Kevin CZUCZMAN (7))</t>
  </si>
  <si>
    <t>33. Liam KIRK (17) (Jindřich ABDUL (23))</t>
  </si>
  <si>
    <t>35. Ondřej KAŠE (22) (Nicolas HLAVA (15))</t>
  </si>
  <si>
    <t>35. Matúš SUKEĽ (5) (Petr KOBLASA (15), Andrej KUDRNA (13))</t>
  </si>
  <si>
    <t>58. David KAŠE (13) (EN)</t>
  </si>
  <si>
    <t>7. Matúš SUKEĽ (6) (Ondřej KAŠE (30), Nicolas HLAVA (16)) (PP)</t>
  </si>
  <si>
    <t>19. 	Liam KIRK (18) (Jindřich ABDUL (26))</t>
  </si>
  <si>
    <t>29. 	David KAŠE (14)	 (Ondřej KAŠE (31))</t>
  </si>
  <si>
    <t>38. Ondřej KAŠE (23) (Nicolas HLAVA (17), Janis JAKS (23))</t>
  </si>
  <si>
    <t>50. Nicolas HLAVA (22) (David KAŠE (28))</t>
  </si>
  <si>
    <t>0:1; 2:1; 2:2; 3:2; 3:3; 5:3; 5:4</t>
  </si>
  <si>
    <t>34. 	Petr KOBLASA (24) (David KAŠE (29), Nicolas HLAVA (18)) (PP)</t>
  </si>
  <si>
    <t>47. 	Ondřej JURČÍK (4) (Andrej KUDRNA (14))</t>
  </si>
  <si>
    <t>56. Liam KIRK (19) (Jindřich ABDUL (27))</t>
  </si>
  <si>
    <t>M. Tomek čelil během zápasu 2 TS - z 1 inkasoval gól; nájezdy: 1 LIT - Neproměnil Petr KOBLASA    1	OLO	Neproměnil	Jan KÁŇA (9)
2	LIT	Gól	Ondřej KAŠE (73)
4	LIT	Gól	David KAŠE (25)
5	OLO	Neproměnil	Silvester KUSKO (91)
6	OLO	Neproměnil	Lukáš NAHODIL (19)
7	LIT	Gól	Liam KIRK (94)</t>
  </si>
  <si>
    <t>0:1; 2:1; 2:3; 3:3; 4:3sn (3:0 sn)</t>
  </si>
  <si>
    <t>čtvrtfinále 1</t>
  </si>
  <si>
    <t>čtvrtfinále 2</t>
  </si>
  <si>
    <t>čtvrtfinále 3</t>
  </si>
  <si>
    <t>čtvrtfinále 4</t>
  </si>
  <si>
    <t>předkolo 3</t>
  </si>
  <si>
    <t>s Tomášem</t>
  </si>
  <si>
    <t>13.69</t>
  </si>
  <si>
    <t>18.60</t>
  </si>
  <si>
    <t>Playoff</t>
  </si>
  <si>
    <t>Statistiky playoff</t>
  </si>
  <si>
    <t>Statistiky hráčů za celou sezónu</t>
  </si>
  <si>
    <t>DEL</t>
  </si>
  <si>
    <t>F. Gajdoš</t>
  </si>
  <si>
    <t>M. Pekař</t>
  </si>
  <si>
    <t>Německo</t>
  </si>
  <si>
    <t>F. Sandberg</t>
  </si>
  <si>
    <t>Sloupec1</t>
  </si>
  <si>
    <t>Sloupec2</t>
  </si>
  <si>
    <t>Sloupec3</t>
  </si>
  <si>
    <t>Sloupec4</t>
  </si>
  <si>
    <t>Sloupec5</t>
  </si>
  <si>
    <t>Sloupec6</t>
  </si>
  <si>
    <t>Sloupec7</t>
  </si>
  <si>
    <t>Sloupec8</t>
  </si>
  <si>
    <t>A. Polášek</t>
  </si>
  <si>
    <t>M. Čajkovič</t>
  </si>
  <si>
    <t>Slovensko</t>
  </si>
  <si>
    <t>J. Mclsaac</t>
  </si>
  <si>
    <t>L. Vopelka</t>
  </si>
  <si>
    <t>2. Pawel ZYGMUNT (1) (Martin HAVELKA (1), Michal GUT (1))</t>
  </si>
  <si>
    <t>46. Petr KOBLASA (1) (Matúš SUKEĽ (1))</t>
  </si>
  <si>
    <t>48. Liam KIRK (1) (PP) (Petr KOBLASA (1), Marek BARÁNEK (1))</t>
  </si>
  <si>
    <t>50. Marek BARÁNEK (1) (Nicolas HLAVA (1), David KAŠE (1))</t>
  </si>
  <si>
    <t>čtvrtfinále 5</t>
  </si>
  <si>
    <t>čtvrtfinále 6</t>
  </si>
  <si>
    <t>semifinále 1</t>
  </si>
  <si>
    <t>semifinále 2</t>
  </si>
  <si>
    <t>semifinále 3</t>
  </si>
  <si>
    <t>semifinále 4</t>
  </si>
  <si>
    <t>12:20 David KAŠE (1) (Nicolas HLAVA (2),
								Radim ŠALDA (1))  (5 na 5)</t>
  </si>
  <si>
    <t>23:49 Liam KIRK (2)
GV (Marek BARÁNEK (2),
								Matúš SUKEĽ (2))  (5 na 5)</t>
  </si>
  <si>
    <t>29:12 Nicolas HLAVA (1) (David KAŠE (2),
								Janis JAKS (1))  (Přesilovka 5 na 4)</t>
  </si>
  <si>
    <t>52:00 Liam KIRK (3) ()  (5 na 5)</t>
  </si>
  <si>
    <t>01:47 Andrej KUDRNA (1) (Ondřej JURČÍK (1))  (5 na 5)</t>
  </si>
  <si>
    <t>75:04 Ondřej JURČÍK (1)
GV (
Marek BARÁNEK (3)
)  (Přesilovka 5 na 4)</t>
  </si>
  <si>
    <t>10:57 Radim ŠALDA (1) (Nicolas HLAVA (3),
								Ondřej KAŠE (1))  (5 na 5)</t>
  </si>
  <si>
    <t>1	LIT	Neproměnil	Petr KOBLASA (10)
2	KOM	Neproměnil	Lukáš CINGEL (6)
3	LIT	Gól	David KAŠE (25)
4	KOM	Gól	Jakub FLEK (9)
5	LIT	Neproměnil	Ondřej KAŠE (73)
6	KOM	Neproměnil	Adam ZBOŘIL (18)
7	LIT	Neproměnil	Liam KIRK (94)
8	KOM	Neproměnil	Martin ZAŤOVIČ (26)
9	LIT	Neproměnil	Nicolas HLAVA (77)
10	KOM	Neproměnil	Kristián POSPÍŠIL (88)
11	KOM	Neproměnil	Jakub FLEK (9)
12	LIT	Neproměnil	David KAŠE (25)
13	KOM	Neproměnil	Steve MOSES (89)
14	LIT	Neproměnil	Jindřich ABDUL (24)
15	KOM	Gól	Daniel GAZDA (43)
16	LIT	Gól	Ondřej KAŠE (73)
17	KOM	Neproměnil	Tomáš VINCOUR (81)
18	LIT	Gól	Ondřej KAŠE (73)</t>
  </si>
  <si>
    <t>14:30 Pawel ZYGMUNT (2) (Matěj MAŠTALÍŘSKÝ (1),
								Marek BARÁNEK (4))  (5 na 5)</t>
  </si>
  <si>
    <t>26:47 Andrej KUDRNA (2)
GV (Jindřich ABDUL (1),
								Ondřej JURČÍK (2))  (5 na 5)</t>
  </si>
  <si>
    <t>29:47 Liam KIRK (4) (Kevin CZUCZMAN (1),
								Petr KOBLASA (2))  (5 na 5)</t>
  </si>
  <si>
    <t>36:18 Petr KOBLASA (2) (Liam KIRK (1),
								Jindřich ABDUL (2))  (Přesilovka 5 na 4)</t>
  </si>
  <si>
    <t>37:01 Liam KIRK (5) (Matúš SUKEĽ (3),
								Lukáš VÁLEK (1))  (5 na 5)</t>
  </si>
  <si>
    <t>20:20 Liam KIRK (6) (Petr KOBLASA (3))  (5 na 5)</t>
  </si>
  <si>
    <t>28:09 Kristaps ZILE (1) (David KAŠE (3))  (5 na 5)</t>
  </si>
  <si>
    <t>52:43 Liam KIRK (7) (Kristaps ZILE (1),
								David KAŠE (4))  (Přesilovka 5 na 4)</t>
  </si>
  <si>
    <t>54:43 Petr KOBLASA (3) (Liam KIRK (2),
								Marek BARÁNEK (5))  (Přesilovka 5 na 4)</t>
  </si>
  <si>
    <t>48:47 Liam KIRK (8) (Ondřej KAŠE (2),
								Janis JAKS (2))  (Přesilovka 5 na 4)</t>
  </si>
  <si>
    <t>69:50 Nicolas HLAVA (2)
GV (
Matúš SUKEĽ (4)
)  (5 na 5)</t>
  </si>
  <si>
    <t>05:41 Petr KOBLASA (4) (Ondřej KAŠE (3))  (5 na 5)</t>
  </si>
  <si>
    <t>09:03 Matúš SUKEĽ (1)
GV (Nicolas HLAVA (4))  (5 na 5)</t>
  </si>
  <si>
    <t>25:56 Petr KOBLASA (5) (Ondřej KAŠE (4))  (5 na 5)</t>
  </si>
  <si>
    <t>37:32 Petr KOBLASA (6) (Jindřich ABDUL (3),
								Marek BARÁNEK (6))  (Přesilovka 5 na 4)</t>
  </si>
  <si>
    <t>01:19 David KAŠE (2) (Ondřej KAŠE (5))  (5 na 5)</t>
  </si>
  <si>
    <t>14:45 David KAŠE (3) (Janis JAKS (3),
								Ondřej KAŠE (6))  (Přesilovka 5 na 3)</t>
  </si>
  <si>
    <t>19:53 Liam KIRK (9) (David KAŠE (5))  (5 na 5)</t>
  </si>
  <si>
    <t>52:50 Kristaps ZILE (2) ()  (Přesilovka 5 na 4)</t>
  </si>
  <si>
    <t>54:34 Petr KOBLASA (7) (Patrik DEMEL (1),
								Liam KIRK (4))  (5 na 5)</t>
  </si>
  <si>
    <t>09:22 Andrej KUDRNA (3) (Jindřich ABDUL (4),
								Josef JÍCHA (1))  (5 na 5)</t>
  </si>
  <si>
    <t>47:08 Patrik DEMEL (1) (Marek BARÁNEK (7),
								Jindřich ABDUL (5))  (5 na 5)</t>
  </si>
  <si>
    <t>55:48 Ondřej KAŠE (1) (Kristaps ZILE (2),
								Liam KIRK (3))  (5 na 5)</t>
  </si>
  <si>
    <t>24-25</t>
  </si>
  <si>
    <t>0:1; 4:1; 4:2</t>
  </si>
  <si>
    <t>2:0; 2:1; 3:1</t>
  </si>
  <si>
    <t>M. Tomek – Zeman, Baránek, McIsaac, Zile, Polášek, Czuczman, Baláž – Sandberg, Sukeľ, Koblasa – O. Kaše, D. Kaše, Hlava – Pekař, Gut, Maštalířský – Havelka, Jícha, Jurčík</t>
  </si>
  <si>
    <t>M. Tomek (Zajíček) – Czuczman, Zeman, Zile, McIsaac, Hrádek, Polášek, Baláž – Koblasa, Sukeľ (C), Sandberg – Hlava, D. Kaše (A), O. Kaše (A) – Maštalířský, Gut, Pekař – Jurčík, Jícha, Havelka</t>
  </si>
  <si>
    <t>12:51 Michal GUT (1) (Adam POLÁŠEK (1))  (5 na 5)</t>
  </si>
  <si>
    <t>46:06 Kevin CZUCZMAN (1)
GV (Matěj PEKAŘ (1),
								Denis ZEMAN (1))  (5 na 5)</t>
  </si>
  <si>
    <t>04:57 Ondřej JURČÍK (1) (Jared MCISAAC (1),
								Josef JÍCHA (1))  (5 na 5)</t>
  </si>
  <si>
    <t>06:57 Matěj PEKAŘ (1)
GV (Kevin CZUCZMAN (1),
								Nicolas HLAVA (1))  (5 na 5)</t>
  </si>
  <si>
    <t>18:11 Ondřej KAŠE (2) ()  (5 na 5)</t>
  </si>
  <si>
    <t>M. Tomek (Zajíček) – Zeman, Czuczman, McIsaac, Zile, Polášek, Hrádek, Baláž – Sandberg, Sukeľ (C), Koblasa – O. Kaše (A), D. Kaše (A), Hlava – Pekař, Gut, Maštalířský – Havelka, Jurčík, Berka</t>
  </si>
  <si>
    <t>1:0; 1:2; 4:2</t>
  </si>
  <si>
    <t>Zajíček – Baláž, Zile, Zeman, McIsaac, Černý, Polášek, Beran – Sandberg, Sukeľ (C), Koblasa – O. Kaše (A), D. Kaše (A), Hlava – Pekař, Gut, Jurčík – Havelka, Jícha, Vopelka</t>
  </si>
  <si>
    <t>Zajíček (M. Tomek) – Zile, Baláž, Zeman, McIsaac, Polášek, Husinecký, Beran – Koblasa, Sukeľ (C), Sandberg – Hlava, D. Kaše (A), O. Kaše (A) – Maštalířský, Gut, Pekař – Čech, Jícha, Havelka</t>
  </si>
  <si>
    <t>0:1; 5:1; 5:2</t>
  </si>
  <si>
    <t>Zajíček – Baláž, Zile, Zeman, McIsaac, Husinecký, Polášek, Beran – Sandberg, Sukeľ (C), Koblasa – O. Kaše (A), D. Kaše (A), Hlava – Pekař, Gut, Jurčík – Havelka, Jícha, Vopelka</t>
  </si>
  <si>
    <t>Zajíček vychytal 1 trestné střílení</t>
  </si>
  <si>
    <t>Zajíček (Kubík) – Baláž, Zile (A), McIsaac, Polášek, Zeman, Czuczman, Beran – Sandberg, Sukeľ (C), Koblasa – Pekař, D. Kaše (A), Hlava – Jícha, Gut, Jurčík – Havelka, Vopelka, Zygmunt</t>
  </si>
  <si>
    <t>29:08 Michal GUT (2) (Matúš SUKEĽ (1),  Kristaps ZILE (1))  (Přesilovka 5 na 4)</t>
  </si>
  <si>
    <t>08:30 Filip SANDBERG (1) (Jared MCISAAC (2),
								Nicolas HLAVA (2))  (Přesilovka 5 na 4)</t>
  </si>
  <si>
    <t>48:20 Ondřej KAŠE (3) (David KAŠE (1))  (5 na 5)</t>
  </si>
  <si>
    <t>56:46 Matúš SUKEĽ (1)
GV (Kristaps ZILE (2),
								Petr KOBLASA (1))  (Přesilovka 5 na 4)</t>
  </si>
  <si>
    <t>09:01 Jared MCISAAC (1) (Filip SANDBERG (1))  (5 na 5)</t>
  </si>
  <si>
    <t>19:33 Nicolas HLAVA (1) (David KAŠE (2),
								Ondřej KAŠE (1))  (5 na 5)</t>
  </si>
  <si>
    <t>24:21 Jared MCISAAC (2)
GV (Ondřej KAŠE (2))  (Přesilovka 5 na 4)</t>
  </si>
  <si>
    <t>35:35 Filip SANDBERG (2) (Petr KOBLASA (2))  (5 na 5)</t>
  </si>
  <si>
    <t>01:43 Petr KOBLASA (1) (Matúš SUKEĽ (2),
								Jared MCISAAC (3))  (5 na 5)</t>
  </si>
  <si>
    <t>10:21 Denis ZEMAN (1) (Nicolas HLAVA (3))  (5 na 5)</t>
  </si>
  <si>
    <t>14:48 Petr KOBLASA (2)
GV (Kristaps ZILE (3),
								Matúš SUKEĽ (3))  (5 na 5)</t>
  </si>
  <si>
    <t>18:04 Jared MCISAAC (3) (Ondřej KAŠE (3))  (5 na 5)</t>
  </si>
  <si>
    <t>24:08 Kristaps ZILE (1) (Ondřej BALÁŽ (1),
								Matúš SUKEĽ (4))  (5 na 5)</t>
  </si>
  <si>
    <t>1:0; 1:1; 2:1; 2:2; 2:3pp</t>
  </si>
  <si>
    <t>Zajíček (M. Tomek) – Zile (A), Baláž, Polášek, McIsaac, Czuczman, Zeman, Gajdoš – Koblasa, Sukeľ (C), Sandberg – Hlava, D. Kaše (A), Pekař – Jurčík, Gut, Jícha – Zygmunt, Vopelka, Havelka</t>
  </si>
  <si>
    <t>Zajíček (M. Tomek) – Zile (A), Baránek, Polášek, McIsaac, Czuczman, Zeman, Gajdoš – Koblasa, Sukeľ (C), Sandberg – Hlava, D. Kaše (A), Gut – Maštalířský, Jícha, Pekař – Zygmunt, Vopelka, Havelka</t>
  </si>
  <si>
    <t>Stav série 1:0</t>
  </si>
  <si>
    <t>Stav série 2:0</t>
  </si>
  <si>
    <t>Stav série 3:0</t>
  </si>
  <si>
    <t>Stav série 2:1</t>
  </si>
  <si>
    <t>Stav série 2:2</t>
  </si>
  <si>
    <t>Stav série 3:2</t>
  </si>
  <si>
    <t>Stav série 4:2</t>
  </si>
  <si>
    <t>Stav série 0:1</t>
  </si>
  <si>
    <t>Stav série 0:2</t>
  </si>
  <si>
    <t>Stav série 0:3</t>
  </si>
  <si>
    <t>Stav série 0:4</t>
  </si>
  <si>
    <t>Tomek – Baránek, Zile, Šalda, Jaks, Czuczman, Zeman, Demel – Kudrna, Sukeľ, Koblasa – O. Kaše, D. Kaše, Hlava – Jurčík, Kirk, Abdul – Zygmunt, Gut, Havelka.</t>
  </si>
  <si>
    <t>Tomek – Baránek, Zile, Šalda, Jaks, Czuczman, Zeman, Demel – Kirk, Sukeľ, Koblasa – Hlava, D. Kaše, O. Kaše – Kudrna, Jurčík, Abdul – Zygmunt, Gut, Havelka.</t>
  </si>
  <si>
    <t>Tomek – Zile, Demel, Šalda, Baránek, Czuczman, Zeman, Strejček – Kirk, Sukeľ, Koblasa – Hlava, D. Kaše, O. Kaše – Kudrna, Jurčík, Abdul – Zygmunt, Gut, Havelka.</t>
  </si>
  <si>
    <t xml:space="preserve">Tomek – Zile, Demel, Šalda, Baránek, Czuczman, Zeman, Strejček – Kirk, Sukeľ, Koblasa – Hlava, D. Kaše, O. Kaše – Kudrna, Jurčík, Abdul – Maštalířský, Zygmunt, Válek.
</t>
  </si>
  <si>
    <t>Tomek – Zile, Demel, Šalda, Baránek, Czuczman, Zeman, Strejček – Kirk, Sukeľ, Koblasa – Hlava, D. Kaše, O. Kaše – Kudrna, Jurčík, Válek – Maštalířský, Zygmunt, Havelka.</t>
  </si>
  <si>
    <t>Tomek (22. Zajíček) – Zile, Demel, Šalda, Baránek, Czuczman, Zeman, Strejček – Kirk, Sukeľ, Koblasa – Hlava, D. Kaše, O. Kaše – Kudrna, Jurčík, Válek – Maštalířský, Zygmunt, Havelka.</t>
  </si>
  <si>
    <t>Tomek – Zile, Jaks, Baránek, Demel, Czuczman, Zeman, Šalda – Hlava, D. Kaše, O. Kaše – Kirk, Sukeľ, Koblasa – Kudrna, Jurčík, Abdul – Maštalířský, Zygmunt, Havelka.</t>
  </si>
  <si>
    <t>Tomek – Zile, Jaks, Baránek, Demel, Czuczman, Zeman, Šalda – Koblasa, D. Kaše, O. Kaše – Kirk, Sukeľ, Hlava – Kudrna, Jurčík, Abdul – Maštalířský, Zygmunt, Havelka.</t>
  </si>
  <si>
    <t>Tomek – Zile, Jaks, Baránek, Demel, Czuczman, Zeman, Šalda – Koblasa, D. Kaše, O. Kaše – Kirk, Sukeľ, Hlava – Kudrna, Jícha, Abdul – Maštalířský, Zygmunt, Havelka.</t>
  </si>
  <si>
    <t>Tomek – Zile, Jaks, Baránek, Demel, Czuczman, Zeman, Šalda – Hlava, D. Kaše, O. Kaše – Kirk, Sukeľ, Koblasa – Kudrna, Jícha, Abdul – Maštalířský, Zygmunt, Havelka.</t>
  </si>
  <si>
    <t>Tomek – Baránek, Demel, Zile, Jaks, Czuczman, Zeman, Šalda – Kirk, Sukeľ, Koblasa – Hlava, D. Kaše, O. Kaše – Kudrna, Jurčík, Abdul – Zygmunt, Jícha, Havelka.</t>
  </si>
  <si>
    <t>Tomek (35. Zajíček) – Baránek, Demel, Zile, Jaks, Czuczman, Zeman, Šalda – Kirk, Sukeľ, Koblasa – Hlava, D. Kaše, O. Kaše – Kudrna, Jícha, Abdul – Zygmunt, Jurčík, Havelka.</t>
  </si>
  <si>
    <t>06:42 Vojtěch HUSINECKÝ (1) (Nicolas HLAVA (4),
								David KAŠE (3))  (5 na 5)</t>
  </si>
  <si>
    <t>47:50 David KAŠE (1)
GV (Ondřej KAŠE (4),
								Jared MCISAAC (4))  (5 na 5)</t>
  </si>
  <si>
    <t>12:28 Matúš SUKEĽ (2) (Nicolas HLAVA (5),
								David KAŠE (4))  (Přesilovka 5 na 4)</t>
  </si>
  <si>
    <t>38:21 Nicolas HLAVA (2)
GV (Jared MCISAAC (5),
								Petr KOBLASA (3))  (Přesilovka 5 na 4)</t>
  </si>
  <si>
    <t>38:39 Kevin CZUCZMAN (2) (Petr KOBLASA (4),
								Filip SANDBERG (2))  (5 na 5)</t>
  </si>
  <si>
    <t>29:08 Matěj PEKAŘ (2) (David KAŠE (5))  (5 na 5)</t>
  </si>
  <si>
    <t>M. Tomek (Zajíček) – Baránek, Zile (A), McIsaac, Polášek, Zeman, Czuczman, Gajdoš – Sandberg, Sukeľ (C), Koblasa – Čajkovič, D. Kaše (A), Hlava – Pekař, Gut, Maštalířský – Havelka, Jícha, Vopelka</t>
  </si>
  <si>
    <t xml:space="preserve">Zajíček (M. Tomek) – Baránek, Zile, McIsaac, Polášek, Zeman, Czuczman, Gajdoš – Sandberg, Sukeľ (C), Pekař – O. Kaše (A), D. Kaše (A), Maštalířský – Koblasa, Gut, Hlava – Havelka, Jícha, Zygmunt </t>
  </si>
  <si>
    <t>Do 13. kola (do 20. 10. 2024)</t>
  </si>
  <si>
    <t>Zajíček (M. Tomek) – Zile, Baránek, Polášek, McIsaac, Czuczman, Zeman, Gajdoš – Pekař, Sukeľ (C), Sandberg – Maštalířský, D. Kaše (A), O. Kaše (A) – Hlava, Gut, Koblasa – Jícha, Havelka</t>
  </si>
  <si>
    <t>Zajíček (M. Tomek) – Baránek, Zile, McIsaac, Polášek, Zeman, Czuczman, Gajdoš – Sandberg, Sukeľ (C), Koblasa – O. Kaše (A), D. Kaše (A), Hlava – Pekař, Gut, Maštalířský – Havelka, Jícha, Brož</t>
  </si>
  <si>
    <t>s Katkou vlakem s přespáním</t>
  </si>
  <si>
    <t>0:2; 4:2; 4:3</t>
  </si>
  <si>
    <t>M. Tomek(Zajíček) – Baránek, Zile, McIsaac, Polášek, Zeman, Czuczman, Gajdoš – Sandberg, Sukeľ (C), Koblasa – O. Kaše (A), D. Kaše (A), Hlava – Pekař, Gut, Maštalířský – Havelka, Jícha, Brož</t>
  </si>
  <si>
    <t>11:44 Petr KOBLASA (4) (Matúš SUKEĽ (5),
								Kristaps ZILE (4))  (5 na 5)</t>
  </si>
  <si>
    <t>30:44 Kevin CZUCZMAN (3) (Nicolas HLAVA (6),
								Michal GUT (1))  (5 na 5)</t>
  </si>
  <si>
    <t>21:41 Maxim ČAJKOVIČ (1) ()  (5 na 5)</t>
  </si>
  <si>
    <t>50:26 Maxim ČAJKOVIČ (2) (Jared MCISAAC (6),
								Filip SANDBERG (4))  (Přesilovka 5 na 4)</t>
  </si>
  <si>
    <t>19:22 David KAŠE (2) (Maxim ČAJKOVIČ (1),
								Filip SANDBERG (5))  (Přesilovka 5 na 4)</t>
  </si>
  <si>
    <t>0:1; 4:1</t>
  </si>
  <si>
    <t>M. Tomek – Baránek, Zile, McIsaac, Polášek, Zeman, Czuczman, Gajdoš – Sandberg, Sukeľ, Koblasa – O. Kaše, D. Kaše, Hlava – Pekař, Gut, Maštalířský – Havelka, Jícha, Brož.</t>
  </si>
  <si>
    <t>07:29 Petr KOBLASA (5) (Michal GUT (2),
								Kristaps ZILE (5))  (Přesilovka 5 na 4)</t>
  </si>
  <si>
    <t>35:07 Jared MCISAAC (4) (Ondřej KAŠE (5),
								David KAŠE (6))  (Přesilovka 5 na 4)</t>
  </si>
  <si>
    <t>41:00 David KAŠE (3)
GV (Matěj MAŠTALÍŘSKÝ (1))  (5 na 5)</t>
  </si>
  <si>
    <t>49:25 Michal GUT (3) (Martin HAVELKA (1),
								Nicolas HLAVA (7))  (5 na 5)</t>
  </si>
  <si>
    <t>58:23 Petr KOBLASA (3) (Filip SANDBERG (3))  (5 na 5) (EN)</t>
  </si>
  <si>
    <t>58:38 Ondřej JURČÍK (2) (Josef JÍCHA (2), 
								Denis ZEMAN (2))  (5 na 5) (EN)</t>
  </si>
  <si>
    <t>54:30 Ondřej KAŠE (1) ()  (Oslabení 4 proti 5) (EN)</t>
  </si>
  <si>
    <t>59:00 David KAŠE (4) ()  (5 na 5) (EN)</t>
  </si>
  <si>
    <t>00:27 Matěj PEKAŘ (3) (Marek BARÁNEK (1),
								Filip SANDBERG (6))  (5 na 5)</t>
  </si>
  <si>
    <t>17:15 David KAŠE (5) (Ondřej KAŠE (6))  (5 na 5)</t>
  </si>
  <si>
    <t>17:38 Filip SANDBERG (3)
GV (David KAŠE (7),
								Kevin CZUCZMAN (2))  (5 na 5)</t>
  </si>
  <si>
    <t>30:32 Matúš SUKEĽ (3) (Michal GUT (3),
								Petr KOBLASA (5))  (Přesilovka 5 na 4)</t>
  </si>
  <si>
    <t>32:34 Denis ZEMAN (2) (David KAŠE (8),
								Kevin CZUCZMAN (3))  (5 na 5)</t>
  </si>
  <si>
    <t>35:30 Matúš SUKEĽ (4) (Filip SANDBERG (7),
								Jared MCISAAC (7))  (5 na 5)</t>
  </si>
  <si>
    <t>54:11 Matúš SUKEĽ (5) (Jaroslav BROŽ (1),
								Filip SANDBERG (8))  (5 na 5)</t>
  </si>
  <si>
    <t>58:14 David KAŠE (6) ()  (Oslabení 4 proti 5)</t>
  </si>
  <si>
    <t>22:45 Ondřej KAŠE (4) (Nicolas HLAVA (8))  (5 na 5)</t>
  </si>
  <si>
    <t>28:36 David KAŠE (7) (Ondřej KAŠE (7),
								Jared MCISAAC (8))  (Přesilovka 5 na 4)</t>
  </si>
  <si>
    <t>33:25 Ondřej KAŠE (5) (David KAŠE (9))  (Oslabení 4 proti 5)</t>
  </si>
  <si>
    <t>36:03 Matúš SUKEĽ (6)
GV (Filip SANDBERG (9),
								Kristaps ZILE (6))  (5 na 5)</t>
  </si>
  <si>
    <t>13:39 Josef JÍCHA (1) (Martin HAVELKA (2),
								Kristaps ZILE (7))  (5 na 5)</t>
  </si>
  <si>
    <t>38:12 Petr KOBLASA (6)
GV (Michal GUT (4),
								Matúš SUKEĽ (6))  (Přesilovka 5 na 4)</t>
  </si>
  <si>
    <t>52:03 David KAŠE (8) (Nicolas HLAVA (9),
								Ondřej KAŠE (8))  (Přesilovka 5 na 4)</t>
  </si>
  <si>
    <t>59:30 Michal GUT (4) (David KAŠE (10),
								Ondřej KAŠE (9))  (5 na 5) (EN)</t>
  </si>
  <si>
    <t>Zajíček (M. Tomek) – Baránek, Zile, McIsaac, Polášek, Zeman, Czuczman, Gajdoš – Sandberg, Sukeľ (C), Koblasa – O. Kaše (A), D. Kaše (A), Hlava – Pekař, Gut, Maštalířský – Havelka, Jícha, Čajkovič</t>
  </si>
  <si>
    <t>Zajíček (M. Tomek) – Zīle, Baránek, Polášek, McIsaac, Czuczman, Zeman, Gajdoš – Koblasa, Sukeľ (C), Sandberg – Hlava, D. Kaše (A), O. Kaše (A) – Maštalířský, Gut, Čajkovič – D. Čech, Jícha, Havelka.</t>
  </si>
  <si>
    <t>0:1; 1:1; 1:2; 3:2; 3:3; 4:3</t>
  </si>
  <si>
    <t>M. Tomek (Zajíček) – Baránek, Zile, McIsaac, Polášek, Zeman, Czuczman, Gajdoš – Čajkovič, Sukeľ (C), Koblasa – O. Kaše (A), D. Kaše (A), Sandberg – Jícha, Gut, Maštalířský – Havelka, Beran, Slavíček.</t>
  </si>
  <si>
    <t>M. Tomek (Zajíček) – Zile, Baránek, Polášek, McIsaac, Czuczman, Zeman, Gajdoš – Koblasa, Sukeľ (C), Sandberg – Hlava, D. Kaše (A), O. Kaše (A) – Maštalířský, Gut, Čajkovič – Berka, Jícha, Havelka</t>
  </si>
  <si>
    <t>Zajíček (M. Tomek) – Baránek, Zile, McIsaac, Polášek, Zeman, Czuczman, Gajdoš – Sandberg, Sukeľ (C), Koblasa – O. Kaše (A), D. Kaše (A), Čajkovič – Jícha, Gut, Maštalířský – Havelka, Kordule</t>
  </si>
  <si>
    <t>Zajíček (M. Tomek) – Baránek, Zile, McIsaac, Polášek, Zeman, Czuczman, Gajdoš – Sandberg, Sukeľ (C), Koblasa – O. Kaše (A), D. Kaše (A), Čajkovič – Jícha, Gut, Maštalířský – Havelka, Berka</t>
  </si>
  <si>
    <t>00:35 Nicolas HLAVA (3)
GV (Ondřej KAŠE (10),
								Jared MCISAAC (9))  (5 na 5)</t>
  </si>
  <si>
    <t>32:15 Filip SANDBERG (4) (Ondřej KAŠE (11),
								David KAŠE (11))  (Přesilovka 5 na 4)</t>
  </si>
  <si>
    <t>43:54 Petr KOBLASA (7) (Matúš SUKEĽ (7),
								Adam POLÁŠEK (2))  (5 na 5)</t>
  </si>
  <si>
    <t>59:59 David KAŠE (9) (Ondřej KAŠE (12))  (Přesilovka 5 na 4)</t>
  </si>
  <si>
    <t>14:34 Petr KOBLASA (8) (Michal GUT (5),
								Maxim ČAJKOVIČ (2))  (Přesilovka 5 na 4)</t>
  </si>
  <si>
    <t>22:51 Ondřej KAŠE (6) (Jared MCISAAC (10),
								David KAŠE (12))  (Přesilovka 5 na 4)</t>
  </si>
  <si>
    <t>28:11 Filip SANDBERG (5) (Kevin CZUCZMAN (4))  (5 na 5)</t>
  </si>
  <si>
    <t>32:44 Maxim ČAJKOVIČ (3)
GV (Kristaps ZILE (8),
								Josef JÍCHA (3))  (5 na 5)</t>
  </si>
  <si>
    <t>06:06 Matúš SUKEĽ (7) (Petr KOBLASA (6),
								Kristaps ZILE (9))  (5 na 5)</t>
  </si>
  <si>
    <t>11:27 Ondřej KAŠE (7)
GV (Jared MCISAAC (11))  (Přesilovka 5 na 4)</t>
  </si>
  <si>
    <t>39:58 Petr KOBLASA (9) (Marek BARÁNEK (2))  (Přesilovka 5 na 4)</t>
  </si>
  <si>
    <t>Od 14. do 26. kola (od 21. 10. 2024 do 8. 12. 2024)</t>
  </si>
  <si>
    <t>Do 26. kola (do 8. 12. 2024)</t>
  </si>
  <si>
    <t>Filip Sandberg</t>
  </si>
  <si>
    <t>Jared McIsaac</t>
  </si>
  <si>
    <t>Maxim Čajkovič</t>
  </si>
  <si>
    <t>23.81</t>
  </si>
  <si>
    <t>Matěj Pekař</t>
  </si>
  <si>
    <t>Adam Polášek</t>
  </si>
  <si>
    <t>40.00</t>
  </si>
  <si>
    <t>Vojtěch Husinecký</t>
  </si>
  <si>
    <t>Jaroslav Brož</t>
  </si>
  <si>
    <t>Šimon Slavíček</t>
  </si>
  <si>
    <t>Robert Černý</t>
  </si>
  <si>
    <t>Michal Hrádek</t>
  </si>
  <si>
    <t>Pavel Kordule</t>
  </si>
  <si>
    <t>Dominik Čech</t>
  </si>
  <si>
    <t>Vít Beran</t>
  </si>
  <si>
    <t>Lukáš Vopelka</t>
  </si>
  <si>
    <t>František Gajdoš</t>
  </si>
  <si>
    <t>Statistiky v polovině základní části (do 26. kola, do 8. 12. 2024)</t>
  </si>
  <si>
    <t>Sukel neproměnil 1 trestné střílení</t>
  </si>
  <si>
    <t>Zajíček (25. M. Tomek) – Baránek, Zile, McIsaac, Polášek, Zeman, Czuczman, Gajdoš – Sandberg, Sukeľ (C), Koblasa – O. Kaše (A), D. Kaše (A), Hlava – M. Pekař, Gut, Čajkovič – Havelka, Jícha, Zygmunt.</t>
  </si>
  <si>
    <t>1:0; 1:1; 2:1; 2:4; 3:4; 3:5; 4:5</t>
  </si>
  <si>
    <t>39:07 Petr KOBLASA (10) (David KAŠE (14))  (5 na 5)</t>
  </si>
  <si>
    <t>49:41 Matúš SUKEĽ (9) (Maxim ČAJKOVIČ (3),
								Denis ZEMAN (3))  (5 na 5)</t>
  </si>
  <si>
    <t>57:21 Maxim ČAJKOVIČ (4)
GV (Matúš SUKEĽ (8),
								Filip SANDBERG (11))  (5 na 5)</t>
  </si>
  <si>
    <t>17:40 David KAŠE (10)
GV (Filip SANDBERG (12),
								Kevin CZUCZMAN (5))  (5 na 5)</t>
  </si>
  <si>
    <t>39:32 Ondřej KAŠE (8) (Matúš SUKEĽ (9),
								David KAŠE (15))  (Přesilovka 5 na 4)</t>
  </si>
  <si>
    <t>11:53 Maxim ČAJKOVIČ (5)
GV (Adam POLÁŠEK (3))  (5 na 5)</t>
  </si>
  <si>
    <t>02:23 Josef JÍCHA (3) (František GAJDOŠ (1),
								Pawel ZYGMUNT (1))  (5 na 5)</t>
  </si>
  <si>
    <t>05:11 Matúš SUKEĽ (10) (Petr KOBLASA (8),
								Filip SANDBERG (13))  (5 na 5)</t>
  </si>
  <si>
    <t>27:44 Denis ZEMAN (3) (Josef JÍCHA (4),
								Martin HAVELKA (3))  (Oslabení 4 proti 5)</t>
  </si>
  <si>
    <t>41:08 Matúš SUKEĽ (11) (Ondřej KAŠE (15),
								David KAŠE (16))  (Přesilovka 5 na 4)</t>
  </si>
  <si>
    <t>03:18 David KAŠE (11) (Ondřej KAŠE (16),
								Kristaps ZILE (10))  (Oslabení 4 proti 5)</t>
  </si>
  <si>
    <t>11:25 Petr KOBLASA (11)
GV (Ondřej KAŠE (17),
								Filip SANDBERG (14))  (Přesilovka 5 na 4)</t>
  </si>
  <si>
    <t>Čajkovič neproměnil 1 trestné střílení</t>
  </si>
  <si>
    <t>M. Tomek (Zajíček) – Zile, Baláž, Czuczman, Gajdoš, Baránek, Zeman, V. Beran – Koblasa, Sukeľ (C), Sandberg – Hlava, D. Kaše (A), O. Kaše (A) – Čajkovič, Gut, M. Pekař – Zygmunt, Jícha, Havelka</t>
  </si>
  <si>
    <t>M. Tomek (Zajíček) – Baránek, Zile (A), Baláž, Czuczman, Zeman, Gajdoš, Haš – Sandberg, Sukeľ (C), Koblasa – O. Kaše (A), Gut, Hlava – M. Pekař, Jícha, Čajkovič – Havelka, Zygmunt, Šprynar</t>
  </si>
  <si>
    <t>M. Tomek – Zile, Baránek, Czuczman, Baláž, Gajdoš, Zeman, Haš – Koblasa, Sukeľ, Sandberg – Hlava, Gut, O. Kaše – Čajkovič, Jícha, M. Pekař – Šprynar, Zygmunt, Havelka</t>
  </si>
  <si>
    <t>Tomek – Baránek, Zile, Baláž, Czuczman, Zeman, Gajdoš, Haš – Sandberg, Sukeľ, Koblasa – O. Kaše, Gut, Hlava – M. Pekař, Jícha, Čajkovič – Havelka, Zygmunt, Šprynar</t>
  </si>
  <si>
    <t>Zajíček (M. Tomek) – Zile (A), Baránek, Czuczman, Gajdoš, McIsaac, Zeman, Haš – Koblasa, Sukeľ (C), Sandberg – Hlava, Gut, O. Kaše (A) – Čajkovič, Jícha, M. Pekař – Šprynar, Zygmunt, Havelka</t>
  </si>
  <si>
    <t>Zajíček – Zile, Baránek, McIsaac, Gajdoš, Czuczman, Zeman, Baláž – Koblasa, Sukeľ, Sandberg – Hlava, Gut, O. Kaše – Čajkovič, Jícha, Zygmunt – Šprynar, D. Čech, Havelka.</t>
  </si>
  <si>
    <t>1:0; 1:1</t>
  </si>
  <si>
    <t>M. Tomek – Zile, Baránek, McIsaac, Gajdoš, Czuczman, Zeman, Baláž – Koblasa, Sandberg, Čajkovič – Hlava, Sukeľ, O. Kaše – Zygmunt, Jícha, Slavík – Šprynar, D. Čech, Havelka</t>
  </si>
  <si>
    <t>M. Tomek (Zajíček) – Zile (A), Baránek, McIsaac, Gajdoš, Czuczman, Zeman, Haš – Koblasa, Sandberg, M. Pekař – Hlava, Sukeľ (C), O. Kaše (A) – Maštalířský, Gut, Jícha – Zygmunt, D. Čech, Havelka</t>
  </si>
  <si>
    <t>0:1; 1:1; 1:2; 2:2; 2:5; 3:5</t>
  </si>
  <si>
    <t>Zajíček (M. Tomek) – Zile (A), Baránek, McIsaac, Gajdoš, Czuczman, Zeman, Haš – Hlava (A), Sukeľ (C), Šprynar – Koblasa, Sandberg, Čajkovič – Maštalířský, Gut, M. Pekař – Zygmunt, Jícha, Havelka</t>
  </si>
  <si>
    <t>Zajíček (M. Tomek) – Zile, Baránek, McIsaac, Polášek, Czuczman, Zeman, Gajdoš – Koblasa, Sukeľ (C), Sandberg – Hlava, D. Kaše (A), O. Kaše (A) – Maštalířský, Gut, Čajkovič – Havelka, Jícha, M. Pekař – Zygmunt</t>
  </si>
  <si>
    <t>M. Tomek (Zajíček) – Zile, Baránek, McIsaac, Polášek, Czuczman, Zeman, Gajdoš – Koblasa, Sukeľ (C), Sandberg – Hlava, D. Kaše (A), O. Kaše (A) – Maštalířský, Gut, Čajkovič – M. Pekař, Jícha, Havelka.</t>
  </si>
  <si>
    <t>M. Tomek – Baránek, Zile, Polášek, McIsaac, Zeman, Czuczman, Gajdoš – Sandberg, Sukeľ, Koblasa – O. Kaše, D. Kaše, Hlava – Čajkovič, Jícha, Maštalířský – Havelka, Gut, M. Pekař – Ikonen.</t>
  </si>
  <si>
    <t>s Katkou výjezd s fanklubem</t>
  </si>
  <si>
    <t>2:0; 2:2; 3:2; 3:3; 4:3</t>
  </si>
  <si>
    <t>M. Tomek (Adam Kubík) – Zile, Baránek, McIsaac, Polášek, Gajdoš, Zeman, Baláž – Jurčík, Sukeľ (C), Sandberg – Koblasa, D. Kaše (A), O. Kaše (A) – M. Pekař, Ikonen, Čajkovič – Maštalířský, Jícha, Havelka</t>
  </si>
  <si>
    <t>M. Tomek – Zile, Baránek, McIsaac, Polášek, Gajdoš, Zeman, Baláž – Jurčík, Sukeľ, Sandberg – Koblasa, D. Kaše, O. Kaše – M. Pekař, Ikonen, Čajkovič – Maštalířský, Jícha, Havelka</t>
  </si>
  <si>
    <t>M. Tomek – Zile, Baránek, McIsaac, Polášek, Gajdoš, Zeman, Baláž – Šprynar, Sukeľ, Sandberg – Hlava, D. Kaše, O. Kaše – M. Pekař, Ikonen, Čajkovič – Zygmunt, Jícha, Havelka</t>
  </si>
  <si>
    <t>M. Tomek – Zile, Baránek, McIsaac, Polášek, Gajdoš, Czuczman, Zeman – Koblasa, Sukeľ, Sandberg – Hlava, D. Kaše, O. Kaše – M. Pekař, Ikonen, Čajkovič – Zygmunt, Jícha, Havelka.</t>
  </si>
  <si>
    <t>0:2; 2:2; 2:5; 4:5; 4:6</t>
  </si>
  <si>
    <t>Zajíček – Zile, Baránek, McIsaac, Polášek, Gajdoš, Czuczman, Zeman – M. Pekař, Sukeľ, Sandberg – Hlava, D. Kaše, O. Kaše – Maštalířský, Ikonen, Čajkovič – Zygmunt, Jícha, Havelka – Gut.</t>
  </si>
  <si>
    <t>Zajíček – Zile, Baránek, Zeman, Polášek, McIsaac, Czuczman, Gajdoš – Čajkovič, Sukeľ, Sandberg – Hlava, D. Kaše, O. Kaše – Gut, Ikonen, M. Pekař – Zygmunt, Jícha, Havelka.</t>
  </si>
  <si>
    <t>2:0; 2:5</t>
  </si>
  <si>
    <t>M. Tomek – Zile, Baránek, Zeman, Polášek – McIsaac, Czuczman, Gajdoš – Sandberg, Sukeľ, Maštalířský – Šprynar, D. Kaše, O. Kaše – Hlava, Gut, Ikonen – Zygmunt, Jícha, Havelka – M. Pekař.</t>
  </si>
  <si>
    <t>Zajíček (M. Tomek) – Zeman, Baránek, McIsaac, Polášek, Gajdoš, Czuczman, Baláž – Zygmunt, Jícha, Havelka – Sandberg, Sukeľ (C), Maštalířský – Hlava, D. Kaše (A), O. Kaše (A) – Čajkovič, Gut, M. Pekař – Ikonen.</t>
  </si>
  <si>
    <t>s přespáním v hotelu - Kristýna a Tomáš</t>
  </si>
  <si>
    <t>Zajíček – Zeman, Baránek, Baláž, Polášek, Gajdoš, Czuczman – Zygmunt, Jícha, Havelka – Sandberg, Sukeľ, Ikonen – Hlava, D. Kaše, O. Kaše – Čajkovič, Gut, M. Pekař.</t>
  </si>
  <si>
    <t>M. Tomek – Zeman, Zile, Baláž, Polášek, Gajdoš, Winkelhöfer – Zygmunt, Jícha, Havelka – Sandberg, Sukeľ, Ikonen – Hlava, D. Kaše, O. Kaše – Čajkovič, Gut, M. Pekař.</t>
  </si>
  <si>
    <t>1:0; 1:2; 2:2 (2:1sn)</t>
  </si>
  <si>
    <t xml:space="preserve">Zajíček – Baláž, Zile, V. Beran, Polášek, Gajdoš, Zeman, Winkelhöfer – Zygmunt, Jícha, Havelka – Hlava, Sukeľ, Čajkovič – Sandberg, D. Kaše, O. Kaše – Ikonen, Gut, M. Pekař – Šprynar.
</t>
  </si>
  <si>
    <t>Zajíček – Baláž, Zile, V. Beran, Polášek, Gajdoš, Zeman – Zygmunt, Jícha, Havelka – Hlava, Sukeľ, Čajkovič – Sandberg, D. Kaše, Šprynar – Ikonen, Gut, M. Pekař.</t>
  </si>
  <si>
    <t>M. Tomek (32. Zajíček) – Baláž, Zile, Gajdoš, Polášek, Czuczman, Zeman, V. Beran – Zygmunt, Jícha, Havelka – Hlava, Sukeľ, Čajkovič – Sandberg, D. Kaše, Šprynar – Gut, Ikonen, M. Pekař.</t>
  </si>
  <si>
    <t>0:1; 1:1; 2:1p</t>
  </si>
  <si>
    <t>Zajíček – Zile, Zeman, Polášek, Baláž, Gajdoš, Czuczman, Baránek – Havelka, Jícha, Zygmunt – Čajkovič, Sukeľ, Hlava – Koblasa, D. Kaše, Sandberg – M. Pekař, Gut, Ikonen.</t>
  </si>
  <si>
    <t>2024/2025</t>
  </si>
  <si>
    <t>ze 42</t>
  </si>
  <si>
    <t>baráž 4 týmy - 1. místo (v evropské CHL osmifinále)</t>
  </si>
  <si>
    <t>13.76</t>
  </si>
  <si>
    <t>Jan Šprynar</t>
  </si>
  <si>
    <t>Martin Hugo Haš</t>
  </si>
  <si>
    <t>Joni Ikonen</t>
  </si>
  <si>
    <t>Jakub Winkelhöfer</t>
  </si>
  <si>
    <t>1. polovina základní části</t>
  </si>
  <si>
    <t>2. polovina základní části</t>
  </si>
  <si>
    <t>1. půlka</t>
  </si>
  <si>
    <t>2. půlka</t>
  </si>
  <si>
    <t>nic</t>
  </si>
  <si>
    <t>Rozdíl +/-</t>
  </si>
  <si>
    <t>M. Tomek (Adam Kubík) – Schmiemann, Plutnar, Polášek (A), Husinecký, Czuczman, Baránek, Gajdoš – Koblasa, Sukeľ (C), Gut – Hännikäinen, D. Kaše (A), Pištěk – Hlava, Holmström, Brož – Zygmunt, Jícha, Jurčík – Čajkovič</t>
  </si>
  <si>
    <t>M. Tomek (Čajan) – Plutnar, Schmiemann, Husinecký, Polášek (A), Baránek, Czuczman, Gajdoš – Čajkovič, Sukeľ (C), Koblasa – Pištěk, D. Kaše (A), Hännikäinen – Brož, Holmström, Hlava – Jurčík, Jícha, Zygmunt</t>
  </si>
  <si>
    <t>Čajan – Plutnar, Schmiemann, Husinecký, Polášek, Gajdoš, Czuczman, Baláž – Čajkovič, Sukeľ, Koblasa – Pištěk, D. Kaše, Hlava – Brož, Holmström, Hännikäinen – Jurčík, Jícha, Zygmunt.</t>
  </si>
  <si>
    <t>P. Čajan 1 gól z TS</t>
  </si>
  <si>
    <t>3:0; 3:1; 4:1; 4:2</t>
  </si>
  <si>
    <t>Čajan (M. Tomek) – Schmiemann, Plutnar, Polášek (A), Husinecký, Czuczman, Gajdoš, Baláž – Koblasa, Sukeľ (C), Gut – Hlava, D. Kaše (A), Pištěk – Brož, Holmström, Čajkovič – Zygmunt, Jícha, Jurčík</t>
  </si>
  <si>
    <t>10:37 Matúš SUKEĽ (1) (David KAŠE (1),
								Michal PLUTNAR (1))  (Přesilovka 5 na 4)</t>
  </si>
  <si>
    <t>53:58 Adam POLÁŠEK (1) (Maxim ČAJKOVIČ (1),
								Matúš SUKEĽ (1))  (5 na 5)</t>
  </si>
  <si>
    <t>Do 39. kola (do 7. 1. 2026)</t>
  </si>
  <si>
    <t>Do 39. kola (do 23. 1. 2025)</t>
  </si>
  <si>
    <t>Do 26. kola (do 26. 11. 2025)</t>
  </si>
  <si>
    <t>Do 13. kola (do 10. 10. 2025)</t>
  </si>
  <si>
    <t>Od 14. do 26. kola (od 11. 10. 2025 do 26. 11. 2025)</t>
  </si>
  <si>
    <t>Od 27. kola do 39. kola (od 27. 11. 2025 do 7. 1. 2026)</t>
  </si>
  <si>
    <t>Od 40. kola do 52. kola (od 8. 1. 2026 do konce zákl. č.)</t>
  </si>
  <si>
    <t>Statistiky zápasů po jednotlivých částech ligy - sezóna 2025/2026</t>
  </si>
  <si>
    <t>Statistiky zápasů po jednotlivých částech ligy - sezóna 2024/2025</t>
  </si>
  <si>
    <t>Sezóna 25/26</t>
  </si>
  <si>
    <t>1. třetina</t>
  </si>
  <si>
    <t>2. třetina</t>
  </si>
  <si>
    <t>3. třetina</t>
  </si>
  <si>
    <t>Prodl./Náj.</t>
  </si>
  <si>
    <t>Góly LIT</t>
  </si>
  <si>
    <t>Góly soupeř</t>
  </si>
  <si>
    <t>Stadion</t>
  </si>
  <si>
    <t>Domácí</t>
  </si>
  <si>
    <t>Hosté</t>
  </si>
  <si>
    <t>Column1</t>
  </si>
  <si>
    <t>Doma/Venku</t>
  </si>
  <si>
    <t>1. kolo</t>
  </si>
  <si>
    <t>Brno, Winning Group Arena</t>
  </si>
  <si>
    <t>Kometa</t>
  </si>
  <si>
    <t>4:2</t>
  </si>
  <si>
    <t>2. kolo</t>
  </si>
  <si>
    <t>Litvínov, Zimní stadion Ivana Hlinky</t>
  </si>
  <si>
    <t>Energie KV</t>
  </si>
  <si>
    <t>0:4</t>
  </si>
  <si>
    <t>3. kolo</t>
  </si>
  <si>
    <t>0:3</t>
  </si>
  <si>
    <t>4. kolo</t>
  </si>
  <si>
    <t>Liberec, Home Credit Arena</t>
  </si>
  <si>
    <t>2:4</t>
  </si>
  <si>
    <t>5. kolo</t>
  </si>
  <si>
    <t>1:5</t>
  </si>
  <si>
    <t>7. kolo</t>
  </si>
  <si>
    <t>Ml.Boleslav</t>
  </si>
  <si>
    <t>8. kolo</t>
  </si>
  <si>
    <t>Hradec Králové, ČPP ARÉNA</t>
  </si>
  <si>
    <t>2:0</t>
  </si>
  <si>
    <t>9. kolo</t>
  </si>
  <si>
    <t>Motor ČB</t>
  </si>
  <si>
    <t>3:6</t>
  </si>
  <si>
    <t>10. kolo</t>
  </si>
  <si>
    <t>Pardubice, enteria arena</t>
  </si>
  <si>
    <t>2:1p</t>
  </si>
  <si>
    <t>11. kolo</t>
  </si>
  <si>
    <t>1:2</t>
  </si>
  <si>
    <t>12. kolo</t>
  </si>
  <si>
    <t>Třinec, WERK ARENA</t>
  </si>
  <si>
    <t>3:1</t>
  </si>
  <si>
    <t>13. kolo</t>
  </si>
  <si>
    <t>1:3</t>
  </si>
  <si>
    <t>14. kolo</t>
  </si>
  <si>
    <t>2:5</t>
  </si>
  <si>
    <t>16. kolo</t>
  </si>
  <si>
    <t>Ostrava, OSTRAVAR ARÉNA</t>
  </si>
  <si>
    <t>8:2</t>
  </si>
  <si>
    <t>15. kolo</t>
  </si>
  <si>
    <t>Karlovy Vary, Mattoni Arena</t>
  </si>
  <si>
    <t>3:0</t>
  </si>
  <si>
    <t>6. kolo</t>
  </si>
  <si>
    <t>Olomouc, Zimní stadion</t>
  </si>
  <si>
    <t>3:2</t>
  </si>
  <si>
    <t>17. kolo</t>
  </si>
  <si>
    <t>4:3p</t>
  </si>
  <si>
    <t>18. kolo</t>
  </si>
  <si>
    <t>Praha, O2 arena</t>
  </si>
  <si>
    <t>2:1</t>
  </si>
  <si>
    <t>19. kolo</t>
  </si>
  <si>
    <t>1:0</t>
  </si>
  <si>
    <t>20. kolo</t>
  </si>
  <si>
    <t>Mladá Boleslav, ŠKOENERGO Aréna</t>
  </si>
  <si>
    <t>21. kolo</t>
  </si>
  <si>
    <t>22. kolo</t>
  </si>
  <si>
    <t>České Budějovice, Budvar aréna</t>
  </si>
  <si>
    <t>2:3p</t>
  </si>
  <si>
    <t>23. kolo</t>
  </si>
  <si>
    <t>1:4</t>
  </si>
  <si>
    <t>24. kolo</t>
  </si>
  <si>
    <t>Plzeň, LOGSPEED CZ Aréna</t>
  </si>
  <si>
    <t>7:2</t>
  </si>
  <si>
    <t>25. kolo</t>
  </si>
  <si>
    <t>5:2</t>
  </si>
  <si>
    <t>26. kolo</t>
  </si>
  <si>
    <t>Kladno, ČEZ STADION Kladno</t>
  </si>
  <si>
    <t>27. kolo</t>
  </si>
  <si>
    <t>6:2</t>
  </si>
  <si>
    <t>28. kolo</t>
  </si>
  <si>
    <t>29. kolo</t>
  </si>
  <si>
    <t>30. kolo</t>
  </si>
  <si>
    <t>31. kolo</t>
  </si>
  <si>
    <t>32. kolo</t>
  </si>
  <si>
    <t>33. kolo</t>
  </si>
  <si>
    <t>6:1</t>
  </si>
  <si>
    <t>34. kolo</t>
  </si>
  <si>
    <t>2:3</t>
  </si>
  <si>
    <t>35. kolo</t>
  </si>
  <si>
    <t>4:1</t>
  </si>
  <si>
    <t>36. kolo</t>
  </si>
  <si>
    <t>37. kolo</t>
  </si>
  <si>
    <t>1:8</t>
  </si>
  <si>
    <t>38. kolo</t>
  </si>
  <si>
    <t>3:2p</t>
  </si>
  <si>
    <t>39. kolo</t>
  </si>
  <si>
    <t>40. kolo</t>
  </si>
  <si>
    <t>18:00</t>
  </si>
  <si>
    <t>41. kolo</t>
  </si>
  <si>
    <t>44. kolo</t>
  </si>
  <si>
    <t>42. kolo</t>
  </si>
  <si>
    <t>17:30</t>
  </si>
  <si>
    <t>43. kolo</t>
  </si>
  <si>
    <t>45. kolo</t>
  </si>
  <si>
    <t>46. kolo</t>
  </si>
  <si>
    <t>47. kolo</t>
  </si>
  <si>
    <t>48. kolo</t>
  </si>
  <si>
    <t>49. kolo</t>
  </si>
  <si>
    <t>50. kolo</t>
  </si>
  <si>
    <t>16:30</t>
  </si>
  <si>
    <t>51. kolo</t>
  </si>
  <si>
    <t>52. kolo</t>
  </si>
  <si>
    <t>0:2</t>
  </si>
  <si>
    <t>2:8</t>
  </si>
  <si>
    <t>2:7</t>
  </si>
  <si>
    <t>Výsledky</t>
  </si>
  <si>
    <t>5:0</t>
  </si>
  <si>
    <t>Sezóna 24/25</t>
  </si>
  <si>
    <t>G LIT 60(BEZ EN)</t>
  </si>
  <si>
    <t>G Soupeř 60(BEZ EN)</t>
  </si>
  <si>
    <t>Kometa Brno</t>
  </si>
  <si>
    <t>Góly v přesilovce</t>
  </si>
  <si>
    <t>Góly v oslabení</t>
  </si>
  <si>
    <t>Góly inkas. v přesilovce</t>
  </si>
  <si>
    <t>Góly inkas. v oslabení</t>
  </si>
  <si>
    <t>Počet přesilovek</t>
  </si>
  <si>
    <t>Počet oslabení</t>
  </si>
  <si>
    <t>Počet diváků</t>
  </si>
  <si>
    <t>1:1</t>
  </si>
  <si>
    <t>0:0</t>
  </si>
  <si>
    <t>0:1</t>
  </si>
  <si>
    <t>5:1</t>
  </si>
  <si>
    <t>6:4</t>
  </si>
  <si>
    <t>4:3</t>
  </si>
  <si>
    <t>3:3</t>
  </si>
  <si>
    <t>2:2</t>
  </si>
  <si>
    <t>Sezóna 23/24</t>
  </si>
  <si>
    <t>Sezóna 22/23</t>
  </si>
  <si>
    <t>Sezóna 21/22</t>
  </si>
  <si>
    <t>Sezóna 20/21</t>
  </si>
  <si>
    <t>Sezóna 19/20</t>
  </si>
  <si>
    <t>Sezóna 18/19</t>
  </si>
  <si>
    <t>6:0</t>
  </si>
  <si>
    <t>4:0</t>
  </si>
  <si>
    <t>4:5</t>
  </si>
  <si>
    <t>3:5</t>
  </si>
  <si>
    <t>4:6</t>
  </si>
  <si>
    <t>0:5</t>
  </si>
  <si>
    <t>0:6</t>
  </si>
  <si>
    <t>3:7</t>
  </si>
  <si>
    <t>6:3</t>
  </si>
  <si>
    <t>2:6</t>
  </si>
  <si>
    <t>3:4</t>
  </si>
  <si>
    <t>5:3</t>
  </si>
  <si>
    <t>1:7</t>
  </si>
  <si>
    <t>6:5</t>
  </si>
  <si>
    <t>1:6</t>
  </si>
  <si>
    <t>4:8</t>
  </si>
  <si>
    <t>7:3</t>
  </si>
  <si>
    <t>4:7</t>
  </si>
  <si>
    <t>8:1</t>
  </si>
  <si>
    <t>7:4</t>
  </si>
  <si>
    <t>3:8</t>
  </si>
  <si>
    <t>5:4</t>
  </si>
  <si>
    <t>5:6</t>
  </si>
  <si>
    <t>Dukla Jihlava</t>
  </si>
  <si>
    <t>Sezóna 17/18</t>
  </si>
  <si>
    <t>Zajíček – Zile, Baránek, Polášek, Zeman, Gajdoš, Czuczman, Baláž – Havelka, Jícha, Zygmunt – Čajkovič, Sukeľ, Hlava – Koblasa, D. Kaše, Sandberg – M. Pekař, Gut, Ikonen – Šprynar.</t>
  </si>
  <si>
    <t>Zajíček (27. M. Tomek) – Zile, Baránek, Polášek, Zeman, Gajdoš, Czuczman, Baláž – Havelka, Jícha, Zygmunt – Koblasa, Sukeľ, Hlava – Šprynar, D. Kaše, Sandberg – Ikonen, Gut, M. Pekař.</t>
  </si>
  <si>
    <t>M. Tomek – Zile, Baránek, Polášek, Zeman, Gajdoš, Czuczman – Koblasa, D. Kaše, Sandberg – Gut, Sukeľ, Hlava – M. Pekař, Jícha, Ikonen – Havelka, Šprynar, Zygmunt.</t>
  </si>
  <si>
    <t>0:1; 1:1; 1:2; 4:2</t>
  </si>
  <si>
    <t>1:0; 1:1; 2:1sn</t>
  </si>
  <si>
    <t>1:0; 1:2; 3:2; 3:4</t>
  </si>
  <si>
    <t>1:0; 1:1; 3:1; 3:6</t>
  </si>
  <si>
    <t>2</t>
  </si>
  <si>
    <t>3</t>
  </si>
  <si>
    <t>5</t>
  </si>
  <si>
    <t>7</t>
  </si>
  <si>
    <t>8</t>
  </si>
  <si>
    <t>9</t>
  </si>
  <si>
    <t>10</t>
  </si>
  <si>
    <t>11</t>
  </si>
  <si>
    <t>12</t>
  </si>
  <si>
    <t>13</t>
  </si>
  <si>
    <t>14</t>
  </si>
  <si>
    <t>16</t>
  </si>
  <si>
    <t>15</t>
  </si>
  <si>
    <t>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</si>
  <si>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</si>
  <si>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</si>
  <si>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</si>
  <si>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</si>
  <si>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</si>
  <si>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</si>
  <si>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</si>
  <si>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</si>
  <si>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</si>
  <si>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</si>
  <si>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</si>
  <si>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</si>
  <si>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</si>
  <si>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</si>
  <si>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</si>
  <si>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</si>
  <si>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</si>
  <si>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</si>
  <si>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</si>
  <si>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</si>
  <si>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</si>
  <si>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</si>
  <si>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</si>
  <si>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</si>
  <si>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</si>
  <si>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</si>
  <si>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</si>
  <si>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</si>
  <si>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</si>
  <si>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</si>
  <si>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</si>
  <si>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</si>
  <si>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</si>
  <si>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</si>
  <si>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</si>
  <si>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</si>
  <si>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4</t>
  </si>
  <si>
    <t>1</t>
  </si>
  <si>
    <t>0:2; 2:2; 2:3; 3:3; 4:3sn</t>
  </si>
  <si>
    <t>Pořadí	tým	Status	Hráč
1	KVA	Neproměnil	Petr TOMEK (12)
2	LIT	Gól	Axel HOLMSTRÖM (29)
3	KVA	Neproměnil	Matteo KOČÍ (6)
4	LIT	Neproměnil	Markus HÄNNIKÄINEN (33)
5	KVA	Neproměnil	Robin SAPOUŠEK (11)
6	LIT	Neproměnil	Ondřej KAŠE (73)
7	KVA	Gól	Ondřej BERÁNEK (8)
8	LIT	Neproměnil	Theodor PIŠTĚK (34)
9	KVA	Neproměnil	Jiří ČERNOCH (21)
10	LIT	Gól	Maxim ČAJKOVIČ (8)</t>
  </si>
  <si>
    <t>Čajan (Adam Kubík) – Schmiemann, Czuczman, Polášek (A), Husinecký, Šenkeřík, Komuls, Plutnar – Koblasa, Sukeľ (C), O. Kaše (A) – Hännikäinen, Holmström, Pištěk – Maštalířský, Jícha, Čajkovič – Jaroslav Brož, Jurčík, Zygmunt – Šprynar</t>
  </si>
  <si>
    <t>Čajan (Adam Kubík) – Schmiemann, Plutnar, Polášek (A), Husinecký, Šenkeřík, Komuls, Baláž – Hlava, Sukeľ (C), O. Kaše (A) – Hännikäinen, Holmström, Pištěk – Maštalířský, Jurčík, Čajkovič – Jaroslav Brož, Zygmunt, Koblasa – Šprynar</t>
  </si>
  <si>
    <t>0:1; 1:1; 1:5</t>
  </si>
  <si>
    <t>O. Kaše neproměnil TS</t>
  </si>
  <si>
    <t>Čajan (Adam Kubík) – Czuczman, Schmiemann, Husinecký, Polášek, Komuls, Šenkeřík, Gajdoš – Hlava, D. Kaše (A), O. Kaše (A) – Čajkovič, Sukeľ (C), Koblasa – Pištěk, Gut, Maštalířský – Jícha, Jurčík, Brož – Zygmunt</t>
  </si>
  <si>
    <t>0:3; 1:3; 1:4</t>
  </si>
  <si>
    <t>M. Tomek (Čajan) – Schmiemann, Czuczman, Polášek (A), Husinecký, Šenkeřík, Komuls, Baláž – Hlava, Sukeľ (C), O. Kaše (A) – Maštalířský, Holmström, Pištěk – Koblasa, Jurčík, Čajkovič – Jaroslav Brož, Gut, Zygmunt</t>
  </si>
  <si>
    <r>
      <t>M. Tomek (Adam Kubík) – Czuczman, Baránek, Husinecký, Polášek (A), Komuls, Šenkeřík, Schmiemann – O. Kaše (A), Sukeľ (C), Hlava – Jurčík, Gut, Maštalířský – Pištěk, Holmström, Čajkovič</t>
    </r>
    <r>
      <rPr>
        <i/>
        <sz val="11"/>
        <color theme="1"/>
        <rFont val="Calibri"/>
        <family val="2"/>
        <charset val="238"/>
        <scheme val="minor"/>
      </rPr>
      <t xml:space="preserve"> </t>
    </r>
    <r>
      <rPr>
        <sz val="11"/>
        <color theme="1"/>
        <rFont val="Calibri"/>
        <family val="2"/>
        <charset val="238"/>
        <scheme val="minor"/>
      </rPr>
      <t>– Zygmunt, Jícha, Koblasa  - Brož</t>
    </r>
  </si>
  <si>
    <t>M. Tomek – Šenkeřík, Czuczman, Polášek, Husinecký, Gajdoš, Komuls, V. Beran – O. Kaše, D. Kaše, Hlava – Koblasa, Sukeľ, Čajkovič – Maštalířský, Gut, Pištěk – Jurčík, Jícha, Šprynar</t>
  </si>
  <si>
    <t>55. Nicolas HLAVA (2) (Šimon STRÁNSKÝ (2), Janis JAKS (2)) (PP)</t>
  </si>
  <si>
    <t>35. 	Nicolas HLAVA (1) (Matúš SUKEĽ (2), Šimon STRÁNSKÝ (1)) (PP)</t>
  </si>
  <si>
    <t>2. Šimon STRÁNSKÝ (1)	 (Janis JAKS (1)) (PP)</t>
  </si>
  <si>
    <t>59. Matúš SUKEĽ (1) (Nicolas HLAVA (1), Kristaps ZILE (1))</t>
  </si>
  <si>
    <t>18. 	Nicolas HLAVA (3) (Filip HELT (1))</t>
  </si>
  <si>
    <t>44. Martin HAVELKA (1) (Ondřej JURČÍK (1), Nicolas HLAVA (2))</t>
  </si>
  <si>
    <t>M. Tomek (Čajan) – Schmiemann, Plutnar, Polášek (C), Husinecký, Czuczman, Gajdoš, Baláž – Hlava, D. Kaše (A), Pištěk – Hännikäinen, Holmström, Čajkovič – Koblasa, Gut, Maštalířský – Zygmunt, Jícha, Jurčík (A) – Brož</t>
  </si>
  <si>
    <t>Čajan (M. Tomek) – Plutnar, Schmiemann, Husinecký, Polášek (C), Gajdoš, Czuczman, Baláž – Koblasa, Jícha (A), Hlava – Čajkovič, Holmström, Hännikäinen – Pištěk, Gut, Maštalířský – Šprynar, Jurčík (A), Brož</t>
  </si>
  <si>
    <t>Čajan (M. Tomek) – Schmiemann, Plutnar, Polášek (C), Husinecký, Czuczman, Gajdoš, Baláž – Hlava, Jícha (A), Koblasa – Hännikäinen, Holmström, Čajkovič – Maštalířský, Gut, Pištěk – Brož, Jurčík (A), Šprynar</t>
  </si>
  <si>
    <t>Čajan (M. Tomek) – Czuczman, Schmiemann, Husinecký, Polášek (C), Gajdoš, Plutnar, Baláž – Hlava, Gut, Koblasa – Brož, Holmström, Hännikäinen – Pištěk, Jícha (A), Maštalířský – Šprynar, Jurčík (A), Čajkovič</t>
  </si>
  <si>
    <t>0:1; 2:1; 2:2; 3:2; 3:6</t>
  </si>
  <si>
    <t>M. Tomek – Schmiemann, Czuczman, Polášek, Husinecký, Plutnar, Gajdoš, Baláž – Koblasa, Gut, Hlava – Hännikäinen, Jícha, Pištěk – Maštalířský, Jurčík, Šprynar – Čajkovič, Svoboda, Brož.</t>
  </si>
  <si>
    <t>M. Tomek (Čajan) – Schmiemann, Czuczman, Polášek (A), Husinecký, Šenkeřík, Komuls, Plutnar – Hlava, Sukeľ (C), O. Kaše (A) – Pištěk, Jícha, Hännikäinen – Maštalířský, Jurčík, Koblasa – Čajkovič, Holmström, Jaroslav Brož – Zygmunt</t>
  </si>
  <si>
    <t>Čajan (M. Tomek) – Czuczman, Baránek, Husinecký, Polášek (A), Gajdoš, Plutnar, Baláž – Hlava, Sukeľ (C), Koblasa – Pištěk, Gut, Hännikäinen – Šprynar, Jícha, Maštalířský – Brož, Jurčík (A), Čajkovič</t>
  </si>
  <si>
    <t>M. Tomek (Čajan) – Czuczman, Baránek, Husinecký, Polášek (A), Gajdoš, Plutnar, Baláž – Hlava, Sukeľ (C), Koblasa – Pištěk, Gut, Hännikäinen – Šprynar, Jícha, Maštalířský – Brož, Jurčík (A), P. Svoboda</t>
  </si>
  <si>
    <t>Čajan (M. Tomek) – Plutnar, Baránek, Czuczman, Polášek (A), Gajdoš, Husinecký, Baláž – O. Kaše (A), Sukeľ (C), Koblasa – Hlava, Gut, Hännikäinen – Pištěk, Jícha, Maštalířský – Brož, Jurčík, Čajkovič – Šprynar</t>
  </si>
  <si>
    <t>1:0; 1:4; 2:4; 2:5</t>
  </si>
  <si>
    <t>M. Tomek (Čajan) – Czuczman, Baránek, Husinecký, Polášek (A), Gajdoš, Plutnar, Baláž – O. Kaše (A), Sukeľ (C), Koblasa – Hlava, Jícha, Hännikäinen – Pištěk, Jurčík, Maštalířský – Brož, Gut, Čajkovič</t>
  </si>
  <si>
    <t>0:1; 1:1; 1:4; 2:4; 2:7</t>
  </si>
  <si>
    <t>M. Tomek (Adam Kubík) – Czuczman, Baránek, Husinecký, Polášek (A), Komuls, Šenkeřík, Schmiemann – O. Kaše (A), Sukeľ (C), Hlava – Jurčík, Gut, Maštalířský – Pištěk, Holmström, Čajkovič – Zygmunt, Jícha, Koblasa  - Brož</t>
  </si>
  <si>
    <t>semfinále</t>
  </si>
  <si>
    <t>playout</t>
  </si>
  <si>
    <t>M. Tomek (41. Adam Kubík) – Gajdoš, Czuczman, Polášek, V. Beran, Šenkeřík, Komuls, Baláž – O. Kaše (A), D. Kaše (A), Hlava – Koblasa, Čajkovič, Sukeľ (C) – Maštalířský, Jícha, Pištěk – Brož, Jurčík, Šprynar – Zygmunt</t>
  </si>
  <si>
    <t>1:0; 1:4; 2:4; 2:5; 3:5; 3:6</t>
  </si>
  <si>
    <t>fghhghfg</t>
  </si>
  <si>
    <t>fghfhfhg</t>
  </si>
  <si>
    <t>fghfghfgh</t>
  </si>
  <si>
    <t>fgsfgg</t>
  </si>
  <si>
    <t>sfdsf</t>
  </si>
  <si>
    <t>gssgg</t>
  </si>
  <si>
    <t>sdaf</t>
  </si>
  <si>
    <t>fdadda</t>
  </si>
  <si>
    <t>dasasd</t>
  </si>
  <si>
    <t>faa</t>
  </si>
  <si>
    <t>asdsda</t>
  </si>
  <si>
    <t>dasasdf</t>
  </si>
  <si>
    <t>dasda</t>
  </si>
  <si>
    <t>faasd</t>
  </si>
  <si>
    <t>sdasda</t>
  </si>
  <si>
    <t>dasdas</t>
  </si>
  <si>
    <t>fasddsa</t>
  </si>
  <si>
    <t>dassdads</t>
  </si>
  <si>
    <t>sdad</t>
  </si>
  <si>
    <t>dsa</t>
  </si>
  <si>
    <t>dsadas</t>
  </si>
  <si>
    <t>dsaad</t>
  </si>
  <si>
    <t>dsaads</t>
  </si>
  <si>
    <t>sdadsa</t>
  </si>
  <si>
    <t>dsas</t>
  </si>
  <si>
    <t>dasa</t>
  </si>
  <si>
    <t>20:54 Matúš SUKEĽ (1) (Petr KOBLASA (1),
								Kristaps ZILE (1))  (Přesilovka 5 na 4)</t>
  </si>
  <si>
    <t>73:01 Maxim ČAJKOVIČ (1)
GV (
Matúš SUKEĽ (1),
								Nicolas HLAVA (1)
)  (5 na 5)</t>
  </si>
  <si>
    <t>17:21 František GAJDOŠ (1) (Pawel ZYGMUNT (1),
								Josef JÍCHA (1))  (5 na 5)</t>
  </si>
  <si>
    <t>25:44 Joni IKONEN (1) (Michal GUT (1))  (5 na 5)</t>
  </si>
  <si>
    <t>31:21 Matúš SUKEĽ (2) (David KAŠE (1),
								Kristaps ZILE (2))  (Přesilovka 5 na 4)</t>
  </si>
  <si>
    <t>35:17 Michal GUT (1) ()  (5 na 5)</t>
  </si>
  <si>
    <t>35:05 Matúš SUKEĽ (3) (Nicolas HLAVA (2),
								Kristaps ZILE (3))  (5 na 5)</t>
  </si>
  <si>
    <t>13:48 Filip SANDBERG (6)
GV (Matúš SUKEĽ (11),
								Petr KOBLASA (9))  (5 na 5)</t>
  </si>
  <si>
    <t>43:53 Nicolas HLAVA (5)
GV (Ondřej KAŠE (18),
								Michal GUT (6))  (5 na 5)</t>
  </si>
  <si>
    <t>48:54 Petr KOBLASA (12) (Matúš SUKEĽ (12),
								Filip SANDBERG (15))  (5 na 5)</t>
  </si>
  <si>
    <t>56:46 Maxim ČAJKOVIČ (6) ()  (5 na 5)</t>
  </si>
  <si>
    <t>17:01 Ondřej KAŠE (9) (Petr KOBLASA (10),
								Filip SANDBERG (16))  (Přesilovka 5 na 4)</t>
  </si>
  <si>
    <t>25:33 Matúš SUKEĽ (12)
GV (Petr KOBLASA (11),
								Ondřej KAŠE (19))  (Přesilovka 5 na 4)</t>
  </si>
  <si>
    <t>35:01 Petr KOBLASA (13) (Ondřej KAŠE (20))  (Přesilovka 5 na 4)</t>
  </si>
  <si>
    <t>40:10 Filip SANDBERG (7) ()  (Přesilovka 5 na 4)</t>
  </si>
  <si>
    <t>48:30 Matúš SUKEĽ (13) (Martin Hugo HAŠ (1))  (5 na 5)</t>
  </si>
  <si>
    <t>31:22 Ondřej KAŠE (10) (Michal GUT (7))  (5 na 5)</t>
  </si>
  <si>
    <t>43:12 Nicolas HLAVA (6) (Filip SANDBERG (17),
								Matúš SUKEĽ (13))  (Přesilovka 5 na 4)</t>
  </si>
  <si>
    <t>05:52 Matúš SUKEĽ (14) (Jan ŠPRYNAR (1))  (5 na 5)</t>
  </si>
  <si>
    <t>24:02 Petr KOBLASA (14) (Matúš SUKEĽ (14),
								Nicolas HLAVA (10))  (Přesilovka 5 na 4)</t>
  </si>
  <si>
    <t>48:44 Filip SANDBERG (8) (Matěj MAŠTALÍŘSKÝ (2))  (5 na 5)</t>
  </si>
  <si>
    <t>01:01 Matúš SUKEĽ (15) (Ondřej KAŠE (21),
								Nicolas HLAVA (11))  (5 na 5)</t>
  </si>
  <si>
    <t>06:09 Jared MCISAAC (5) (Ondřej KAŠE (22),
								David KAŠE (17))  (5 na 5)</t>
  </si>
  <si>
    <t>18:02 Kristaps ZILE (2) (Filip SANDBERG (18))  (5 na 5)</t>
  </si>
  <si>
    <t>36:05 David KAŠE (12)
GV (Jared MCISAAC (12))  (5 na 5)</t>
  </si>
  <si>
    <t>01:44 David KAŠE (13) (Nicolas HLAVA (12),
								Ondřej KAŠE (23))  (5 na 5)</t>
  </si>
  <si>
    <t>06:53 Kristaps ZILE (3) (Filip SANDBERG (19),
								František GAJDOŠ (2))  (5 na 5)</t>
  </si>
  <si>
    <t>14:30 Nicolas HLAVA (7)
GV (Jared MCISAAC (13),
								David KAŠE (18))  (Přesilovka 5 na 4)</t>
  </si>
  <si>
    <t>45:44 Ondřej KAŠE (11) (David KAŠE (19))  (5 na 5)</t>
  </si>
  <si>
    <t>15:56 František GAJDOŠ (1) (Joni IKONEN (1),
								Matěj PEKAŘ (2))  (5 na 5)</t>
  </si>
  <si>
    <t>24:19 František GAJDOŠ (2) (Ondřej KAŠE (24),
								Petr KOBLASA (12))  (5 na 5)</t>
  </si>
  <si>
    <t>10:51 Ondřej KAŠE (12) (Petr KOBLASA (13),
								David KAŠE (20))  (5 na 5)</t>
  </si>
  <si>
    <t>58:01 Petr KOBLASA (15) (Ondřej KAŠE (25),
								David KAŠE (21))  (Přesilovka 5 na 3)</t>
  </si>
  <si>
    <t>22:27 Matúš SUKEĽ (16) (Adam POLÁŠEK (4),
								Filip SANDBERG (20))  (5 na 5)</t>
  </si>
  <si>
    <t>31:21 Josef JÍCHA (4) (Adam POLÁŠEK (5))  (5 na 5)</t>
  </si>
  <si>
    <t>48:52 Josef JÍCHA (5) (František GAJDOŠ (3),
								Pawel ZYGMUNT (2))  (5 na 5)</t>
  </si>
  <si>
    <t>52:11 Filip SANDBERG (9)
GV (Petr KOBLASA (14),
								Matúš SUKEĽ (15))  (5 na 5)</t>
  </si>
  <si>
    <t>22:55 Ondřej KAŠE (13) (Šimon ZAJÍČEK (1))  (Přesilovka 5 na 4)</t>
  </si>
  <si>
    <t>32:58 Denis ZEMAN (4) (Michal GUT (8))  (5 na 5)</t>
  </si>
  <si>
    <t>49:06 Matúš SUKEĽ (17) (Kristaps ZILE (11))  (5 na 5)</t>
  </si>
  <si>
    <t>59:41 Ondřej KAŠE (14) (David KAŠE (22))  (Přesilovka 5 na 4)</t>
  </si>
  <si>
    <t>44:09 Marek BARÁNEK (1) (Ondřej KAŠE (26),
								Kristaps ZILE (12))  (5 na 5)</t>
  </si>
  <si>
    <t>02:55 Ondřej KAŠE (15) (Jared MCISAAC (14),
								David KAŠE (23))  (Přesilovka 5 na 4)</t>
  </si>
  <si>
    <t>14:34 Matěj PEKAŘ (4) (Maxim ČAJKOVIČ (4),
								Michal GUT (9))  (5 na 5)</t>
  </si>
  <si>
    <t>58:15 Pawel ZYGMUNT (1)
GV (Josef JÍCHA (5),
								Martin HAVELKA (4))  (5 na 5)</t>
  </si>
  <si>
    <t>37:38 Matúš SUKEĽ (18) (David KAŠE (24),
								Kristaps ZILE (13))  (Přesilovka 5 na 4)</t>
  </si>
  <si>
    <t>18:51 Nicolas HLAVA (8) ()  (5 na 5)</t>
  </si>
  <si>
    <t>53:44 Adam POLÁŠEK (1) (David KAŠE (25),
								Jan ŠPRYNAR (2))  (5 na 5)</t>
  </si>
  <si>
    <t>1	VIT	Neproměnil	Chad YETMAN (21)
2	LIT	Neproměnil	Filip SANDBERG (43)
3	VIT	Neproměnil	Martin HANZL (79)
4	LIT	Neproměnil	David KAŠE (25)
5	VIT	Neproměnil	Anthony NELLIS (19)
6	LIT	Gól	Joni IKONEN (61)
7	VIT	Gól	Jindřich ABDUL (24)
8	LIT	Gól	Maxim ČAJKOVIČ (8)
9	VIT	Neproměnil	Marcel BARINKA (91)</t>
  </si>
  <si>
    <t>34:22 Adam POLÁŠEK (2) (Matúš SUKEĽ (16),
								Filip SANDBERG (21))  (Oslabení 4 proti 5)</t>
  </si>
  <si>
    <t>29:00 Nicolas HLAVA (9) (David KAŠE (26),
								Matúš SUKEĽ (17))  (Přesilovka 5 na 3)</t>
  </si>
  <si>
    <t>58:37 Nicolas HLAVA (4) (Ondřej KAŠE (13),
								David KAŠE (13))  (5 na 5) (EN)</t>
  </si>
  <si>
    <t>59:53 Matúš SUKEĽ (8) (Petr KOBLASA (7),
								Filip SANDBERG (10))  (5 na 5) (EN)</t>
  </si>
  <si>
    <t>59:11 Josef JÍCHA (2) (Ondřej KAŠE (14),
								Matúš SUKEĽ (10))  (5 na 5) (EN)</t>
  </si>
  <si>
    <t>16:00 Michal GUT (1) (Petr KOBLASA (1))  (5 na 5)</t>
  </si>
  <si>
    <t>21:50 Axel HOLMSTRÖM (1) (František GAJDOŠ (1))  (5 na 5)</t>
  </si>
  <si>
    <t>23:33 Theodor PIŠTĚK (1)
GV (David KAŠE (2),
								Matúš SUKEĽ (2))  (Přesilovka 5 na 4)</t>
  </si>
  <si>
    <t>41:37 Maxim ČAJKOVIČ (1) (Ondřej BALÁŽ (1))  (5 na 5)</t>
  </si>
  <si>
    <t>26:10 Michal PLUTNAR (1) (Axel HOLMSTRÖM (1),
								Theodor PIŠTĚK (1))  (Přesilovka 5 na 4)</t>
  </si>
  <si>
    <t>37:35 Josef JÍCHA (1) (Adam POLÁŠEK (1),
								Maxim ČAJKOVIČ (2))  (5 na 5)</t>
  </si>
  <si>
    <t>38:13 Theodor PIŠTĚK (2) (Matěj MAŠTALÍŘSKÝ (1))  (5 na 5)</t>
  </si>
  <si>
    <t>55:23 Theodor PIŠTĚK (3)
GV (Adam POLÁŠEK (2),
								Pavel ČAJAN (1))  (5 na 5)</t>
  </si>
  <si>
    <t>12:18 Michal GUT (2) (Kevin CZUCZMAN (1))  (5 na 5)</t>
  </si>
  <si>
    <t>19:44 Markus HÄNNIKÄINEN (1) (Axel HOLMSTRÖM (3))  (5 na 5)</t>
  </si>
  <si>
    <t>27:19 Kevin CZUCZMAN (1) (Josef JÍCHA (1),
								Matěj MAŠTALÍŘSKÝ (2))  (5 na 5)</t>
  </si>
  <si>
    <t>57:13 Nicolas HLAVA (1) (Michal PLUTNAR (2),
								Petr KOBLASA (2))  (5 na 5)</t>
  </si>
  <si>
    <t>34:51 Petr KOBLASA (1) (Nicolas HLAVA (1),
								František GAJDOŠ (2))  (5 na 5)</t>
  </si>
  <si>
    <t>35:45 Jaroslav BROŽ (2) (Maxim ČAJKOVIČ (3),
								Kevin CZUCZMAN (2))  (5 na 5)</t>
  </si>
  <si>
    <t>55:26 Markus HÄNNIKÄINEN (2) ()  (5 na 5)</t>
  </si>
  <si>
    <t>07:32 Petr KOBLASA (2) (František GAJDOŠ (3))  (5 na 5)</t>
  </si>
  <si>
    <t>58:40 Theodor PIŠTĚK (4) (Matěj MAŠTALÍŘSKÝ (3))  (5 na 5)</t>
  </si>
  <si>
    <t>17:34 Maxim ČAJKOVIČ (2) (Ondřej JURČÍK (1),
								Ondřej KAŠE (1))  (5 na 5)</t>
  </si>
  <si>
    <t>56:35 Theodor PIŠTĚK (5) (Ondřej KAŠE (2))  (5 na 5)</t>
  </si>
  <si>
    <t>57:59 Jaroslav BROŽ (1) (Axel HOLMSTRÖM (2))  (5 na 5) (EN)</t>
  </si>
  <si>
    <t>00:53 Adam POLÁŠEK (2) (Petr KOBLASA (3),
								Markus HÄNNIKÄINEN (1))  (5 na 5)</t>
  </si>
  <si>
    <t>08:48 Nicolas HLAVA (2) (Michal PLUTNAR (3),
								Pawel ZYGMUNT (1))  (5 na 5)</t>
  </si>
  <si>
    <t>12:39 Matúš SUKEĽ (2) (Petr KOBLASA (4),
								Ondřej KAŠE (3))  (Přesilovka 4 na 3)</t>
  </si>
  <si>
    <t>36:30 Ondřej KAŠE (1) (David KAŠE (3),
								Adam POLÁŠEK (3))  (Přesilovka 5 na 4)</t>
  </si>
  <si>
    <t>58:02 Theodor PIŠTĚK (6) (Ondřej KAŠE (4))  (5 na 5)</t>
  </si>
  <si>
    <t>61:54 Ondřej KAŠE (2)
GV (
David KAŠE (4),
								Matúš SUKEĽ (3)
)  (Přesilovka 4 na 3)</t>
  </si>
  <si>
    <t>56:07 Marek BARÁNEK (1) (Jaroslav BROŽ (1),
								Nicolas HLAVA (2))  (5 na 5)</t>
  </si>
  <si>
    <t>21:33 David KAŠE (1)
GV (Ondřej KAŠE (5))  (Přesilovka 5 na 4)</t>
  </si>
  <si>
    <t>46:33 Nicolas HLAVA (3) (Ondřej KAŠE (6),
								David KAŠE (5))  (5 na 5)</t>
  </si>
  <si>
    <t>47:52 Josef JÍCHA (2) (Michal PLUTNAR (4),
								Quinn SCHMIEMANN (1))  (5 na 5)</t>
  </si>
  <si>
    <t>31:35 Ondřej KAŠE (3) (David KAŠE (6))  (Oslabení 4 proti 5)</t>
  </si>
  <si>
    <t>34:14 Markus HÄNNIKÄINEN (3) (David KAŠE (7),
								Vojtěch HUSINECKÝ (1))  (5 na 5)</t>
  </si>
  <si>
    <t>41:02 Petr KOBLASA (3) (Adam POLÁŠEK (4))  (5 na 5)</t>
  </si>
  <si>
    <t>62:59 David KAŠE (2)
GV (
Ondřej KAŠE (7),
								Kevin CZUCZMAN (3)
)  (3 na 3)</t>
  </si>
  <si>
    <t>02:13 Theodor PIŠTĚK (7) (Josef JÍCHA (2),
								Marek BARÁNEK (1))  (5 na 5)</t>
  </si>
  <si>
    <t>08:14 Ondřej JURČÍK (1) (Jaroslav BROŽ (2),
								Pawel ZYGMUNT (2))  (5 na 5)</t>
  </si>
  <si>
    <t>52:36 Petr KOBLASA (4) (Matúš SUKEĽ (4))  (5 na 5)</t>
  </si>
  <si>
    <t>11:08 Markus HÄNNIKÄINEN (4) (David KAŠE (8),
								Markuss KOMULS (1))  (Přesilovka 5 na 4)</t>
  </si>
  <si>
    <t>19:35 Ondřej JURČÍK (2) ()  (5 na 5)</t>
  </si>
  <si>
    <t>25:19 Ondřej KAŠE (4)
GV (František GAJDOŠ (4),
								Michal GUT (1))  (5 na 5)</t>
  </si>
  <si>
    <t>31:43 Matěj MAŠTALÍŘSKÝ (1) ()  (5 na 5)</t>
  </si>
  <si>
    <t>38:17 Markus HÄNNIKÄINEN (5) ()  (Oslabení 4 proti 5)</t>
  </si>
  <si>
    <t>36:00 Markuss KOMULS (1) (Ondřej KAŠE (8),
								Marek BARÁNEK (2))  (5 na 5)</t>
  </si>
  <si>
    <t>1	LIT	Neproměnil	Nicolas HLAVA (77)
2	KLA	Gól	Phil PIETRONIRO (37)
3	LIT	Gól	Markus HÄNNIKÄINEN (33)
4	KLA	Neproměnil	Niko OJAMÄKI (20)
5	LIT	Neproměnil	Ondřej KAŠE (73)
6	KLA	Neproměnil	Tristen Nelson ROBINS (93)
7	LIT	Neproměnil	David KAŠE (25)
8	KLA	Gól	Daniel AUDETTE (28)
9	LIT	Neproměnil	Theodor PIŠTĚK (34)</t>
  </si>
  <si>
    <t>08:27 David KAŠE (3) (Nicolas HLAVA (3),
								Ondřej KAŠE (9))  (5 na 5)</t>
  </si>
  <si>
    <t>12:08 David KAŠE (4) (Markuss KOMULS (2),
								Ondřej KAŠE (10))  (5 na 5)</t>
  </si>
  <si>
    <t>18:06 David KAŠE (5)
GV (Nicolas HLAVA (4),
								Ondřej KAŠE (11))  (5 na 5)</t>
  </si>
  <si>
    <t>34:25 Theodor PIŠTĚK (8) (Matěj MAŠTALÍŘSKÝ (4),
								Matúš SUKEĽ (5))  (Přesilovka 5 na 4)</t>
  </si>
  <si>
    <t>38:48 Jaroslav BROŽ (3) ()  (5 na 5)</t>
  </si>
  <si>
    <t>48:15 Nicolas HLAVA (4) (Ondřej KAŠE (12),
								František GAJDOŠ (5))  (5 na 5)</t>
  </si>
  <si>
    <t>42:57 David KAŠE (6) (Jaroslav BROŽ (3),
								Nicolas HLAVA (5))  (5 na 5)</t>
  </si>
  <si>
    <t>10:42 Markuss KOMULS (2) (Ondřej KAŠE (13))  (5 na 5)</t>
  </si>
  <si>
    <t>35:04 Pawel ZYGMUNT (1) ()  (5 na 5)</t>
  </si>
  <si>
    <t>10:30 Nicolas HLAVA (5) (Markus HÄNNIKÄINEN (2),
								David KAŠE (9))  (Přesilovka 5 na 4)</t>
  </si>
  <si>
    <t>18:06 Theodor PIŠTĚK (9) (Markuss KOMULS (3),
								Markus HÄNNIKÄINEN (3))  (5 na 5)</t>
  </si>
  <si>
    <t>57:01 Matúš SUKEĽ (3)
GV ()  (5 na 5)</t>
  </si>
  <si>
    <t>01:29 Matěj MAŠTALÍŘSKÝ (2) (Jaroslav BROŽ (4))  (5 na 5)</t>
  </si>
  <si>
    <t>14:40 Markus HÄNNIKÄINEN (6) (Matúš SUKEĽ (6))  (5 na 5)</t>
  </si>
  <si>
    <t>32:17 Matúš SUKEĽ (4)
GV (Ondřej KAŠE (14),
								Nicolas HLAVA (6))  (5 na 5)</t>
  </si>
  <si>
    <t>01:15 Jaroslav BROŽ (4) (Axel HOLMSTRÖM (4))  (5 na 5)</t>
  </si>
  <si>
    <t>19:33 Nicolas HLAVA (6) ()  (5 na 5)</t>
  </si>
  <si>
    <t>33:35 Ondřej KAŠE (5) (Adam POLÁŠEK (5))  (5 na 5)</t>
  </si>
  <si>
    <t>10:43 Axel HOLMSTRÖM (2) (Matěj MAŠTALÍŘSKÝ (5),
								Jaroslav BROŽ (5))  (5 na 5)</t>
  </si>
  <si>
    <t>15:36 Nicolas HLAVA (7)
GV (Matúš SUKEĽ (7))  (5 na 5)</t>
  </si>
  <si>
    <t>29:44 Vojtěch HUSINECKÝ (1) (Adam POLÁŠEK (6),
								Petr KOBLASA (5))  (5 na 5)</t>
  </si>
  <si>
    <t>37:30 Matúš SUKEĽ (5) (Theodor PIŠTĚK (2))  (5 na 5)</t>
  </si>
  <si>
    <t>45:46 Jan ŠPRYNAR (1) (Pawel ZYGMUNT (3))  (5 na 5)</t>
  </si>
  <si>
    <t>48:16 Matěj MAŠTALÍŘSKÝ (3) (Markus HÄNNIKÄINEN (4))  (Oslabení 4 proti 5)</t>
  </si>
  <si>
    <t>14:46 Petr ŠENKEŘÍK (1) (Markuss KOMULS (4),
								Markus HÄNNIKÄINEN (5))  (5 na 5)</t>
  </si>
  <si>
    <t>21:21 Theodor PIŠTĚK (10) (Axel HOLMSTRÖM (5),
								Markus HÄNNIKÄINEN (6))  (5 na 5)</t>
  </si>
  <si>
    <t>29:09 Ondřej KAŠE (6)
GV (Markus HÄNNIKÄINEN (7))  (Přesilovka 5 na 4)</t>
  </si>
  <si>
    <t>13:46 Matěj MAŠTALÍŘSKÝ (4) (Petr KOBLASA (6),
								Markuss KOMULS (5))  (Přesilovka 5 na 4)</t>
  </si>
  <si>
    <t>15:15 Ondřej JURČÍK (3)
GV (Jaroslav BROŽ (6),
								Matěj MAŠTALÍŘSKÝ (6))  (5 na 5)</t>
  </si>
  <si>
    <t>58:36 Axel HOLMSTRÖM (3) (Adam POLÁŠEK (7),
								Kevin CZUCZMAN (4))  (5 na 5) (EN)</t>
  </si>
  <si>
    <t>57:14 Ondřej KAŠE (7) (Nicolas HLAVA (7))  (5 na 5) (EN)</t>
  </si>
  <si>
    <t>09:33 Matěj MAŠTALÍŘSKÝ (5) (Kevin CZUCZMAN (5),
								Pavel ČAJAN (2))  (Oslabení 4 proti 5)</t>
  </si>
  <si>
    <t>45:28 Petr ŠENKEŘÍK (2) (Markus HÄNNIKÄINEN (8),
								Matěj MAŠTALÍŘSKÝ (7))  (5 na 5)</t>
  </si>
  <si>
    <t>12:24 Markus HÄNNIKÄINEN (7) (Adam POLÁŠEK (8),
								Michal PLUTNAR (5))  (4 na 4)</t>
  </si>
  <si>
    <t>31:16 Matúš SUKEĽ (6) (Maxim ČAJKOVIČ (4),
								Vojtěch HUSINECKÝ (2))  (5 na 5)</t>
  </si>
  <si>
    <t>43:42 Nicolas HLAVA (8) (Maxim ČAJKOVIČ (5),
								Matúš SUKEĽ (8))  (5 na 5)</t>
  </si>
  <si>
    <t>11:45 Ondřej KAŠE (8) (Petr ŠENKEŘÍK (4),
								Markus HÄNNIKÄINEN (9))  (Přesilovka 5 na 4)</t>
  </si>
  <si>
    <t>12:22 Ondřej JURČÍK (4)
GV (Petr KOBLASA (7),
								Pawel ZYGMUNT (4))  (5 na 5)</t>
  </si>
  <si>
    <t>58:50 Nicolas HLAVA (9) (Ondřej KAŠE (15))  (5 na 5) (EN)</t>
  </si>
  <si>
    <t>58:01 Matúš SUKEĽ (7) ()  (5 na 5) (EN)</t>
  </si>
  <si>
    <t>25:40 Pawel ZYGMUNT (2) (Quinn SCHMIEMANN (2),
								Petr ŠENKEŘÍK (5))  (5 na 5)</t>
  </si>
  <si>
    <t>47:01 Matěj MAŠTALÍŘSKÝ (6) (Matúš SUKEĽ (9),
								Maxim ČAJKOVIČ (6))  (Přesilovka 5 na 4)</t>
  </si>
  <si>
    <t>21:50 Ondřej JURČÍK (5) (Markuss KOMULS (6),
								Matěj MAŠTALÍŘSKÝ (8))  (5 na 5)</t>
  </si>
  <si>
    <t>33:10 Maxim ČAJKOVIČ (3) (Matúš SUKEĽ (10))  (5 na 5)</t>
  </si>
  <si>
    <t>58:34 Axel HOLMSTRÖM (4) (Markuss KOMULS (7),
								Petr ŠENKEŘÍK (6))  (5 na 5)</t>
  </si>
  <si>
    <t>23:30 Theodor PIŠTĚK (11) (Markus HÄNNIKÄINEN (10),
								Axel HOLMSTRÖM (6))  (5 na 5)</t>
  </si>
  <si>
    <t>53:21 Matěj MAŠTALÍŘSKÝ (7) ()  (5 na 5)</t>
  </si>
  <si>
    <t>49:51 Adam POLÁŠEK (3) (Ondřej KAŠE (16),
								Markuss KOMULS (8))  (5 na 5)</t>
  </si>
  <si>
    <t>29:39 Petr KOBLASA (5) (Petr ŠENKEŘÍK (7),
								David KAŠE (10))  (Přesilovka 5 na 4)</t>
  </si>
  <si>
    <t>37:05 Theodor PIŠTĚK (12) (Quinn SCHMIEMANN (3))  (Přesilovka 5 na 4)</t>
  </si>
  <si>
    <t>50:42 Petr KOBLASA (6) (Petr ŠENKEŘÍK (8),
								Matúš SUKEĽ (11))  (5 na 5)</t>
  </si>
  <si>
    <t>10:21 Maxim ČAJKOVIČ (4) (Petr KOBLASA (8),
								Kevin CZUCZMAN (6))  (5 na 5)</t>
  </si>
  <si>
    <t>41:22 Matúš SUKEĽ (8) (Ondřej BALÁŽ (2),
								Maxim ČAJKOVIČ (7))  (5 na 5)</t>
  </si>
  <si>
    <t>55:19 Matěj MAŠTALÍŘSKÝ (8) (Maxim ČAJKOVIČ (8),
								Kevin CZUCZMAN (7))  (Přesilovka 5 na 4)</t>
  </si>
  <si>
    <t>0:5; 1:5; 1:8</t>
  </si>
  <si>
    <t>M. Tomek (10. Čajan) – Baránek, Czuczman, Polášek (A), Husinecký, Plutnar, Gajdoš, Baláž – Koblasa, Sukeľ (C), O. Kaše (A) – Hännikäinen, Jícha, Hlava – Maštalířský, Jurčík, Pištěk – Čajkovič, Gut, Brož</t>
  </si>
  <si>
    <t>Čajan (M. Tomek) – Czuczman, Schmiemann, Husinecký, Polášek (A), Baránek, Plutnar, Gajdoš – Pištěk, O. Kaše (C), Koblasa – Hännikäinen, Jícha, Maštalířský – Brož, Jurčík (A), Čajkovič – Hlava, Šprynar</t>
  </si>
  <si>
    <t>Čajan (M. Tomek) – Baránek, Czuczman, Polášek (A), Husinecký, Plutnar, Gajdoš, Baláž – O. Kaše (C), D. Kaše (A), Pištěk – Koblasa, Gut, Hännikäinen – Čajkovič, Jurčík, Brož – Maštalířský, Zygmunt, Hlava</t>
  </si>
  <si>
    <t>M. Tomek (Čajan) – Czuczman, Baránek, Husinecký, Polášek, Gajdoš, Plutnar, Baláž – Pištěk, D. Kaše (A), O. Kaše (A) – Maštalířský, Sukeľ (C), Koblasa – Hännikäinen, Gut, Hlava – Zygmunt, Jurčík, Čajkovič – Brož</t>
  </si>
  <si>
    <t>M. Tomek (Čajan) – Baránek, Czuczman, Polášek, Husinecký, Plutnar, Gajdoš, Baláž – O. Kaše (A), D. Kaše (A), Pištěk – Čajkovič, Sukeľ (C), Maštalířský – Hlava, Gut, Brož – Jurčík, Zygmunt, Berka</t>
  </si>
  <si>
    <t>0:2; 1:2; 1:3; 3:3; 4:3pp</t>
  </si>
  <si>
    <t>Čajan (M. Tomek) – Czuczman, Schmiemann, Husinecký, Polášek, Baránek, Plutnar, Gajdoš – O. Kaše (A), D. Kaše (A), Hlava – Maštalířský, Sukeľ (C), Koblasa – Čajkovič, Gut, Pištěk – Brož, Jícha, Jurčík</t>
  </si>
  <si>
    <t>Čajan (M. Tomek) – Schmiemann, Plutnar, Polášek, Husinecký, Baránek, Gajdoš, Baláž – Hlava, D. Kaše (A), O. Kaše (A) – Koblasa, Sukeľ (C), Maštalířský – Pištěk, Gut, Čajkovič – Jurčík, Jícha, Hännikäinen</t>
  </si>
  <si>
    <t>0:2; 2:2; 2:3</t>
  </si>
  <si>
    <t xml:space="preserve">M. Tomek (Čajan) – Plutnar, Schmiemann, Husinecký, Polášek, Gajdoš, Baránek, Baláž – O. Kaše (A), D. Kaše (A), Hlava – Hännikäinen, Sukeľ (C), Koblasa – Čajkovič, Gut, Pištěk – Maštalířský, Jícha, Jurčík - Zygmunt </t>
  </si>
  <si>
    <t>M. Tomek (Čajan) – Schmiemann, Czuczman, Polášek, Komuls, Baránek, Plutnar, Husinecký – Hlava, D. Kaše (A), O. Kaše (A) – Koblasa, Sukeľ (C), Hännikäinen – Pištěk, Gut, Čajkovič – Jurčík, Jícha, Maštalířský – Brož</t>
  </si>
  <si>
    <t>0:1; 1:1; 1:2; 2:2; 3:2pp</t>
  </si>
  <si>
    <t>Čajan (M. Tomek) – Schmiemann, Czuczman, Polášek, Husinecký, Baránek, Komuls, Plutnar – Hlava, D. Kaše (A), O. Kaše (A) – Koblasa, Sukeľ (C), Hännikäinen – Pištěk, Brož, Čajkovič – Jurčík, Jícha, Maštalířský</t>
  </si>
  <si>
    <t>Čajan – Schmiemann, Czuczman, Polášek, Husinecký, Baránek, Komuls, Gajdoš – Hlava, D. Kaše, Pištěk – Koblasa, Sukeľ, Hännikäinen – Maštalířský, Jícha, Berka – Zygmunt, Jurčík, Brož</t>
  </si>
  <si>
    <t>1:0; 1:6; 2:6; 2:7</t>
  </si>
  <si>
    <t>M. Tomek (Čajan) – Czuczman, Plutnar, Husinecký, Schmiemann, Komuls, Baránek, Gajdoš – O. Kaše (A), D. Kaše (A), Hlava – Hännikäinen, Sukeľ (C), Koblasa – Pištěk, Gut, Maštalířský – Brož, Jurčík, Zygmunt – Jícha</t>
  </si>
  <si>
    <t>M. Tomek (Čajan) – Plutnar, Czuczman, Baránek, Husinecký, Gajdoš, Komuls, Baláž – Hlava, D. Kaše (A), O. Kaše (A) – Koblasa, Sukeľ (C), Hännikäinen – Maštalířský, Jícha, Pištěk – Zygmunt, Gut, Jurčík – Brož</t>
  </si>
  <si>
    <t>1:0; 1:1; 1:2sn</t>
  </si>
  <si>
    <t>M. Tomek (Čajan) – Czuczman, Schmiemann, Husinecký, Baránek, Komuls, Gajdoš, Baláž – O. Kaše (A), D. Kaše (A), Hlava – Hännikäinen, Sukeľ (C), Koblasa – Pištěk, Jícha, Maštalířský – Brož, Jurčík, Zygmunt</t>
  </si>
  <si>
    <t>Čajan (Adam Kubík) – Czuczman, Plutnar, Husinecký, Polášek, Komuls, Gajdoš, Baránek – O. Kaše (A), D. Kaše (A), Hlava – Hännikäinen, Sukeľ (C), Koblasa – Šprynar, Jícha, Pištěk – Brož, Jurčík, Zygmunt</t>
  </si>
  <si>
    <t>Čajan (Adam Kubík) – Czuczman, Schmiemann, Husinecký, Polášek, Komuls, Baránek, Plutnar – O. Kaše (A), D. Kaše (A), Hlava – Hännikäinen, Sukeľ (C), Pištěk – Brož, Jurčík, Zygmunt – Koblasa, Šprynar</t>
  </si>
  <si>
    <t>Čajan (Kubík) – Czuczman, Schmiemann, Husinecký, Polášek, Komuls, Gajdoš, Plutnar – O. Kaše (A), D. Kaše (A), Hlava – Hännikäinen, Sukeľ (C), Pištěk – Maštalířský, Holmström, Brož – Jurčík, Jícha, Koblasa – Zygmunt</t>
  </si>
  <si>
    <t>Čajan (M. Tomek) – Schmiemann, Czuczman, Polášek (A), Husinecký, Gajdoš, Komuls, Plutnar, Šenkeřík – Hlava, Sukeľ (C), O. Kaše (A) – Pištěk, Jícha, Hännikäinen – Brož, Holmström, Maštalířský – Koblasa, Jurčík, Zygmunt</t>
  </si>
  <si>
    <t>M. Tomek (Adam Kubík) – Schmiemann, Czuczman, Polášek (A), Husinecký, Šenkeřík, Komuls, Plutnar – Hlava, Sukeľ (C), O. Kaše (A) – Pištěk, Bednařík, Hännikäinen – Brož, Holmström, Maštalířský – Koblasa, Jurčík, Zygmunt – Šprynar</t>
  </si>
  <si>
    <t>Tomek (Kubík) – Czuczman, Schmiemann, Husinecký, Polášek (A), Komuls, Šenkeřík, Plutnar – O. Kaše (A), Sukeľ (C), Hlava – Hännikäinen, Bednařík, Pištěk – Maštalířský, Holmström, Brož – Zygmunt, Jurčík, Koblasa – Šprynar</t>
  </si>
  <si>
    <t>M. Tomek (Adam Kubík) – Czuczman, Schmiemann, Husinecký, Polášek (A), Komuls, Šenkeřík, Plutnar – O. Kaše (A), Sukeľ (C), Hlava – Hännikäinen, Bednařík, Pištěk – Maštalířský, Holmström, Brož – Zygmunt, Jurčík, Koblasa – Šprynar.</t>
  </si>
  <si>
    <t>Čajan (Adam Kubík) – Plutnar, Czuczman (A), Schmiemann, Husinecký, Šenkeřík, Komuls, Baránek – Hlava (A), Sukeľ (C), Koblasa – Pištěk, Bednařík, Hännikäinen – Brož, Holmström, Maštalířský – Šprynar, Zygmunt, Berka</t>
  </si>
  <si>
    <t>M. Tomek (41. Adam Kubík) – Czuczman, Schmiemann, Husinecký, Polášek (A), Gajdoš, Šenkeřík, Plutnar – Čajkovič, Sukeľ (C), Hlava – Hännikäinen, Jícha, Pištěk – Maštalířský, Holmström, Jaroslav Brož – Zygmunt, Jurčík, Koblasa – Šprynar</t>
  </si>
  <si>
    <t>Čajan (M. Tomek) – Plutnar, Schmiemann, Husinecký, Polášek (A), Komuls, Šenkeřík, Baránek – Čajkovič, Sukeľ (C), Hlava – Hännikäinen, Jícha, Pištěk – Maštalířský, Holmström, Jaroslav Brož – Zygmunt, Jurčík, Koblasa – Šprynar</t>
  </si>
  <si>
    <t>Čajan (M. Tomek) – Schmiemann, Czuczman, Polášek (A), Husinecký, Šenkeřík, Komuls, Plutnar – Hlava, Sukeľ (C), O. Kaše (A) – Pištěk, Jícha, Hännikäinen – Maštalířský, Holmström, Šprynar – Koblasa, Jurčík, Zygmunt – Brož</t>
  </si>
  <si>
    <t>3:0; 3:1; 5:1; 5:2; 6:2</t>
  </si>
  <si>
    <t>0:1; 2:1; 2:2; 3:2</t>
  </si>
  <si>
    <t>1:0; 1:1; 2:1; 2:2; 3:2</t>
  </si>
  <si>
    <t>1:0; 1:1; 2:1; 2:2; 3:2; 3:3; 3:4pp</t>
  </si>
  <si>
    <t xml:space="preserve"> Axela Holmström neproměnil TS</t>
  </si>
  <si>
    <t>0:1; 1:1; 1:8</t>
  </si>
  <si>
    <t>60. Koblasa (Jícha) (EN)</t>
  </si>
  <si>
    <t>Zajíček (Neužil) – D. Kolář, Irving, Demel, Strejček, Hrbas, O. Baláž, Stříteský – Zygmunt, Estephan, P. Zdráhal – Kudrna, Sukeľ, Jarůšek – P. Straka, V. Hübl, Fronk – M. Havelka, Gerhát, P. Svoboda.</t>
  </si>
  <si>
    <t>53</t>
  </si>
  <si>
    <t>54</t>
  </si>
  <si>
    <t>55</t>
  </si>
  <si>
    <t>56</t>
  </si>
  <si>
    <t>57</t>
  </si>
  <si>
    <t>58</t>
  </si>
  <si>
    <t>59</t>
  </si>
  <si>
    <t>60</t>
  </si>
  <si>
    <t>Petrásek (Janus) – Trončinský, Strejček, L. Doudera, Ščotka, Graborenko, Šesták – Petružálek (A), V. Hübl (A), F. Lukeš – Kašpar, J. Mikúš, Válek – Jurčík, M. Hanzl, Trávníček (C) – Jícha, M. Havelka, Helt  odvolán Razým</t>
  </si>
  <si>
    <t>Stav série 1:1</t>
  </si>
  <si>
    <t>Stav série 1:2</t>
  </si>
  <si>
    <t>Stav série 1:3</t>
  </si>
  <si>
    <t>M. Tomek – Strejček, Zile, D. Zeman, Freibergs, Jaks, Demel (A), Šalda – Abdul, Sukeľ (C), Kudrna – Zdráhal (A), Estephan, Š. Stránský – Hlava, Gut, Straka – Zygmunt, Jurčík, Havelka.</t>
  </si>
  <si>
    <t>M. Tomek – Strejček, Zile, D. Zeman, Freibergs, Jaks, Demel (A), Šalda – Abdul, Sukeľ (C), Kudrna – Zdráhal (A), Estephan, Š. Stránský – Hlava, Gut, Straka – Zygmunt, Jurčík, Havelka</t>
  </si>
  <si>
    <t>Zajíček (M. Tomek) – Zile, Strejček, Šalda, D. Zeman, Demel, Jaks, Freibergs – Kudrna, Sukeľ (C), Abdul – Š. Stránský, Estephan, Zdráhal – Helt, Gut, Hlava – Havelka, Jurčík, Zygmunt.</t>
  </si>
  <si>
    <t>Godla (Zajíček) – Irving, Ščotka (A), Balinskis, Cibulskis, Demel, D. Zeman, Kudla – P. Zdráhal, M. Hanzl (A), Jarůšek – Pospíšil, Žejdl, F. Lukeš (C) – P. Svoboda, Gerhát, Látal – M. Havelka, Helt, Zygmunt.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</si>
</sst>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405]mmmm\ yy;@"/>
    <numFmt numFmtId="165" formatCode="yyyy"/>
    <numFmt numFmtId="166" formatCode="0.000"/>
    <numFmt numFmtId="167" formatCode="h:m"/>
    <numFmt numFmtId="168" formatCode="[h]:mm"/>
    <numFmt numFmtId="169" formatCode="[h]:m"/>
    <numFmt numFmtId="170" formatCode="mmm\ dd"/>
    <numFmt numFmtId="171" formatCode="hh:mm"/>
    <numFmt numFmtId="172" formatCode="0.0"/>
    <numFmt numFmtId="173" formatCode="d/m/yyyy"/>
    <numFmt numFmtId="174" formatCode="0.0000"/>
    <numFmt numFmtId="175" formatCode="[$-F400]h:mm:ss\ AM/PM"/>
    <numFmt numFmtId="176" formatCode="#,##0.0"/>
  </numFmts>
  <fonts count="84" x14ac:knownFonts="1">
    <font>
      <sz val="11"/>
      <color theme="1"/>
      <name val="Calibri"/>
      <family val="2"/>
      <charset val="238"/>
      <scheme val="minor"/>
    </font>
    <font>
      <sz val="11"/>
      <color rgb="FF333333"/>
      <name val="Arial"/>
      <family val="2"/>
      <charset val="238"/>
    </font>
    <font>
      <b/>
      <sz val="11"/>
      <color rgb="FF333333"/>
      <name val="Arial"/>
      <family val="2"/>
      <charset val="238"/>
    </font>
    <font>
      <sz val="11"/>
      <color theme="1"/>
      <name val="Calibri"/>
      <family val="2"/>
      <scheme val="minor"/>
    </font>
    <font>
      <sz val="9.9"/>
      <color theme="1"/>
      <name val="Calibri"/>
      <family val="2"/>
      <scheme val="minor"/>
    </font>
    <font>
      <b/>
      <sz val="8.8000000000000007"/>
      <color rgb="FF001626"/>
      <name val="Calibri"/>
      <family val="2"/>
      <scheme val="minor"/>
    </font>
    <font>
      <b/>
      <sz val="18"/>
      <color theme="1"/>
      <name val="Calibri"/>
      <family val="2"/>
      <charset val="238"/>
      <scheme val="minor"/>
    </font>
    <font>
      <b/>
      <sz val="8.8000000000000007"/>
      <color rgb="FF001626"/>
      <name val="Calibri"/>
      <family val="2"/>
      <charset val="238"/>
      <scheme val="minor"/>
    </font>
    <font>
      <sz val="9.9"/>
      <color theme="1"/>
      <name val="Calibri"/>
      <family val="2"/>
      <charset val="238"/>
      <scheme val="minor"/>
    </font>
    <font>
      <u/>
      <sz val="11"/>
      <color theme="10"/>
      <name val="Calibri"/>
      <family val="2"/>
      <charset val="238"/>
      <scheme val="minor"/>
    </font>
    <font>
      <sz val="10"/>
      <name val="Arial"/>
      <family val="2"/>
      <charset val="238"/>
    </font>
    <font>
      <b/>
      <sz val="10"/>
      <color theme="4" tint="-0.249977111117893"/>
      <name val="Arial"/>
      <family val="2"/>
      <charset val="238"/>
    </font>
    <font>
      <b/>
      <sz val="10"/>
      <name val="Arial"/>
      <family val="2"/>
      <charset val="238"/>
    </font>
    <font>
      <sz val="9"/>
      <color indexed="8"/>
      <name val="Arial"/>
      <family val="2"/>
      <charset val="238"/>
    </font>
    <font>
      <i/>
      <sz val="10"/>
      <name val="Arial"/>
      <family val="2"/>
      <charset val="238"/>
    </font>
    <font>
      <sz val="11"/>
      <name val="Arial"/>
      <family val="2"/>
      <charset val="238"/>
    </font>
    <font>
      <b/>
      <sz val="11"/>
      <color theme="1"/>
      <name val="Calibri"/>
      <family val="2"/>
      <charset val="238"/>
      <scheme val="minor"/>
    </font>
    <font>
      <sz val="11"/>
      <color rgb="FFFF0000"/>
      <name val="Calibri"/>
      <family val="2"/>
      <charset val="238"/>
      <scheme val="minor"/>
    </font>
    <font>
      <sz val="14"/>
      <color theme="1"/>
      <name val="Calibri"/>
      <family val="2"/>
      <charset val="238"/>
      <scheme val="minor"/>
    </font>
    <font>
      <b/>
      <sz val="9.9"/>
      <color theme="1"/>
      <name val="Calibri"/>
      <family val="2"/>
      <charset val="238"/>
      <scheme val="minor"/>
    </font>
    <font>
      <b/>
      <i/>
      <sz val="11"/>
      <color theme="1"/>
      <name val="Calibri"/>
      <family val="2"/>
      <charset val="238"/>
      <scheme val="minor"/>
    </font>
    <font>
      <b/>
      <sz val="14.3"/>
      <color theme="1"/>
      <name val="Arial"/>
      <family val="2"/>
      <charset val="238"/>
    </font>
    <font>
      <b/>
      <sz val="14"/>
      <color theme="1"/>
      <name val="Calibri"/>
      <family val="2"/>
      <charset val="238"/>
      <scheme val="minor"/>
    </font>
    <font>
      <sz val="11"/>
      <name val="Calibri"/>
      <family val="2"/>
      <charset val="238"/>
      <scheme val="minor"/>
    </font>
    <font>
      <sz val="11"/>
      <color rgb="FF212529"/>
      <name val="Segoe UI"/>
      <family val="2"/>
      <charset val="238"/>
    </font>
    <font>
      <b/>
      <sz val="9"/>
      <color indexed="81"/>
      <name val="Tahoma"/>
      <family val="2"/>
      <charset val="238"/>
    </font>
    <font>
      <sz val="9"/>
      <color indexed="81"/>
      <name val="Tahoma"/>
      <family val="2"/>
      <charset val="238"/>
    </font>
    <font>
      <sz val="11"/>
      <color rgb="FF212529"/>
      <name val="Arial"/>
      <family val="2"/>
      <charset val="238"/>
    </font>
    <font>
      <sz val="11"/>
      <name val="Calibri"/>
      <family val="2"/>
      <charset val="238"/>
      <scheme val="minor"/>
    </font>
    <font>
      <b/>
      <sz val="11"/>
      <color theme="0"/>
      <name val="Calibri"/>
      <family val="2"/>
      <charset val="238"/>
      <scheme val="minor"/>
    </font>
    <font>
      <sz val="16"/>
      <color theme="1"/>
      <name val="Calibri"/>
      <family val="2"/>
      <charset val="238"/>
      <scheme val="minor"/>
    </font>
    <font>
      <sz val="11"/>
      <color theme="1"/>
      <name val="Arial"/>
      <family val="2"/>
      <charset val="238"/>
    </font>
    <font>
      <sz val="6"/>
      <color rgb="FF1681C9"/>
      <name val="Arial"/>
      <family val="2"/>
      <charset val="238"/>
    </font>
    <font>
      <i/>
      <sz val="11"/>
      <color theme="4"/>
      <name val="Calibri"/>
      <family val="2"/>
      <charset val="238"/>
      <scheme val="minor"/>
    </font>
    <font>
      <sz val="10"/>
      <color theme="1"/>
      <name val="Calibri"/>
      <family val="2"/>
      <charset val="238"/>
      <scheme val="minor"/>
    </font>
    <font>
      <b/>
      <sz val="10"/>
      <color rgb="FF001626"/>
      <name val="Calibri"/>
      <family val="2"/>
      <charset val="238"/>
      <scheme val="minor"/>
    </font>
    <font>
      <sz val="10"/>
      <color rgb="FF333333"/>
      <name val="Calibri"/>
      <family val="2"/>
      <charset val="238"/>
      <scheme val="minor"/>
    </font>
    <font>
      <sz val="11"/>
      <color rgb="FFCA3136"/>
      <name val="Arial"/>
      <family val="2"/>
      <charset val="238"/>
    </font>
    <font>
      <b/>
      <sz val="11"/>
      <color rgb="FFCA3136"/>
      <name val="Arial"/>
      <family val="2"/>
      <charset val="238"/>
    </font>
    <font>
      <sz val="11"/>
      <color rgb="FF333333"/>
      <name val="Calibri"/>
      <family val="2"/>
      <charset val="238"/>
      <scheme val="minor"/>
    </font>
    <font>
      <i/>
      <sz val="9"/>
      <color theme="1"/>
      <name val="Calibri"/>
      <family val="2"/>
      <charset val="238"/>
      <scheme val="minor"/>
    </font>
    <font>
      <sz val="11"/>
      <name val="Calibri"/>
      <family val="2"/>
      <charset val="238"/>
      <scheme val="minor"/>
    </font>
    <font>
      <b/>
      <sz val="8.8000000000000007"/>
      <color rgb="FF001626"/>
      <name val="Arial"/>
      <family val="2"/>
      <charset val="238"/>
    </font>
    <font>
      <sz val="9.9"/>
      <color theme="1"/>
      <name val="Arial"/>
      <family val="2"/>
      <charset val="238"/>
    </font>
    <font>
      <b/>
      <sz val="9.9"/>
      <color theme="1"/>
      <name val="Arial"/>
      <family val="2"/>
      <charset val="238"/>
    </font>
    <font>
      <sz val="11"/>
      <color rgb="FF212529"/>
      <name val="Calibri"/>
      <family val="2"/>
      <charset val="238"/>
      <scheme val="minor"/>
    </font>
    <font>
      <sz val="10"/>
      <color theme="1"/>
      <name val="Arial"/>
      <family val="2"/>
      <charset val="238"/>
    </font>
    <font>
      <sz val="9"/>
      <color rgb="FF333333"/>
      <name val="Arial"/>
      <family val="2"/>
      <charset val="238"/>
    </font>
    <font>
      <sz val="9"/>
      <color rgb="FF337AB7"/>
      <name val="Arial"/>
      <family val="2"/>
      <charset val="238"/>
    </font>
    <font>
      <b/>
      <sz val="9"/>
      <color rgb="FF333333"/>
      <name val="Arial"/>
      <family val="2"/>
      <charset val="238"/>
    </font>
    <font>
      <sz val="10"/>
      <color rgb="FF001626"/>
      <name val="Arial"/>
      <family val="2"/>
      <charset val="238"/>
    </font>
    <font>
      <b/>
      <sz val="9"/>
      <color rgb="FF337AB7"/>
      <name val="Arial"/>
      <family val="2"/>
      <charset val="238"/>
    </font>
    <font>
      <sz val="11"/>
      <name val="Calibri"/>
      <family val="2"/>
      <charset val="238"/>
      <scheme val="minor"/>
    </font>
    <font>
      <sz val="9"/>
      <color rgb="FF333333"/>
      <name val="Arial"/>
      <family val="2"/>
      <charset val="238"/>
    </font>
    <font>
      <sz val="9"/>
      <color rgb="FF337AB7"/>
      <name val="Arial"/>
      <family val="2"/>
      <charset val="238"/>
    </font>
    <font>
      <b/>
      <sz val="9"/>
      <color rgb="FF333333"/>
      <name val="Arial"/>
      <family val="2"/>
      <charset val="238"/>
    </font>
    <font>
      <b/>
      <sz val="9"/>
      <color rgb="FF337AB7"/>
      <name val="Arial"/>
      <family val="2"/>
      <charset val="238"/>
    </font>
    <font>
      <sz val="9"/>
      <color rgb="FFCA3136"/>
      <name val="Arial"/>
      <family val="2"/>
      <charset val="238"/>
    </font>
    <font>
      <b/>
      <sz val="9"/>
      <color rgb="FFCA3136"/>
      <name val="Arial"/>
      <family val="2"/>
      <charset val="238"/>
    </font>
    <font>
      <sz val="9"/>
      <color rgb="FF333333"/>
      <name val="Arial"/>
      <family val="2"/>
      <charset val="238"/>
    </font>
    <font>
      <b/>
      <sz val="9"/>
      <color rgb="FF333333"/>
      <name val="Arial"/>
      <family val="2"/>
      <charset val="238"/>
    </font>
    <font>
      <sz val="11"/>
      <color rgb="FF001626"/>
      <name val="Arial"/>
      <family val="2"/>
      <charset val="238"/>
    </font>
    <font>
      <b/>
      <sz val="8"/>
      <color rgb="FF001726"/>
      <name val="Arial"/>
      <family val="2"/>
      <charset val="238"/>
    </font>
    <font>
      <b/>
      <sz val="15"/>
      <color rgb="FF001626"/>
      <name val="Arial"/>
      <family val="2"/>
      <charset val="238"/>
    </font>
    <font>
      <b/>
      <sz val="10"/>
      <color rgb="FF001626"/>
      <name val="Arial"/>
      <family val="2"/>
      <charset val="238"/>
    </font>
    <font>
      <b/>
      <sz val="10.1"/>
      <color rgb="FFFFFFFF"/>
      <name val="Arial"/>
      <family val="2"/>
      <charset val="238"/>
    </font>
    <font>
      <sz val="9.9"/>
      <color rgb="FF001626"/>
      <name val="Arial"/>
      <family val="2"/>
      <charset val="238"/>
    </font>
    <font>
      <b/>
      <sz val="9.9"/>
      <color rgb="FF001626"/>
      <name val="Arial"/>
      <family val="2"/>
      <charset val="238"/>
    </font>
    <font>
      <sz val="9"/>
      <color rgb="FF333333"/>
      <name val="Arial"/>
      <family val="2"/>
      <charset val="238"/>
    </font>
    <font>
      <sz val="9"/>
      <color rgb="FF337AB7"/>
      <name val="Arial"/>
      <family val="2"/>
      <charset val="238"/>
    </font>
    <font>
      <b/>
      <sz val="9"/>
      <color rgb="FF333333"/>
      <name val="Arial"/>
      <family val="2"/>
      <charset val="238"/>
    </font>
    <font>
      <sz val="9"/>
      <color rgb="FFCA3136"/>
      <name val="Arial"/>
      <family val="2"/>
      <charset val="238"/>
    </font>
    <font>
      <b/>
      <sz val="9"/>
      <color rgb="FFCA3136"/>
      <name val="Arial"/>
      <family val="2"/>
      <charset val="238"/>
    </font>
    <font>
      <b/>
      <sz val="9"/>
      <color rgb="FF337AB7"/>
      <name val="Arial"/>
      <family val="2"/>
      <charset val="238"/>
    </font>
    <font>
      <sz val="9"/>
      <color rgb="FF337AB7"/>
      <name val="Arial"/>
      <family val="2"/>
      <charset val="238"/>
    </font>
    <font>
      <b/>
      <sz val="9"/>
      <color rgb="FF337AB7"/>
      <name val="Arial"/>
      <family val="2"/>
      <charset val="238"/>
    </font>
    <font>
      <sz val="9"/>
      <color rgb="FF333333"/>
      <name val="Arial"/>
      <family val="2"/>
      <charset val="238"/>
    </font>
    <font>
      <b/>
      <sz val="9"/>
      <color rgb="FF333333"/>
      <name val="Arial"/>
      <family val="2"/>
      <charset val="238"/>
    </font>
    <font>
      <sz val="12"/>
      <color theme="1"/>
      <name val="Arial"/>
      <family val="2"/>
      <charset val="238"/>
    </font>
    <font>
      <sz val="8"/>
      <name val="Calibri"/>
      <family val="2"/>
      <charset val="238"/>
      <scheme val="minor"/>
    </font>
    <font>
      <sz val="11"/>
      <name val="Calibri"/>
      <family val="2"/>
      <charset val="238"/>
      <scheme val="minor"/>
    </font>
    <font>
      <sz val="11"/>
      <name val="Calibri"/>
      <family val="2"/>
      <scheme val="minor"/>
    </font>
    <font>
      <b/>
      <sz val="11"/>
      <name val="Calibri"/>
      <family val="2"/>
      <charset val="238"/>
      <scheme val="minor"/>
    </font>
    <font>
      <i/>
      <sz val="11"/>
      <color theme="1"/>
      <name val="Calibri"/>
      <family val="2"/>
      <charset val="238"/>
      <scheme val="minor"/>
    </font>
  </fonts>
  <fills count="33">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rgb="FFFFFFFF"/>
        <bgColor indexed="64"/>
      </patternFill>
    </fill>
    <fill>
      <patternFill patternType="solid">
        <fgColor rgb="FFF2F5F7"/>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92D05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FFC000"/>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rgb="FF00B0F0"/>
        <bgColor indexed="64"/>
      </patternFill>
    </fill>
    <fill>
      <patternFill patternType="solid">
        <fgColor theme="4" tint="0.79998168889431442"/>
        <bgColor theme="4" tint="0.79998168889431442"/>
      </patternFill>
    </fill>
    <fill>
      <patternFill patternType="solid">
        <fgColor theme="6"/>
        <bgColor theme="6"/>
      </patternFill>
    </fill>
    <fill>
      <patternFill patternType="solid">
        <fgColor theme="0"/>
        <bgColor theme="4" tint="0.79998168889431442"/>
      </patternFill>
    </fill>
    <fill>
      <patternFill patternType="solid">
        <fgColor theme="0"/>
        <bgColor indexed="64"/>
      </patternFill>
    </fill>
    <fill>
      <patternFill patternType="solid">
        <fgColor rgb="FFF7F9FC"/>
        <bgColor indexed="64"/>
      </patternFill>
    </fill>
    <fill>
      <patternFill patternType="solid">
        <fgColor rgb="FFECF1F3"/>
        <bgColor indexed="64"/>
      </patternFill>
    </fill>
    <fill>
      <patternFill patternType="solid">
        <fgColor theme="8" tint="0.59999389629810485"/>
        <bgColor indexed="64"/>
      </patternFill>
    </fill>
    <fill>
      <patternFill patternType="solid">
        <fgColor theme="0" tint="-0.14999847407452621"/>
        <bgColor indexed="64"/>
      </patternFill>
    </fill>
    <fill>
      <patternFill patternType="solid">
        <fgColor theme="3" tint="0.39997558519241921"/>
        <bgColor indexed="64"/>
      </patternFill>
    </fill>
    <fill>
      <patternFill patternType="solid">
        <fgColor rgb="FFFAFAFA"/>
        <bgColor indexed="64"/>
      </patternFill>
    </fill>
    <fill>
      <patternFill patternType="solid">
        <fgColor rgb="FF00AEEF"/>
        <bgColor indexed="64"/>
      </patternFill>
    </fill>
    <fill>
      <patternFill patternType="solid">
        <fgColor theme="4"/>
        <bgColor theme="4"/>
      </patternFill>
    </fill>
  </fills>
  <borders count="120">
    <border>
      <left/>
      <right/>
      <top/>
      <bottom/>
      <diagonal/>
    </border>
    <border>
      <left/>
      <right style="medium">
        <color indexed="64"/>
      </right>
      <top/>
      <bottom/>
      <diagonal/>
    </border>
    <border>
      <left style="medium">
        <color indexed="64"/>
      </left>
      <right/>
      <top/>
      <bottom/>
      <diagonal/>
    </border>
    <border>
      <left/>
      <right/>
      <top style="medium">
        <color rgb="FFD5DBE1"/>
      </top>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
        <color rgb="FFD5DBE1"/>
      </top>
      <bottom/>
      <diagonal/>
    </border>
    <border>
      <left/>
      <right style="medium">
        <color indexed="64"/>
      </right>
      <top style="medium">
        <color rgb="FFD5DBE1"/>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thin">
        <color indexed="64"/>
      </left>
      <right style="medium">
        <color indexed="64"/>
      </right>
      <top style="medium">
        <color indexed="64"/>
      </top>
      <bottom/>
      <diagonal/>
    </border>
    <border>
      <left/>
      <right/>
      <top style="thin">
        <color indexed="64"/>
      </top>
      <bottom style="medium">
        <color indexed="64"/>
      </bottom>
      <diagonal/>
    </border>
    <border>
      <left style="thin">
        <color indexed="64"/>
      </left>
      <right style="medium">
        <color indexed="64"/>
      </right>
      <top/>
      <bottom style="medium">
        <color indexed="64"/>
      </bottom>
      <diagonal/>
    </border>
    <border>
      <left style="thin">
        <color indexed="64"/>
      </left>
      <right/>
      <top style="medium">
        <color indexed="64"/>
      </top>
      <bottom style="thin">
        <color indexed="64"/>
      </bottom>
      <diagonal/>
    </border>
    <border>
      <left style="thin">
        <color indexed="64"/>
      </left>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right style="thin">
        <color indexed="64"/>
      </right>
      <top/>
      <bottom style="medium">
        <color indexed="64"/>
      </bottom>
      <diagonal/>
    </border>
    <border>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double">
        <color theme="6"/>
      </top>
      <bottom style="medium">
        <color indexed="64"/>
      </bottom>
      <diagonal/>
    </border>
    <border>
      <left/>
      <right style="medium">
        <color indexed="64"/>
      </right>
      <top style="double">
        <color theme="6"/>
      </top>
      <bottom style="medium">
        <color indexed="64"/>
      </bottom>
      <diagonal/>
    </border>
    <border>
      <left/>
      <right/>
      <top/>
      <bottom style="medium">
        <color rgb="FFD5DBE1"/>
      </bottom>
      <diagonal/>
    </border>
    <border>
      <left/>
      <right/>
      <top/>
      <bottom style="thick">
        <color rgb="FFD5DBE1"/>
      </bottom>
      <diagonal/>
    </border>
    <border>
      <left/>
      <right/>
      <top/>
      <bottom style="medium">
        <color rgb="FF001626"/>
      </bottom>
      <diagonal/>
    </border>
    <border>
      <left style="thin">
        <color theme="4" tint="0.39997558519241921"/>
      </left>
      <right/>
      <top style="double">
        <color theme="4"/>
      </top>
      <bottom style="thin">
        <color theme="4" tint="0.39997558519241921"/>
      </bottom>
      <diagonal/>
    </border>
    <border>
      <left/>
      <right/>
      <top style="double">
        <color theme="4"/>
      </top>
      <bottom style="thin">
        <color theme="4" tint="0.39997558519241921"/>
      </bottom>
      <diagonal/>
    </border>
    <border>
      <left style="thin">
        <color indexed="64"/>
      </left>
      <right style="medium">
        <color indexed="64"/>
      </right>
      <top/>
      <bottom/>
      <diagonal/>
    </border>
    <border>
      <left style="thin">
        <color indexed="64"/>
      </left>
      <right style="thin">
        <color indexed="64"/>
      </right>
      <top/>
      <bottom/>
      <diagonal/>
    </border>
    <border>
      <left style="thin">
        <color theme="6"/>
      </left>
      <right/>
      <top style="thin">
        <color theme="6"/>
      </top>
      <bottom/>
      <diagonal/>
    </border>
    <border>
      <left/>
      <right/>
      <top style="thin">
        <color theme="6"/>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top/>
      <bottom style="medium">
        <color rgb="FFF1F1F1"/>
      </bottom>
      <diagonal/>
    </border>
    <border>
      <left style="thin">
        <color theme="9"/>
      </left>
      <right/>
      <top style="thin">
        <color theme="9"/>
      </top>
      <bottom/>
      <diagonal/>
    </border>
    <border>
      <left/>
      <right/>
      <top style="thin">
        <color theme="9"/>
      </top>
      <bottom/>
      <diagonal/>
    </border>
    <border>
      <left/>
      <right style="thin">
        <color theme="6"/>
      </right>
      <top style="thin">
        <color theme="6"/>
      </top>
      <bottom/>
      <diagonal/>
    </border>
    <border>
      <left/>
      <right/>
      <top/>
      <bottom style="thin">
        <color theme="6"/>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rgb="FFCCCCCC"/>
      </left>
      <right/>
      <top/>
      <bottom/>
      <diagonal/>
    </border>
    <border>
      <left/>
      <right style="medium">
        <color rgb="FFCCCCCC"/>
      </right>
      <top/>
      <bottom/>
      <diagonal/>
    </border>
    <border>
      <left style="medium">
        <color rgb="FFCCCCCC"/>
      </left>
      <right/>
      <top/>
      <bottom style="medium">
        <color rgb="FFCCCCCC"/>
      </bottom>
      <diagonal/>
    </border>
    <border>
      <left/>
      <right/>
      <top/>
      <bottom style="medium">
        <color rgb="FFCCCCCC"/>
      </bottom>
      <diagonal/>
    </border>
    <border>
      <left/>
      <right style="medium">
        <color rgb="FFCCCCCC"/>
      </right>
      <top/>
      <bottom style="medium">
        <color rgb="FFCCCCCC"/>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thin">
        <color theme="4"/>
      </top>
      <bottom/>
      <diagonal/>
    </border>
    <border>
      <left/>
      <right/>
      <top style="thick">
        <color rgb="FF7C8EA1"/>
      </top>
      <bottom/>
      <diagonal/>
    </border>
    <border>
      <left/>
      <right/>
      <top style="medium">
        <color rgb="FFD5DBE1"/>
      </top>
      <bottom style="thick">
        <color rgb="FF7C8EA1"/>
      </bottom>
      <diagonal/>
    </border>
    <border>
      <left style="thin">
        <color indexed="64"/>
      </left>
      <right style="thin">
        <color indexed="64"/>
      </right>
      <top/>
      <bottom style="medium">
        <color indexed="64"/>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top style="medium">
        <color rgb="FF7C8EA1"/>
      </top>
      <bottom/>
      <diagonal/>
    </border>
    <border>
      <left/>
      <right/>
      <top style="medium">
        <color rgb="FFD5DBE1"/>
      </top>
      <bottom style="medium">
        <color rgb="FF7C8EA1"/>
      </bottom>
      <diagonal/>
    </border>
    <border>
      <left style="medium">
        <color indexed="64"/>
      </left>
      <right/>
      <top style="medium">
        <color rgb="FFD5DBE1"/>
      </top>
      <bottom style="medium">
        <color indexed="64"/>
      </bottom>
      <diagonal/>
    </border>
    <border>
      <left/>
      <right/>
      <top style="medium">
        <color rgb="FFD5DBE1"/>
      </top>
      <bottom style="medium">
        <color indexed="64"/>
      </bottom>
      <diagonal/>
    </border>
    <border>
      <left/>
      <right style="medium">
        <color indexed="64"/>
      </right>
      <top style="medium">
        <color rgb="FFD5DBE1"/>
      </top>
      <bottom style="medium">
        <color indexed="64"/>
      </bottom>
      <diagonal/>
    </border>
    <border>
      <left/>
      <right style="thin">
        <color indexed="64"/>
      </right>
      <top style="medium">
        <color indexed="64"/>
      </top>
      <bottom style="medium">
        <color indexed="64"/>
      </bottom>
      <diagonal/>
    </border>
    <border>
      <left style="thin">
        <color indexed="64"/>
      </left>
      <right/>
      <top style="thin">
        <color theme="4" tint="0.39997558519241921"/>
      </top>
      <bottom style="thin">
        <color indexed="64"/>
      </bottom>
      <diagonal/>
    </border>
    <border>
      <left/>
      <right/>
      <top style="thin">
        <color theme="4" tint="0.39997558519241921"/>
      </top>
      <bottom style="thin">
        <color indexed="64"/>
      </bottom>
      <diagonal/>
    </border>
    <border>
      <left style="thin">
        <color indexed="64"/>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indexed="64"/>
      </bottom>
      <diagonal/>
    </border>
    <border>
      <left style="thin">
        <color indexed="64"/>
      </left>
      <right/>
      <top style="thin">
        <color theme="4" tint="0.39997558519241921"/>
      </top>
      <bottom/>
      <diagonal/>
    </border>
    <border>
      <left style="thin">
        <color theme="4" tint="0.39997558519241921"/>
      </left>
      <right/>
      <top style="thin">
        <color indexed="64"/>
      </top>
      <bottom/>
      <diagonal/>
    </border>
    <border>
      <left style="thin">
        <color theme="4" tint="0.39997558519241921"/>
      </left>
      <right/>
      <top/>
      <bottom/>
      <diagonal/>
    </border>
    <border>
      <left style="medium">
        <color indexed="64"/>
      </left>
      <right style="thin">
        <color indexed="64"/>
      </right>
      <top/>
      <bottom/>
      <diagonal/>
    </border>
    <border>
      <left/>
      <right style="thin">
        <color indexed="64"/>
      </right>
      <top style="thin">
        <color theme="4" tint="0.39997558519241921"/>
      </top>
      <bottom style="thin">
        <color indexed="64"/>
      </bottom>
      <diagonal/>
    </border>
    <border>
      <left/>
      <right/>
      <top/>
      <bottom style="thin">
        <color theme="4" tint="0.39997558519241921"/>
      </bottom>
      <diagonal/>
    </border>
    <border>
      <left/>
      <right style="thin">
        <color indexed="64"/>
      </right>
      <top style="thin">
        <color theme="4" tint="0.39997558519241921"/>
      </top>
      <bottom/>
      <diagonal/>
    </border>
  </borders>
  <cellStyleXfs count="4">
    <xf numFmtId="0" fontId="0" fillId="0" borderId="0"/>
    <xf numFmtId="0" fontId="3" fillId="0" borderId="0"/>
    <xf numFmtId="0" fontId="9" fillId="0" borderId="0" applyNumberFormat="0" applyFill="0" applyBorder="0" applyAlignment="0" applyProtection="0"/>
    <xf numFmtId="0" fontId="10" fillId="0" borderId="0"/>
  </cellStyleXfs>
  <cellXfs count="1200">
    <xf numFmtId="0" fontId="0" fillId="0" borderId="0" xfId="0"/>
    <xf numFmtId="164" fontId="0" fillId="0" borderId="0" xfId="0" applyNumberFormat="1" applyAlignment="1">
      <alignment horizontal="center"/>
    </xf>
    <xf numFmtId="0" fontId="0" fillId="0" borderId="0" xfId="0" applyAlignment="1">
      <alignment horizontal="center"/>
    </xf>
    <xf numFmtId="165" fontId="0" fillId="0" borderId="0" xfId="0" applyNumberFormat="1" applyAlignment="1">
      <alignment horizontal="center"/>
    </xf>
    <xf numFmtId="14" fontId="0" fillId="0" borderId="0" xfId="0" applyNumberFormat="1" applyAlignment="1">
      <alignment horizontal="center"/>
    </xf>
    <xf numFmtId="0" fontId="0" fillId="0" borderId="0" xfId="0" applyAlignment="1">
      <alignment horizontal="left" vertical="center" indent="1"/>
    </xf>
    <xf numFmtId="0" fontId="2" fillId="0" borderId="0" xfId="0" applyFont="1" applyAlignment="1">
      <alignment horizontal="left" vertical="center" indent="1"/>
    </xf>
    <xf numFmtId="0" fontId="1" fillId="0" borderId="0" xfId="0" applyFont="1" applyAlignment="1">
      <alignment horizontal="left" vertical="center" indent="1"/>
    </xf>
    <xf numFmtId="0" fontId="0" fillId="0" borderId="0" xfId="0" applyAlignment="1">
      <alignment horizontal="left"/>
    </xf>
    <xf numFmtId="20" fontId="1" fillId="0" borderId="0" xfId="0" applyNumberFormat="1" applyFont="1" applyAlignment="1">
      <alignment horizontal="left" vertical="center" wrapText="1" indent="1"/>
    </xf>
    <xf numFmtId="0" fontId="4" fillId="3" borderId="0" xfId="1" applyFont="1" applyFill="1" applyAlignment="1">
      <alignment horizontal="center" vertical="center" wrapText="1"/>
    </xf>
    <xf numFmtId="46" fontId="4" fillId="3" borderId="0" xfId="1" applyNumberFormat="1" applyFont="1" applyFill="1" applyAlignment="1">
      <alignment horizontal="center" vertical="center" wrapText="1"/>
    </xf>
    <xf numFmtId="20" fontId="4" fillId="3" borderId="0" xfId="1" applyNumberFormat="1" applyFont="1" applyFill="1" applyAlignment="1">
      <alignment horizontal="center" vertical="center" wrapText="1"/>
    </xf>
    <xf numFmtId="20" fontId="4" fillId="3" borderId="1" xfId="1" applyNumberFormat="1" applyFont="1" applyFill="1" applyBorder="1" applyAlignment="1">
      <alignment horizontal="center" vertical="center" wrapText="1"/>
    </xf>
    <xf numFmtId="0" fontId="5" fillId="4" borderId="5" xfId="1" applyFont="1" applyFill="1" applyBorder="1" applyAlignment="1">
      <alignment horizontal="center" vertical="center"/>
    </xf>
    <xf numFmtId="0" fontId="5" fillId="4" borderId="6" xfId="1" applyFont="1" applyFill="1" applyBorder="1" applyAlignment="1">
      <alignment horizontal="center" vertical="center"/>
    </xf>
    <xf numFmtId="0" fontId="5" fillId="5" borderId="6" xfId="1" applyFont="1" applyFill="1" applyBorder="1" applyAlignment="1">
      <alignment horizontal="center" vertical="center"/>
    </xf>
    <xf numFmtId="0" fontId="5" fillId="5" borderId="5" xfId="1" applyFont="1" applyFill="1" applyBorder="1" applyAlignment="1">
      <alignment horizontal="center" vertical="center"/>
    </xf>
    <xf numFmtId="17" fontId="4" fillId="3" borderId="0" xfId="1" applyNumberFormat="1" applyFont="1" applyFill="1" applyAlignment="1">
      <alignment horizontal="center" vertical="center" wrapText="1"/>
    </xf>
    <xf numFmtId="0" fontId="4" fillId="4" borderId="0" xfId="1" applyFont="1" applyFill="1" applyAlignment="1">
      <alignment horizontal="center" vertical="center" wrapText="1"/>
    </xf>
    <xf numFmtId="2" fontId="4" fillId="4" borderId="0" xfId="1" applyNumberFormat="1" applyFont="1" applyFill="1" applyAlignment="1">
      <alignment horizontal="center" vertical="center" wrapText="1"/>
    </xf>
    <xf numFmtId="46" fontId="4" fillId="4" borderId="0" xfId="1" applyNumberFormat="1" applyFont="1" applyFill="1" applyAlignment="1">
      <alignment horizontal="center" vertical="center" wrapText="1"/>
    </xf>
    <xf numFmtId="20" fontId="4" fillId="4" borderId="0" xfId="1" applyNumberFormat="1" applyFont="1" applyFill="1" applyAlignment="1">
      <alignment horizontal="center" vertical="center" wrapText="1"/>
    </xf>
    <xf numFmtId="16" fontId="4" fillId="3" borderId="0" xfId="1" applyNumberFormat="1" applyFont="1" applyFill="1" applyAlignment="1">
      <alignment horizontal="center" vertical="center" wrapText="1"/>
    </xf>
    <xf numFmtId="0" fontId="3" fillId="0" borderId="0" xfId="1" applyAlignment="1">
      <alignment horizontal="center" vertical="center"/>
    </xf>
    <xf numFmtId="0" fontId="3" fillId="0" borderId="5" xfId="1" applyBorder="1" applyAlignment="1">
      <alignment horizontal="center" vertical="center"/>
    </xf>
    <xf numFmtId="0" fontId="3" fillId="0" borderId="6" xfId="1" applyBorder="1" applyAlignment="1">
      <alignment horizontal="center" vertical="center"/>
    </xf>
    <xf numFmtId="0" fontId="3" fillId="0" borderId="4" xfId="1" applyBorder="1" applyAlignment="1">
      <alignment horizontal="center" vertical="center"/>
    </xf>
    <xf numFmtId="0" fontId="3" fillId="3" borderId="6" xfId="1" applyFill="1" applyBorder="1" applyAlignment="1">
      <alignment horizontal="center" vertical="center"/>
    </xf>
    <xf numFmtId="0" fontId="3" fillId="3" borderId="4" xfId="1" applyFill="1" applyBorder="1" applyAlignment="1">
      <alignment horizontal="center" vertical="center"/>
    </xf>
    <xf numFmtId="0" fontId="6" fillId="6" borderId="0" xfId="1" applyFont="1" applyFill="1" applyAlignment="1">
      <alignment horizontal="center" vertical="center"/>
    </xf>
    <xf numFmtId="0" fontId="6" fillId="6" borderId="0" xfId="1" applyFont="1" applyFill="1" applyAlignment="1">
      <alignment horizontal="right" vertical="center"/>
    </xf>
    <xf numFmtId="0" fontId="6" fillId="2" borderId="2" xfId="1" applyFont="1" applyFill="1" applyBorder="1" applyAlignment="1">
      <alignment horizontal="center" vertical="center"/>
    </xf>
    <xf numFmtId="0" fontId="6" fillId="2" borderId="0" xfId="1" applyFont="1" applyFill="1" applyAlignment="1">
      <alignment horizontal="center" vertical="center"/>
    </xf>
    <xf numFmtId="0" fontId="6" fillId="2" borderId="1" xfId="1" applyFont="1" applyFill="1" applyBorder="1" applyAlignment="1">
      <alignment horizontal="center" vertical="center"/>
    </xf>
    <xf numFmtId="0" fontId="6" fillId="3" borderId="0" xfId="1" applyFont="1" applyFill="1" applyAlignment="1">
      <alignment horizontal="center" vertical="center"/>
    </xf>
    <xf numFmtId="0" fontId="6" fillId="3" borderId="1" xfId="1" applyFont="1" applyFill="1" applyBorder="1" applyAlignment="1">
      <alignment horizontal="center" vertical="center"/>
    </xf>
    <xf numFmtId="0" fontId="6" fillId="0" borderId="0" xfId="1" applyFont="1" applyAlignment="1">
      <alignment horizontal="center" vertical="center"/>
    </xf>
    <xf numFmtId="0" fontId="3" fillId="0" borderId="2" xfId="1" applyBorder="1" applyAlignment="1">
      <alignment horizontal="center" vertical="center"/>
    </xf>
    <xf numFmtId="0" fontId="3" fillId="0" borderId="1" xfId="1" applyBorder="1" applyAlignment="1">
      <alignment horizontal="center" vertical="center"/>
    </xf>
    <xf numFmtId="0" fontId="3" fillId="3" borderId="0" xfId="1" applyFill="1" applyAlignment="1">
      <alignment horizontal="center" vertical="center"/>
    </xf>
    <xf numFmtId="0" fontId="3" fillId="3" borderId="1" xfId="1" applyFill="1" applyBorder="1" applyAlignment="1">
      <alignment horizontal="center" vertical="center"/>
    </xf>
    <xf numFmtId="20" fontId="3" fillId="3" borderId="0" xfId="1" applyNumberFormat="1" applyFill="1" applyAlignment="1">
      <alignment horizontal="center" vertical="center"/>
    </xf>
    <xf numFmtId="46" fontId="3" fillId="3" borderId="0" xfId="1" applyNumberFormat="1" applyFill="1" applyAlignment="1">
      <alignment horizontal="center" vertical="center"/>
    </xf>
    <xf numFmtId="0" fontId="3" fillId="0" borderId="8" xfId="1" applyBorder="1" applyAlignment="1">
      <alignment horizontal="center" vertical="center"/>
    </xf>
    <xf numFmtId="0" fontId="3" fillId="0" borderId="7" xfId="1" applyBorder="1" applyAlignment="1">
      <alignment horizontal="center" vertical="center"/>
    </xf>
    <xf numFmtId="0" fontId="3" fillId="0" borderId="9" xfId="1" applyBorder="1" applyAlignment="1">
      <alignment horizontal="center" vertical="center"/>
    </xf>
    <xf numFmtId="0" fontId="3" fillId="3" borderId="7" xfId="1" applyFill="1" applyBorder="1" applyAlignment="1">
      <alignment horizontal="center" vertical="center"/>
    </xf>
    <xf numFmtId="0" fontId="3" fillId="3" borderId="9" xfId="1" applyFill="1" applyBorder="1" applyAlignment="1">
      <alignment horizontal="center" vertical="center"/>
    </xf>
    <xf numFmtId="1" fontId="4" fillId="4" borderId="0" xfId="1" applyNumberFormat="1" applyFont="1" applyFill="1" applyAlignment="1">
      <alignment horizontal="center" vertical="center" wrapText="1"/>
    </xf>
    <xf numFmtId="0" fontId="4" fillId="4" borderId="2" xfId="1" applyFont="1" applyFill="1" applyBorder="1" applyAlignment="1">
      <alignment horizontal="center" vertical="center" wrapText="1"/>
    </xf>
    <xf numFmtId="20" fontId="4" fillId="4" borderId="1" xfId="1" applyNumberFormat="1" applyFont="1" applyFill="1" applyBorder="1" applyAlignment="1">
      <alignment horizontal="center" vertical="center" wrapText="1"/>
    </xf>
    <xf numFmtId="0" fontId="3" fillId="3" borderId="5" xfId="1" applyFill="1" applyBorder="1" applyAlignment="1">
      <alignment horizontal="center" vertical="center"/>
    </xf>
    <xf numFmtId="0" fontId="6" fillId="3" borderId="2" xfId="1" applyFont="1" applyFill="1" applyBorder="1" applyAlignment="1">
      <alignment horizontal="left" vertical="center"/>
    </xf>
    <xf numFmtId="0" fontId="3" fillId="3" borderId="2" xfId="1" applyFill="1" applyBorder="1" applyAlignment="1">
      <alignment horizontal="center" vertical="center"/>
    </xf>
    <xf numFmtId="0" fontId="5" fillId="3" borderId="5" xfId="1" applyFont="1" applyFill="1" applyBorder="1" applyAlignment="1">
      <alignment horizontal="center" vertical="center"/>
    </xf>
    <xf numFmtId="0" fontId="4" fillId="3" borderId="2" xfId="1" applyFont="1" applyFill="1" applyBorder="1" applyAlignment="1">
      <alignment horizontal="center" vertical="center" wrapText="1"/>
    </xf>
    <xf numFmtId="20" fontId="3" fillId="3" borderId="1" xfId="1" applyNumberFormat="1" applyFill="1" applyBorder="1" applyAlignment="1">
      <alignment horizontal="center" vertical="center"/>
    </xf>
    <xf numFmtId="0" fontId="3" fillId="3" borderId="8" xfId="1" applyFill="1" applyBorder="1" applyAlignment="1">
      <alignment horizontal="center" vertical="center"/>
    </xf>
    <xf numFmtId="166" fontId="4" fillId="4" borderId="0" xfId="1" applyNumberFormat="1" applyFont="1" applyFill="1" applyAlignment="1">
      <alignment horizontal="center" vertical="center" wrapText="1"/>
    </xf>
    <xf numFmtId="167" fontId="0" fillId="0" borderId="0" xfId="0" applyNumberFormat="1" applyAlignment="1">
      <alignment horizontal="center"/>
    </xf>
    <xf numFmtId="0" fontId="1" fillId="0" borderId="0" xfId="0" applyFont="1" applyAlignment="1">
      <alignment horizontal="left" vertical="center"/>
    </xf>
    <xf numFmtId="0" fontId="1" fillId="0" borderId="0" xfId="0" applyFont="1" applyAlignment="1">
      <alignment horizontal="center" vertical="center" wrapText="1"/>
    </xf>
    <xf numFmtId="0" fontId="1" fillId="0" borderId="0" xfId="0" applyFont="1" applyAlignment="1">
      <alignment horizontal="center" vertical="center"/>
    </xf>
    <xf numFmtId="0" fontId="3" fillId="7" borderId="5" xfId="1" applyFill="1" applyBorder="1" applyAlignment="1">
      <alignment horizontal="center" vertical="center"/>
    </xf>
    <xf numFmtId="0" fontId="3" fillId="7" borderId="6" xfId="1" applyFill="1" applyBorder="1" applyAlignment="1">
      <alignment horizontal="center" vertical="center"/>
    </xf>
    <xf numFmtId="0" fontId="3" fillId="7" borderId="4" xfId="1" applyFill="1" applyBorder="1" applyAlignment="1">
      <alignment horizontal="center" vertical="center"/>
    </xf>
    <xf numFmtId="0" fontId="6" fillId="7" borderId="2" xfId="1" applyFont="1" applyFill="1" applyBorder="1" applyAlignment="1">
      <alignment horizontal="center" vertical="center"/>
    </xf>
    <xf numFmtId="0" fontId="6" fillId="7" borderId="0" xfId="1" applyFont="1" applyFill="1" applyAlignment="1">
      <alignment horizontal="center" vertical="center"/>
    </xf>
    <xf numFmtId="0" fontId="6" fillId="7" borderId="1" xfId="1" applyFont="1" applyFill="1" applyBorder="1" applyAlignment="1">
      <alignment horizontal="center" vertical="center"/>
    </xf>
    <xf numFmtId="0" fontId="3" fillId="7" borderId="2" xfId="1" applyFill="1" applyBorder="1" applyAlignment="1">
      <alignment horizontal="center" vertical="center"/>
    </xf>
    <xf numFmtId="0" fontId="3" fillId="7" borderId="0" xfId="1" applyFill="1" applyAlignment="1">
      <alignment horizontal="center" vertical="center"/>
    </xf>
    <xf numFmtId="0" fontId="3" fillId="7" borderId="1" xfId="1" applyFill="1" applyBorder="1" applyAlignment="1">
      <alignment horizontal="center" vertical="center"/>
    </xf>
    <xf numFmtId="0" fontId="7" fillId="7" borderId="2" xfId="0" applyFont="1" applyFill="1" applyBorder="1" applyAlignment="1">
      <alignment horizontal="center" vertical="center"/>
    </xf>
    <xf numFmtId="0" fontId="9" fillId="7" borderId="0" xfId="2" applyFill="1" applyBorder="1" applyAlignment="1">
      <alignment horizontal="center" vertical="center"/>
    </xf>
    <xf numFmtId="0" fontId="9" fillId="7" borderId="1" xfId="2" applyFill="1" applyBorder="1" applyAlignment="1">
      <alignment horizontal="center" vertical="center"/>
    </xf>
    <xf numFmtId="0" fontId="8" fillId="7" borderId="10" xfId="0" applyFont="1" applyFill="1" applyBorder="1" applyAlignment="1">
      <alignment horizontal="center" vertical="center" wrapText="1"/>
    </xf>
    <xf numFmtId="46" fontId="8" fillId="7" borderId="3" xfId="0" applyNumberFormat="1" applyFont="1" applyFill="1" applyBorder="1" applyAlignment="1">
      <alignment horizontal="center" vertical="center" wrapText="1"/>
    </xf>
    <xf numFmtId="0" fontId="8" fillId="7" borderId="3" xfId="0" applyFont="1" applyFill="1" applyBorder="1" applyAlignment="1">
      <alignment horizontal="center" vertical="center" wrapText="1"/>
    </xf>
    <xf numFmtId="20" fontId="8" fillId="7" borderId="11" xfId="0" applyNumberFormat="1" applyFont="1" applyFill="1" applyBorder="1" applyAlignment="1">
      <alignment horizontal="center" vertical="center" wrapText="1"/>
    </xf>
    <xf numFmtId="17" fontId="8" fillId="7" borderId="3" xfId="0" applyNumberFormat="1" applyFont="1" applyFill="1" applyBorder="1" applyAlignment="1">
      <alignment horizontal="center" vertical="center" wrapText="1"/>
    </xf>
    <xf numFmtId="0" fontId="0" fillId="7" borderId="2" xfId="0" applyFill="1" applyBorder="1"/>
    <xf numFmtId="0" fontId="0" fillId="7" borderId="0" xfId="0" applyFill="1"/>
    <xf numFmtId="0" fontId="0" fillId="7" borderId="1" xfId="0" applyFill="1" applyBorder="1"/>
    <xf numFmtId="0" fontId="0" fillId="7" borderId="10" xfId="0" applyFill="1" applyBorder="1"/>
    <xf numFmtId="0" fontId="8" fillId="7" borderId="2" xfId="0" applyFont="1" applyFill="1" applyBorder="1" applyAlignment="1">
      <alignment horizontal="center" vertical="center" wrapText="1"/>
    </xf>
    <xf numFmtId="0" fontId="3" fillId="7" borderId="10" xfId="1" applyFill="1" applyBorder="1" applyAlignment="1">
      <alignment horizontal="center" vertical="center"/>
    </xf>
    <xf numFmtId="0" fontId="0" fillId="7" borderId="3" xfId="0" applyFill="1" applyBorder="1"/>
    <xf numFmtId="46" fontId="8" fillId="7" borderId="0" xfId="0" applyNumberFormat="1" applyFont="1" applyFill="1" applyAlignment="1">
      <alignment horizontal="center" vertical="center" wrapText="1"/>
    </xf>
    <xf numFmtId="0" fontId="3" fillId="7" borderId="3" xfId="1" applyFill="1" applyBorder="1" applyAlignment="1">
      <alignment horizontal="center" vertical="center"/>
    </xf>
    <xf numFmtId="0" fontId="8" fillId="7" borderId="0" xfId="0" applyFont="1" applyFill="1" applyAlignment="1">
      <alignment horizontal="center" vertical="center" wrapText="1"/>
    </xf>
    <xf numFmtId="17" fontId="8" fillId="7" borderId="0" xfId="0" applyNumberFormat="1" applyFont="1" applyFill="1" applyAlignment="1">
      <alignment horizontal="center" vertical="center" wrapText="1"/>
    </xf>
    <xf numFmtId="0" fontId="0" fillId="7" borderId="11" xfId="0" applyFill="1" applyBorder="1"/>
    <xf numFmtId="20" fontId="8" fillId="7" borderId="1" xfId="0" applyNumberFormat="1" applyFont="1" applyFill="1" applyBorder="1" applyAlignment="1">
      <alignment horizontal="center" vertical="center" wrapText="1"/>
    </xf>
    <xf numFmtId="0" fontId="3" fillId="7" borderId="11" xfId="1" applyFill="1" applyBorder="1" applyAlignment="1">
      <alignment horizontal="center" vertical="center"/>
    </xf>
    <xf numFmtId="0" fontId="1" fillId="0" borderId="5" xfId="0" applyFont="1" applyBorder="1" applyAlignment="1">
      <alignment horizontal="left" vertical="center" indent="1"/>
    </xf>
    <xf numFmtId="0" fontId="0" fillId="0" borderId="6" xfId="0" applyBorder="1" applyAlignment="1">
      <alignment horizontal="center"/>
    </xf>
    <xf numFmtId="0" fontId="1" fillId="0" borderId="4" xfId="0" applyFont="1" applyBorder="1" applyAlignment="1">
      <alignment horizontal="left" vertical="center" indent="1"/>
    </xf>
    <xf numFmtId="0" fontId="1" fillId="0" borderId="1" xfId="0" applyFont="1" applyBorder="1" applyAlignment="1">
      <alignment horizontal="center" vertical="center"/>
    </xf>
    <xf numFmtId="0" fontId="0" fillId="0" borderId="1" xfId="0" applyBorder="1" applyAlignment="1">
      <alignment horizontal="center"/>
    </xf>
    <xf numFmtId="0" fontId="0" fillId="0" borderId="1" xfId="0" applyBorder="1"/>
    <xf numFmtId="0" fontId="1" fillId="0" borderId="1" xfId="0" applyFont="1" applyBorder="1" applyAlignment="1">
      <alignment horizontal="left" vertical="center" indent="1"/>
    </xf>
    <xf numFmtId="0" fontId="0" fillId="0" borderId="12" xfId="0" applyBorder="1"/>
    <xf numFmtId="0" fontId="0" fillId="0" borderId="13" xfId="0" applyBorder="1" applyAlignment="1">
      <alignment horizontal="center"/>
    </xf>
    <xf numFmtId="0" fontId="0" fillId="0" borderId="14" xfId="0" applyBorder="1" applyAlignment="1">
      <alignment horizontal="center"/>
    </xf>
    <xf numFmtId="0" fontId="1" fillId="0" borderId="2" xfId="0" applyFont="1" applyBorder="1" applyAlignment="1">
      <alignment horizontal="center" vertical="center"/>
    </xf>
    <xf numFmtId="0" fontId="0" fillId="0" borderId="2" xfId="0" applyBorder="1" applyAlignment="1">
      <alignment horizontal="center"/>
    </xf>
    <xf numFmtId="167" fontId="0" fillId="0" borderId="15" xfId="0" applyNumberFormat="1" applyBorder="1" applyAlignment="1">
      <alignment horizontal="center"/>
    </xf>
    <xf numFmtId="0" fontId="3" fillId="0" borderId="0" xfId="1" applyAlignment="1">
      <alignment horizontal="left" vertical="center"/>
    </xf>
    <xf numFmtId="0" fontId="6" fillId="0" borderId="0" xfId="1" applyFont="1" applyAlignment="1">
      <alignment horizontal="left" vertical="center"/>
    </xf>
    <xf numFmtId="0" fontId="3" fillId="8" borderId="0" xfId="1" applyFill="1" applyAlignment="1">
      <alignment horizontal="center" vertical="center"/>
    </xf>
    <xf numFmtId="0" fontId="3" fillId="8" borderId="2" xfId="1" applyFill="1" applyBorder="1" applyAlignment="1">
      <alignment horizontal="center" vertical="center"/>
    </xf>
    <xf numFmtId="0" fontId="3" fillId="8" borderId="1" xfId="1" applyFill="1" applyBorder="1" applyAlignment="1">
      <alignment horizontal="center" vertical="center"/>
    </xf>
    <xf numFmtId="0" fontId="0" fillId="8" borderId="2" xfId="0" applyFill="1" applyBorder="1"/>
    <xf numFmtId="0" fontId="0" fillId="8" borderId="0" xfId="0" applyFill="1"/>
    <xf numFmtId="0" fontId="0" fillId="8" borderId="1" xfId="0" applyFill="1" applyBorder="1"/>
    <xf numFmtId="2" fontId="3" fillId="0" borderId="0" xfId="1" applyNumberFormat="1" applyAlignment="1">
      <alignment horizontal="center" vertical="center"/>
    </xf>
    <xf numFmtId="1" fontId="3" fillId="0" borderId="0" xfId="1" applyNumberFormat="1" applyAlignment="1">
      <alignment horizontal="center" vertical="center"/>
    </xf>
    <xf numFmtId="0" fontId="1" fillId="0" borderId="13" xfId="0" applyFont="1" applyBorder="1" applyAlignment="1">
      <alignment horizontal="left" vertical="center" indent="1"/>
    </xf>
    <xf numFmtId="16" fontId="8" fillId="7" borderId="3" xfId="0" applyNumberFormat="1" applyFont="1" applyFill="1" applyBorder="1" applyAlignment="1">
      <alignment horizontal="center" vertical="center" wrapText="1"/>
    </xf>
    <xf numFmtId="2" fontId="0" fillId="0" borderId="0" xfId="0" applyNumberFormat="1" applyAlignment="1">
      <alignment horizontal="center"/>
    </xf>
    <xf numFmtId="0" fontId="0" fillId="0" borderId="15" xfId="0" applyBorder="1" applyAlignment="1">
      <alignment horizontal="center"/>
    </xf>
    <xf numFmtId="167" fontId="0" fillId="0" borderId="16" xfId="0" applyNumberFormat="1" applyBorder="1" applyAlignment="1">
      <alignment horizontal="center"/>
    </xf>
    <xf numFmtId="0" fontId="3" fillId="0" borderId="12" xfId="1" applyBorder="1" applyAlignment="1">
      <alignment horizontal="center" vertical="center"/>
    </xf>
    <xf numFmtId="0" fontId="3" fillId="0" borderId="13" xfId="1" applyBorder="1" applyAlignment="1">
      <alignment horizontal="center" vertical="center"/>
    </xf>
    <xf numFmtId="2" fontId="3" fillId="0" borderId="13" xfId="1" applyNumberFormat="1" applyBorder="1" applyAlignment="1">
      <alignment horizontal="center" vertical="center"/>
    </xf>
    <xf numFmtId="2" fontId="3" fillId="0" borderId="1" xfId="1" applyNumberFormat="1" applyBorder="1" applyAlignment="1">
      <alignment horizontal="center" vertical="center"/>
    </xf>
    <xf numFmtId="2" fontId="3" fillId="0" borderId="14" xfId="1" applyNumberFormat="1" applyBorder="1" applyAlignment="1">
      <alignment horizontal="center" vertical="center"/>
    </xf>
    <xf numFmtId="0" fontId="10" fillId="0" borderId="0" xfId="3"/>
    <xf numFmtId="0" fontId="10" fillId="0" borderId="0" xfId="3" applyAlignment="1">
      <alignment horizontal="center"/>
    </xf>
    <xf numFmtId="167" fontId="10" fillId="0" borderId="0" xfId="3" applyNumberFormat="1" applyAlignment="1">
      <alignment horizontal="center"/>
    </xf>
    <xf numFmtId="20" fontId="10" fillId="0" borderId="0" xfId="3" applyNumberFormat="1" applyAlignment="1">
      <alignment horizontal="center"/>
    </xf>
    <xf numFmtId="168" fontId="10" fillId="0" borderId="0" xfId="3" applyNumberFormat="1" applyAlignment="1">
      <alignment horizontal="center"/>
    </xf>
    <xf numFmtId="169" fontId="10" fillId="0" borderId="0" xfId="3" applyNumberFormat="1" applyAlignment="1">
      <alignment horizontal="center"/>
    </xf>
    <xf numFmtId="0" fontId="10" fillId="0" borderId="0" xfId="3" applyAlignment="1">
      <alignment horizontal="left"/>
    </xf>
    <xf numFmtId="170" fontId="10" fillId="0" borderId="0" xfId="3" applyNumberFormat="1"/>
    <xf numFmtId="0" fontId="10" fillId="0" borderId="0" xfId="3" applyAlignment="1">
      <alignment horizontal="right"/>
    </xf>
    <xf numFmtId="16" fontId="10" fillId="0" borderId="0" xfId="3" applyNumberFormat="1" applyAlignment="1">
      <alignment horizontal="center"/>
    </xf>
    <xf numFmtId="2" fontId="10" fillId="0" borderId="0" xfId="3" applyNumberFormat="1" applyAlignment="1">
      <alignment horizontal="center"/>
    </xf>
    <xf numFmtId="0" fontId="12" fillId="0" borderId="0" xfId="3" applyFont="1" applyAlignment="1">
      <alignment horizontal="center"/>
    </xf>
    <xf numFmtId="167" fontId="10" fillId="0" borderId="13" xfId="3" applyNumberFormat="1" applyBorder="1" applyAlignment="1">
      <alignment horizontal="center"/>
    </xf>
    <xf numFmtId="0" fontId="10" fillId="0" borderId="17" xfId="3" applyBorder="1"/>
    <xf numFmtId="0" fontId="14" fillId="0" borderId="18" xfId="3" applyFont="1" applyBorder="1"/>
    <xf numFmtId="0" fontId="10" fillId="0" borderId="19" xfId="3" applyBorder="1" applyAlignment="1">
      <alignment horizontal="center"/>
    </xf>
    <xf numFmtId="0" fontId="10" fillId="0" borderId="7" xfId="3" applyBorder="1" applyAlignment="1">
      <alignment horizontal="center"/>
    </xf>
    <xf numFmtId="0" fontId="10" fillId="0" borderId="5" xfId="3" applyBorder="1" applyAlignment="1">
      <alignment horizontal="center"/>
    </xf>
    <xf numFmtId="0" fontId="10" fillId="0" borderId="4" xfId="3" applyBorder="1" applyAlignment="1">
      <alignment horizontal="center"/>
    </xf>
    <xf numFmtId="0" fontId="10" fillId="0" borderId="20" xfId="3" applyBorder="1" applyAlignment="1">
      <alignment horizontal="center"/>
    </xf>
    <xf numFmtId="0" fontId="10" fillId="0" borderId="21" xfId="3" applyBorder="1" applyAlignment="1">
      <alignment horizontal="center"/>
    </xf>
    <xf numFmtId="0" fontId="10" fillId="0" borderId="2" xfId="3" applyBorder="1" applyAlignment="1">
      <alignment horizontal="center"/>
    </xf>
    <xf numFmtId="0" fontId="10" fillId="0" borderId="1" xfId="3" applyBorder="1" applyAlignment="1">
      <alignment horizontal="center"/>
    </xf>
    <xf numFmtId="10" fontId="10" fillId="0" borderId="0" xfId="3" applyNumberFormat="1" applyAlignment="1">
      <alignment horizontal="center"/>
    </xf>
    <xf numFmtId="2" fontId="10" fillId="2" borderId="21" xfId="3" applyNumberFormat="1" applyFill="1" applyBorder="1" applyAlignment="1">
      <alignment horizontal="center"/>
    </xf>
    <xf numFmtId="2" fontId="10" fillId="9" borderId="0" xfId="3" applyNumberFormat="1" applyFill="1" applyAlignment="1">
      <alignment horizontal="center"/>
    </xf>
    <xf numFmtId="4" fontId="10" fillId="0" borderId="1" xfId="3" applyNumberFormat="1" applyBorder="1" applyAlignment="1">
      <alignment horizontal="center"/>
    </xf>
    <xf numFmtId="16" fontId="10" fillId="0" borderId="0" xfId="3" applyNumberFormat="1"/>
    <xf numFmtId="2" fontId="10" fillId="0" borderId="1" xfId="3" applyNumberFormat="1" applyBorder="1" applyAlignment="1">
      <alignment horizontal="center"/>
    </xf>
    <xf numFmtId="171" fontId="10" fillId="0" borderId="0" xfId="3" applyNumberFormat="1" applyAlignment="1">
      <alignment horizontal="center"/>
    </xf>
    <xf numFmtId="0" fontId="10" fillId="0" borderId="6" xfId="3" applyBorder="1" applyAlignment="1">
      <alignment horizontal="center"/>
    </xf>
    <xf numFmtId="0" fontId="13" fillId="0" borderId="0" xfId="3" applyFont="1" applyAlignment="1">
      <alignment horizontal="center"/>
    </xf>
    <xf numFmtId="0" fontId="10" fillId="2" borderId="0" xfId="3" applyFill="1" applyAlignment="1">
      <alignment horizontal="center"/>
    </xf>
    <xf numFmtId="0" fontId="15" fillId="10" borderId="0" xfId="3" applyFont="1" applyFill="1" applyAlignment="1">
      <alignment horizontal="center"/>
    </xf>
    <xf numFmtId="0" fontId="12" fillId="0" borderId="0" xfId="3" applyFont="1" applyAlignment="1">
      <alignment horizontal="left"/>
    </xf>
    <xf numFmtId="167" fontId="10" fillId="0" borderId="1" xfId="3" applyNumberFormat="1" applyBorder="1" applyAlignment="1">
      <alignment horizontal="center"/>
    </xf>
    <xf numFmtId="0" fontId="10" fillId="0" borderId="12" xfId="3" applyBorder="1" applyAlignment="1">
      <alignment horizontal="center"/>
    </xf>
    <xf numFmtId="0" fontId="10" fillId="0" borderId="13" xfId="3" applyBorder="1" applyAlignment="1">
      <alignment horizontal="center"/>
    </xf>
    <xf numFmtId="167" fontId="10" fillId="0" borderId="14" xfId="3" applyNumberFormat="1" applyBorder="1" applyAlignment="1">
      <alignment horizontal="center"/>
    </xf>
    <xf numFmtId="167" fontId="10" fillId="0" borderId="0" xfId="3" applyNumberFormat="1" applyAlignment="1">
      <alignment horizontal="left"/>
    </xf>
    <xf numFmtId="0" fontId="0" fillId="0" borderId="20" xfId="0" applyBorder="1" applyAlignment="1">
      <alignment horizontal="center"/>
    </xf>
    <xf numFmtId="0" fontId="0" fillId="0" borderId="22" xfId="0" applyBorder="1" applyAlignment="1">
      <alignment horizontal="center"/>
    </xf>
    <xf numFmtId="0" fontId="0" fillId="0" borderId="17" xfId="0" applyBorder="1" applyAlignment="1">
      <alignment horizontal="center"/>
    </xf>
    <xf numFmtId="0" fontId="0" fillId="0" borderId="23" xfId="0" applyBorder="1" applyAlignment="1">
      <alignment horizontal="center"/>
    </xf>
    <xf numFmtId="0" fontId="10" fillId="0" borderId="24" xfId="3" applyBorder="1" applyAlignment="1">
      <alignment horizontal="center"/>
    </xf>
    <xf numFmtId="0" fontId="10" fillId="0" borderId="25" xfId="3" applyBorder="1" applyAlignment="1">
      <alignment horizontal="center"/>
    </xf>
    <xf numFmtId="0" fontId="10" fillId="0" borderId="26" xfId="3" applyBorder="1" applyAlignment="1">
      <alignment horizontal="center"/>
    </xf>
    <xf numFmtId="2" fontId="10" fillId="2" borderId="0" xfId="3" applyNumberFormat="1" applyFill="1" applyAlignment="1">
      <alignment horizontal="center"/>
    </xf>
    <xf numFmtId="16" fontId="8" fillId="7" borderId="0" xfId="0" applyNumberFormat="1" applyFont="1" applyFill="1" applyAlignment="1">
      <alignment horizontal="center" vertical="center" wrapText="1"/>
    </xf>
    <xf numFmtId="0" fontId="1" fillId="0" borderId="0" xfId="0" applyFont="1" applyAlignment="1">
      <alignment horizontal="left"/>
    </xf>
    <xf numFmtId="167" fontId="0" fillId="0" borderId="0" xfId="0" applyNumberFormat="1" applyAlignment="1">
      <alignment horizontal="left"/>
    </xf>
    <xf numFmtId="0" fontId="15" fillId="11" borderId="0" xfId="3" applyFont="1" applyFill="1" applyAlignment="1">
      <alignment horizontal="center"/>
    </xf>
    <xf numFmtId="168" fontId="0" fillId="0" borderId="0" xfId="0" applyNumberFormat="1" applyAlignment="1">
      <alignment horizontal="center"/>
    </xf>
    <xf numFmtId="0" fontId="1" fillId="0" borderId="0" xfId="0" applyFont="1"/>
    <xf numFmtId="47" fontId="0" fillId="0" borderId="0" xfId="0" applyNumberFormat="1" applyAlignment="1">
      <alignment horizontal="left"/>
    </xf>
    <xf numFmtId="0" fontId="0" fillId="0" borderId="27" xfId="0" applyBorder="1" applyAlignment="1">
      <alignment horizontal="center"/>
    </xf>
    <xf numFmtId="0" fontId="0" fillId="0" borderId="26" xfId="0" applyBorder="1" applyAlignment="1">
      <alignment horizontal="center"/>
    </xf>
    <xf numFmtId="0" fontId="0" fillId="0" borderId="5" xfId="0" applyBorder="1" applyAlignment="1">
      <alignment horizontal="center"/>
    </xf>
    <xf numFmtId="0" fontId="0" fillId="0" borderId="4" xfId="0" applyBorder="1" applyAlignment="1">
      <alignment horizontal="center"/>
    </xf>
    <xf numFmtId="0" fontId="0" fillId="0" borderId="12" xfId="0" applyBorder="1" applyAlignment="1">
      <alignment horizontal="center"/>
    </xf>
    <xf numFmtId="2" fontId="0" fillId="0" borderId="6" xfId="0" applyNumberFormat="1" applyBorder="1" applyAlignment="1">
      <alignment horizontal="center"/>
    </xf>
    <xf numFmtId="14" fontId="0" fillId="0" borderId="17" xfId="0" applyNumberFormat="1" applyBorder="1" applyAlignment="1">
      <alignment horizontal="center"/>
    </xf>
    <xf numFmtId="0" fontId="1" fillId="0" borderId="17" xfId="0" applyFont="1" applyBorder="1" applyAlignment="1">
      <alignment horizontal="left"/>
    </xf>
    <xf numFmtId="0" fontId="0" fillId="0" borderId="17" xfId="0" applyBorder="1"/>
    <xf numFmtId="0" fontId="1" fillId="0" borderId="17" xfId="0" applyFont="1" applyBorder="1" applyAlignment="1">
      <alignment horizontal="left" vertical="center" indent="1"/>
    </xf>
    <xf numFmtId="167" fontId="0" fillId="0" borderId="17" xfId="0" applyNumberFormat="1" applyBorder="1" applyAlignment="1">
      <alignment horizontal="center"/>
    </xf>
    <xf numFmtId="0" fontId="1" fillId="0" borderId="17" xfId="0" applyFont="1" applyBorder="1" applyAlignment="1">
      <alignment horizontal="left" vertical="center"/>
    </xf>
    <xf numFmtId="0" fontId="1" fillId="0" borderId="17" xfId="0" applyFont="1" applyBorder="1" applyAlignment="1">
      <alignment horizontal="center" vertical="center" wrapText="1"/>
    </xf>
    <xf numFmtId="0" fontId="1" fillId="0" borderId="17" xfId="0" applyFont="1" applyBorder="1" applyAlignment="1">
      <alignment horizontal="center" vertical="center"/>
    </xf>
    <xf numFmtId="167" fontId="0" fillId="0" borderId="17" xfId="0" applyNumberFormat="1" applyBorder="1" applyAlignment="1">
      <alignment horizontal="left"/>
    </xf>
    <xf numFmtId="0" fontId="0" fillId="0" borderId="31" xfId="0"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6" xfId="0" applyBorder="1"/>
    <xf numFmtId="0" fontId="0" fillId="0" borderId="37" xfId="0" applyBorder="1" applyAlignment="1">
      <alignment horizontal="center"/>
    </xf>
    <xf numFmtId="0" fontId="0" fillId="0" borderId="38" xfId="0" applyBorder="1" applyAlignment="1">
      <alignment horizontal="center"/>
    </xf>
    <xf numFmtId="0" fontId="16" fillId="0" borderId="28" xfId="0" applyFont="1" applyBorder="1" applyAlignment="1">
      <alignment horizontal="center"/>
    </xf>
    <xf numFmtId="0" fontId="16" fillId="0" borderId="29" xfId="0" applyFont="1" applyBorder="1" applyAlignment="1">
      <alignment horizontal="center"/>
    </xf>
    <xf numFmtId="20" fontId="0" fillId="0" borderId="35" xfId="0" applyNumberFormat="1" applyBorder="1" applyAlignment="1">
      <alignment horizontal="center"/>
    </xf>
    <xf numFmtId="168" fontId="16" fillId="0" borderId="30" xfId="0" applyNumberFormat="1" applyFont="1" applyBorder="1" applyAlignment="1">
      <alignment horizontal="center"/>
    </xf>
    <xf numFmtId="0" fontId="16" fillId="13" borderId="39" xfId="0" applyFont="1" applyFill="1" applyBorder="1" applyAlignment="1">
      <alignment horizontal="center"/>
    </xf>
    <xf numFmtId="0" fontId="16" fillId="13" borderId="40" xfId="0" applyFont="1" applyFill="1" applyBorder="1" applyAlignment="1">
      <alignment horizontal="center"/>
    </xf>
    <xf numFmtId="0" fontId="0" fillId="13" borderId="31" xfId="0" applyFill="1" applyBorder="1" applyAlignment="1">
      <alignment horizontal="center"/>
    </xf>
    <xf numFmtId="0" fontId="0" fillId="13" borderId="27" xfId="0" applyFill="1" applyBorder="1" applyAlignment="1">
      <alignment horizontal="center"/>
    </xf>
    <xf numFmtId="0" fontId="0" fillId="13" borderId="33" xfId="0" applyFill="1" applyBorder="1" applyAlignment="1">
      <alignment horizontal="center"/>
    </xf>
    <xf numFmtId="0" fontId="0" fillId="13" borderId="34" xfId="0" applyFill="1" applyBorder="1" applyAlignment="1">
      <alignment horizontal="center"/>
    </xf>
    <xf numFmtId="0" fontId="16" fillId="14" borderId="39" xfId="0" applyFont="1" applyFill="1" applyBorder="1" applyAlignment="1">
      <alignment horizontal="center"/>
    </xf>
    <xf numFmtId="0" fontId="16" fillId="14" borderId="40" xfId="0" applyFont="1" applyFill="1" applyBorder="1" applyAlignment="1">
      <alignment horizontal="center"/>
    </xf>
    <xf numFmtId="0" fontId="0" fillId="14" borderId="31" xfId="0" applyFill="1" applyBorder="1" applyAlignment="1">
      <alignment horizontal="center"/>
    </xf>
    <xf numFmtId="0" fontId="0" fillId="14" borderId="27" xfId="0" applyFill="1" applyBorder="1" applyAlignment="1">
      <alignment horizontal="center"/>
    </xf>
    <xf numFmtId="0" fontId="0" fillId="14" borderId="33" xfId="0" applyFill="1" applyBorder="1" applyAlignment="1">
      <alignment horizontal="center"/>
    </xf>
    <xf numFmtId="0" fontId="0" fillId="14" borderId="34" xfId="0" applyFill="1" applyBorder="1" applyAlignment="1">
      <alignment horizontal="center"/>
    </xf>
    <xf numFmtId="0" fontId="16" fillId="12" borderId="28" xfId="0" applyFont="1" applyFill="1" applyBorder="1" applyAlignment="1">
      <alignment horizontal="center"/>
    </xf>
    <xf numFmtId="0" fontId="16" fillId="12" borderId="45" xfId="0" applyFont="1" applyFill="1" applyBorder="1" applyAlignment="1">
      <alignment horizontal="center"/>
    </xf>
    <xf numFmtId="0" fontId="16" fillId="12" borderId="29" xfId="0" applyFont="1" applyFill="1" applyBorder="1" applyAlignment="1">
      <alignment horizontal="center"/>
    </xf>
    <xf numFmtId="0" fontId="0" fillId="12" borderId="42" xfId="0" applyFill="1" applyBorder="1" applyAlignment="1">
      <alignment horizontal="center"/>
    </xf>
    <xf numFmtId="0" fontId="0" fillId="12" borderId="27" xfId="0" applyFill="1" applyBorder="1" applyAlignment="1">
      <alignment horizontal="center"/>
    </xf>
    <xf numFmtId="0" fontId="0" fillId="12" borderId="26" xfId="0" applyFill="1" applyBorder="1" applyAlignment="1">
      <alignment horizontal="center"/>
    </xf>
    <xf numFmtId="0" fontId="0" fillId="12" borderId="43" xfId="0" applyFill="1" applyBorder="1" applyAlignment="1">
      <alignment horizontal="center"/>
    </xf>
    <xf numFmtId="0" fontId="0" fillId="12" borderId="34" xfId="0" applyFill="1" applyBorder="1" applyAlignment="1">
      <alignment horizontal="center"/>
    </xf>
    <xf numFmtId="0" fontId="0" fillId="12" borderId="44" xfId="0" applyFill="1" applyBorder="1" applyAlignment="1">
      <alignment horizontal="center"/>
    </xf>
    <xf numFmtId="167" fontId="0" fillId="0" borderId="32" xfId="0" applyNumberFormat="1" applyBorder="1" applyAlignment="1">
      <alignment horizontal="center"/>
    </xf>
    <xf numFmtId="0" fontId="0" fillId="0" borderId="35" xfId="0" applyBorder="1" applyAlignment="1">
      <alignment horizontal="center"/>
    </xf>
    <xf numFmtId="0" fontId="0" fillId="0" borderId="47"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0" fontId="0" fillId="0" borderId="24" xfId="0" applyBorder="1" applyAlignment="1">
      <alignment horizontal="center"/>
    </xf>
    <xf numFmtId="0" fontId="0" fillId="0" borderId="44" xfId="0" applyBorder="1" applyAlignment="1">
      <alignment horizontal="center"/>
    </xf>
    <xf numFmtId="0" fontId="0" fillId="0" borderId="50" xfId="0" applyBorder="1" applyAlignment="1">
      <alignment horizontal="center"/>
    </xf>
    <xf numFmtId="0" fontId="0" fillId="2" borderId="26" xfId="0" applyFill="1" applyBorder="1" applyAlignment="1">
      <alignment horizontal="center"/>
    </xf>
    <xf numFmtId="0" fontId="0" fillId="2" borderId="24" xfId="0" applyFill="1" applyBorder="1" applyAlignment="1">
      <alignment horizontal="center"/>
    </xf>
    <xf numFmtId="0" fontId="0" fillId="2" borderId="48" xfId="0" applyFill="1" applyBorder="1" applyAlignment="1">
      <alignment horizontal="center"/>
    </xf>
    <xf numFmtId="0" fontId="0" fillId="0" borderId="46" xfId="0" applyBorder="1" applyAlignment="1">
      <alignment horizontal="center"/>
    </xf>
    <xf numFmtId="172" fontId="0" fillId="0" borderId="0" xfId="0" applyNumberFormat="1" applyAlignment="1">
      <alignment horizontal="center"/>
    </xf>
    <xf numFmtId="0" fontId="0" fillId="0" borderId="21" xfId="0" applyBorder="1" applyAlignment="1">
      <alignment horizontal="center"/>
    </xf>
    <xf numFmtId="168" fontId="16" fillId="0" borderId="0" xfId="0" applyNumberFormat="1" applyFont="1" applyAlignment="1">
      <alignment horizontal="center"/>
    </xf>
    <xf numFmtId="20" fontId="0" fillId="0" borderId="0" xfId="0" applyNumberFormat="1" applyAlignment="1">
      <alignment horizontal="center"/>
    </xf>
    <xf numFmtId="0" fontId="2" fillId="0" borderId="1" xfId="0" applyFont="1" applyBorder="1" applyAlignment="1">
      <alignment horizontal="left" vertical="center" indent="1"/>
    </xf>
    <xf numFmtId="0" fontId="1" fillId="0" borderId="14" xfId="0" applyFont="1" applyBorder="1" applyAlignment="1">
      <alignment horizontal="left" vertical="center" indent="1"/>
    </xf>
    <xf numFmtId="0" fontId="2" fillId="0" borderId="2" xfId="0" applyFont="1" applyBorder="1" applyAlignment="1">
      <alignment horizontal="center" vertical="center"/>
    </xf>
    <xf numFmtId="0" fontId="1" fillId="0" borderId="12" xfId="0" applyFont="1" applyBorder="1" applyAlignment="1">
      <alignment horizontal="center" vertical="center"/>
    </xf>
    <xf numFmtId="167" fontId="0" fillId="0" borderId="35" xfId="0" applyNumberFormat="1" applyBorder="1" applyAlignment="1">
      <alignment horizontal="center"/>
    </xf>
    <xf numFmtId="20" fontId="16" fillId="0" borderId="0" xfId="0" applyNumberFormat="1" applyFont="1" applyAlignment="1">
      <alignment horizontal="center"/>
    </xf>
    <xf numFmtId="0" fontId="10" fillId="0" borderId="55" xfId="3" applyBorder="1" applyAlignment="1">
      <alignment horizontal="center"/>
    </xf>
    <xf numFmtId="0" fontId="10" fillId="0" borderId="56" xfId="3" applyBorder="1" applyAlignment="1">
      <alignment horizontal="center"/>
    </xf>
    <xf numFmtId="0" fontId="10" fillId="2" borderId="56" xfId="3" applyFill="1" applyBorder="1" applyAlignment="1">
      <alignment horizontal="center"/>
    </xf>
    <xf numFmtId="0" fontId="10" fillId="0" borderId="57" xfId="3" applyBorder="1" applyAlignment="1">
      <alignment horizontal="center"/>
    </xf>
    <xf numFmtId="14" fontId="0" fillId="0" borderId="13" xfId="0" applyNumberFormat="1" applyBorder="1" applyAlignment="1">
      <alignment horizontal="center"/>
    </xf>
    <xf numFmtId="0" fontId="0" fillId="12" borderId="25" xfId="0" applyFill="1" applyBorder="1" applyAlignment="1">
      <alignment horizontal="center"/>
    </xf>
    <xf numFmtId="168" fontId="16" fillId="12" borderId="59" xfId="0" applyNumberFormat="1" applyFont="1" applyFill="1" applyBorder="1" applyAlignment="1">
      <alignment horizontal="center"/>
    </xf>
    <xf numFmtId="0" fontId="0" fillId="12" borderId="60" xfId="0" applyFill="1" applyBorder="1" applyAlignment="1">
      <alignment horizontal="center"/>
    </xf>
    <xf numFmtId="1" fontId="0" fillId="0" borderId="0" xfId="0" applyNumberFormat="1" applyAlignment="1">
      <alignment horizontal="center"/>
    </xf>
    <xf numFmtId="0" fontId="0" fillId="0" borderId="58" xfId="0" applyBorder="1" applyAlignment="1">
      <alignment horizontal="center" vertical="center"/>
    </xf>
    <xf numFmtId="0" fontId="0" fillId="0" borderId="16" xfId="0" applyBorder="1" applyAlignment="1">
      <alignment horizontal="center" vertical="center"/>
    </xf>
    <xf numFmtId="0" fontId="16" fillId="12" borderId="0" xfId="0" applyFont="1" applyFill="1" applyAlignment="1">
      <alignment horizontal="center"/>
    </xf>
    <xf numFmtId="0" fontId="0" fillId="12" borderId="0" xfId="0" applyFill="1" applyAlignment="1">
      <alignment horizontal="center"/>
    </xf>
    <xf numFmtId="20" fontId="16" fillId="14" borderId="0" xfId="0" applyNumberFormat="1" applyFont="1" applyFill="1" applyAlignment="1">
      <alignment horizontal="center"/>
    </xf>
    <xf numFmtId="167" fontId="0" fillId="14" borderId="0" xfId="0" applyNumberFormat="1" applyFill="1" applyAlignment="1">
      <alignment horizontal="center"/>
    </xf>
    <xf numFmtId="168" fontId="16" fillId="13" borderId="0" xfId="0" applyNumberFormat="1" applyFont="1" applyFill="1" applyAlignment="1">
      <alignment horizontal="center"/>
    </xf>
    <xf numFmtId="20" fontId="0" fillId="13" borderId="0" xfId="0" applyNumberFormat="1" applyFill="1" applyAlignment="1">
      <alignment horizontal="center"/>
    </xf>
    <xf numFmtId="0" fontId="0" fillId="0" borderId="17" xfId="0" applyBorder="1" applyAlignment="1">
      <alignment horizontal="left"/>
    </xf>
    <xf numFmtId="0" fontId="0" fillId="2" borderId="17" xfId="0" applyFill="1" applyBorder="1" applyAlignment="1">
      <alignment horizontal="center"/>
    </xf>
    <xf numFmtId="168" fontId="0" fillId="12" borderId="61" xfId="0" applyNumberFormat="1" applyFill="1" applyBorder="1" applyAlignment="1">
      <alignment horizontal="center"/>
    </xf>
    <xf numFmtId="168" fontId="0" fillId="12" borderId="32" xfId="0" applyNumberFormat="1" applyFill="1" applyBorder="1" applyAlignment="1">
      <alignment horizontal="center"/>
    </xf>
    <xf numFmtId="20" fontId="0" fillId="0" borderId="0" xfId="0" applyNumberFormat="1" applyAlignment="1">
      <alignment horizontal="left"/>
    </xf>
    <xf numFmtId="0" fontId="16" fillId="0" borderId="0" xfId="0" applyFont="1" applyAlignment="1">
      <alignment horizontal="center"/>
    </xf>
    <xf numFmtId="169" fontId="16" fillId="0" borderId="30" xfId="0" applyNumberFormat="1" applyFont="1" applyBorder="1" applyAlignment="1">
      <alignment horizontal="center"/>
    </xf>
    <xf numFmtId="2" fontId="0" fillId="0" borderId="32" xfId="0" applyNumberFormat="1" applyBorder="1" applyAlignment="1">
      <alignment horizontal="center"/>
    </xf>
    <xf numFmtId="2" fontId="0" fillId="0" borderId="35" xfId="0" applyNumberFormat="1" applyBorder="1" applyAlignment="1">
      <alignment horizontal="center"/>
    </xf>
    <xf numFmtId="0" fontId="0" fillId="0" borderId="39" xfId="0" applyBorder="1" applyAlignment="1">
      <alignment horizontal="center"/>
    </xf>
    <xf numFmtId="0" fontId="0" fillId="0" borderId="40" xfId="0" applyBorder="1" applyAlignment="1">
      <alignment horizontal="center"/>
    </xf>
    <xf numFmtId="2" fontId="0" fillId="0" borderId="41" xfId="0" applyNumberFormat="1" applyBorder="1" applyAlignment="1">
      <alignment horizontal="center"/>
    </xf>
    <xf numFmtId="0" fontId="10" fillId="0" borderId="47" xfId="3" applyBorder="1" applyAlignment="1">
      <alignment horizontal="center"/>
    </xf>
    <xf numFmtId="0" fontId="10" fillId="0" borderId="48" xfId="3" applyBorder="1" applyAlignment="1">
      <alignment horizontal="center"/>
    </xf>
    <xf numFmtId="0" fontId="10" fillId="2" borderId="48" xfId="3" applyFill="1" applyBorder="1" applyAlignment="1">
      <alignment horizontal="center"/>
    </xf>
    <xf numFmtId="0" fontId="10" fillId="0" borderId="49" xfId="3" applyBorder="1" applyAlignment="1">
      <alignment horizontal="center"/>
    </xf>
    <xf numFmtId="2" fontId="0" fillId="0" borderId="22" xfId="0" applyNumberFormat="1" applyBorder="1" applyAlignment="1">
      <alignment horizontal="center"/>
    </xf>
    <xf numFmtId="2" fontId="0" fillId="0" borderId="24" xfId="0" applyNumberFormat="1" applyBorder="1" applyAlignment="1">
      <alignment horizontal="center"/>
    </xf>
    <xf numFmtId="2" fontId="0" fillId="0" borderId="50" xfId="0" applyNumberFormat="1" applyBorder="1" applyAlignment="1">
      <alignment horizontal="center"/>
    </xf>
    <xf numFmtId="0" fontId="0" fillId="2" borderId="31" xfId="0" applyFill="1" applyBorder="1" applyAlignment="1">
      <alignment horizontal="center"/>
    </xf>
    <xf numFmtId="0" fontId="0" fillId="2" borderId="27" xfId="0" applyFill="1" applyBorder="1" applyAlignment="1">
      <alignment horizontal="center"/>
    </xf>
    <xf numFmtId="2" fontId="0" fillId="2" borderId="32" xfId="0" applyNumberFormat="1" applyFill="1" applyBorder="1" applyAlignment="1">
      <alignment horizontal="center"/>
    </xf>
    <xf numFmtId="2" fontId="0" fillId="2" borderId="24" xfId="0" applyNumberFormat="1" applyFill="1" applyBorder="1" applyAlignment="1">
      <alignment horizontal="center"/>
    </xf>
    <xf numFmtId="0" fontId="0" fillId="0" borderId="51" xfId="0" applyBorder="1"/>
    <xf numFmtId="0" fontId="0" fillId="0" borderId="52" xfId="0" applyBorder="1"/>
    <xf numFmtId="0" fontId="0" fillId="0" borderId="53" xfId="0" applyBorder="1"/>
    <xf numFmtId="0" fontId="0" fillId="0" borderId="0" xfId="0" applyAlignment="1">
      <alignment horizontal="center" vertical="center"/>
    </xf>
    <xf numFmtId="10" fontId="0" fillId="17" borderId="51" xfId="0" applyNumberFormat="1" applyFill="1" applyBorder="1" applyAlignment="1">
      <alignment horizontal="center"/>
    </xf>
    <xf numFmtId="0" fontId="0" fillId="17" borderId="52" xfId="0" applyFill="1" applyBorder="1"/>
    <xf numFmtId="10" fontId="0" fillId="17" borderId="52" xfId="0" applyNumberFormat="1" applyFill="1" applyBorder="1" applyAlignment="1">
      <alignment horizontal="center"/>
    </xf>
    <xf numFmtId="0" fontId="0" fillId="17" borderId="53" xfId="0" applyFill="1" applyBorder="1"/>
    <xf numFmtId="169" fontId="16" fillId="14" borderId="59" xfId="0" applyNumberFormat="1" applyFont="1" applyFill="1" applyBorder="1" applyAlignment="1">
      <alignment horizontal="center"/>
    </xf>
    <xf numFmtId="169" fontId="0" fillId="14" borderId="32" xfId="0" applyNumberFormat="1" applyFill="1" applyBorder="1" applyAlignment="1">
      <alignment horizontal="center"/>
    </xf>
    <xf numFmtId="169" fontId="0" fillId="14" borderId="61" xfId="0" applyNumberFormat="1" applyFill="1" applyBorder="1" applyAlignment="1">
      <alignment horizontal="center"/>
    </xf>
    <xf numFmtId="0" fontId="0" fillId="0" borderId="63" xfId="0" applyBorder="1" applyAlignment="1">
      <alignment horizontal="center"/>
    </xf>
    <xf numFmtId="0" fontId="0" fillId="0" borderId="58" xfId="0" applyBorder="1"/>
    <xf numFmtId="0" fontId="0" fillId="0" borderId="16" xfId="0" applyBorder="1"/>
    <xf numFmtId="167" fontId="0" fillId="0" borderId="6" xfId="0" applyNumberFormat="1" applyBorder="1" applyAlignment="1">
      <alignment horizontal="center"/>
    </xf>
    <xf numFmtId="0" fontId="0" fillId="0" borderId="64" xfId="0" applyBorder="1" applyAlignment="1">
      <alignment horizontal="center"/>
    </xf>
    <xf numFmtId="0" fontId="0" fillId="0" borderId="65" xfId="0" applyBorder="1" applyAlignment="1">
      <alignment horizontal="center"/>
    </xf>
    <xf numFmtId="0" fontId="0" fillId="0" borderId="6" xfId="0" applyBorder="1" applyAlignment="1">
      <alignment horizontal="left"/>
    </xf>
    <xf numFmtId="0" fontId="0" fillId="0" borderId="6" xfId="0" applyBorder="1"/>
    <xf numFmtId="167" fontId="0" fillId="0" borderId="13" xfId="0" applyNumberFormat="1" applyBorder="1" applyAlignment="1">
      <alignment horizontal="center"/>
    </xf>
    <xf numFmtId="0" fontId="0" fillId="0" borderId="66" xfId="0" applyBorder="1" applyAlignment="1">
      <alignment horizontal="center"/>
    </xf>
    <xf numFmtId="0" fontId="0" fillId="0" borderId="13" xfId="0" applyBorder="1" applyAlignment="1">
      <alignment horizontal="left"/>
    </xf>
    <xf numFmtId="0" fontId="0" fillId="0" borderId="13" xfId="0" applyBorder="1"/>
    <xf numFmtId="0" fontId="11" fillId="0" borderId="0" xfId="3" applyFont="1" applyAlignment="1">
      <alignment horizontal="center"/>
    </xf>
    <xf numFmtId="0" fontId="10" fillId="0" borderId="32" xfId="3" applyBorder="1" applyAlignment="1">
      <alignment horizontal="center"/>
    </xf>
    <xf numFmtId="0" fontId="10" fillId="0" borderId="31" xfId="3" applyBorder="1" applyAlignment="1">
      <alignment horizontal="center"/>
    </xf>
    <xf numFmtId="0" fontId="10" fillId="0" borderId="39" xfId="3" applyBorder="1" applyAlignment="1">
      <alignment horizontal="center"/>
    </xf>
    <xf numFmtId="0" fontId="10" fillId="0" borderId="41" xfId="3" applyBorder="1" applyAlignment="1">
      <alignment horizontal="center"/>
    </xf>
    <xf numFmtId="0" fontId="10" fillId="0" borderId="67" xfId="3" applyBorder="1" applyAlignment="1">
      <alignment horizontal="center"/>
    </xf>
    <xf numFmtId="0" fontId="10" fillId="0" borderId="22" xfId="3" applyBorder="1" applyAlignment="1">
      <alignment horizontal="center"/>
    </xf>
    <xf numFmtId="0" fontId="10" fillId="0" borderId="9" xfId="3" applyBorder="1" applyAlignment="1">
      <alignment horizontal="center"/>
    </xf>
    <xf numFmtId="0" fontId="10" fillId="0" borderId="36" xfId="3" applyBorder="1" applyAlignment="1">
      <alignment horizontal="center"/>
    </xf>
    <xf numFmtId="0" fontId="10" fillId="0" borderId="38" xfId="3" applyBorder="1" applyAlignment="1">
      <alignment horizontal="center"/>
    </xf>
    <xf numFmtId="0" fontId="10" fillId="0" borderId="18" xfId="3" applyBorder="1" applyAlignment="1">
      <alignment horizontal="center"/>
    </xf>
    <xf numFmtId="0" fontId="10" fillId="0" borderId="46" xfId="3" applyBorder="1" applyAlignment="1">
      <alignment horizontal="center" vertical="center"/>
    </xf>
    <xf numFmtId="0" fontId="10" fillId="0" borderId="68" xfId="3" applyBorder="1" applyAlignment="1">
      <alignment horizontal="center"/>
    </xf>
    <xf numFmtId="0" fontId="10" fillId="0" borderId="69" xfId="3" applyBorder="1" applyAlignment="1">
      <alignment horizontal="center"/>
    </xf>
    <xf numFmtId="1" fontId="10" fillId="0" borderId="39" xfId="3" applyNumberFormat="1" applyBorder="1" applyAlignment="1">
      <alignment horizontal="center"/>
    </xf>
    <xf numFmtId="1" fontId="10" fillId="0" borderId="31" xfId="3" applyNumberFormat="1" applyBorder="1" applyAlignment="1">
      <alignment horizontal="center"/>
    </xf>
    <xf numFmtId="1" fontId="10" fillId="0" borderId="36" xfId="3" applyNumberFormat="1" applyBorder="1" applyAlignment="1">
      <alignment horizontal="center"/>
    </xf>
    <xf numFmtId="0" fontId="12" fillId="0" borderId="70" xfId="0" applyFont="1" applyBorder="1" applyAlignment="1">
      <alignment horizontal="center"/>
    </xf>
    <xf numFmtId="0" fontId="12" fillId="0" borderId="71" xfId="0" applyFont="1" applyBorder="1" applyAlignment="1">
      <alignment horizontal="center"/>
    </xf>
    <xf numFmtId="0" fontId="8" fillId="4" borderId="3" xfId="0" applyFont="1" applyFill="1" applyBorder="1" applyAlignment="1">
      <alignment horizontal="center" vertical="center" wrapText="1"/>
    </xf>
    <xf numFmtId="46" fontId="19" fillId="5" borderId="3" xfId="0" applyNumberFormat="1" applyFont="1" applyFill="1" applyBorder="1" applyAlignment="1">
      <alignment horizontal="center" vertical="center" wrapText="1"/>
    </xf>
    <xf numFmtId="20" fontId="8" fillId="4" borderId="3" xfId="0" applyNumberFormat="1" applyFont="1" applyFill="1" applyBorder="1" applyAlignment="1">
      <alignment horizontal="center" vertical="center" wrapText="1"/>
    </xf>
    <xf numFmtId="46" fontId="8" fillId="4" borderId="3" xfId="0" applyNumberFormat="1" applyFont="1" applyFill="1" applyBorder="1" applyAlignment="1">
      <alignment horizontal="center" vertical="center" wrapText="1"/>
    </xf>
    <xf numFmtId="20" fontId="19" fillId="5" borderId="3" xfId="0" applyNumberFormat="1" applyFont="1" applyFill="1" applyBorder="1" applyAlignment="1">
      <alignment horizontal="center" vertical="center" wrapText="1"/>
    </xf>
    <xf numFmtId="0" fontId="0" fillId="0" borderId="0" xfId="0" applyAlignment="1">
      <alignment horizontal="center" vertical="center" wrapText="1"/>
    </xf>
    <xf numFmtId="0" fontId="8" fillId="4" borderId="72" xfId="0" applyFont="1" applyFill="1" applyBorder="1" applyAlignment="1">
      <alignment horizontal="center" vertical="center" wrapText="1"/>
    </xf>
    <xf numFmtId="0" fontId="19" fillId="5" borderId="3" xfId="0" applyFont="1" applyFill="1" applyBorder="1" applyAlignment="1">
      <alignment horizontal="center" vertical="center" wrapText="1"/>
    </xf>
    <xf numFmtId="2" fontId="0" fillId="0" borderId="0" xfId="0" applyNumberFormat="1" applyAlignment="1">
      <alignment horizontal="center" vertical="center"/>
    </xf>
    <xf numFmtId="0" fontId="8" fillId="4" borderId="0" xfId="0" applyFont="1" applyFill="1" applyAlignment="1">
      <alignment horizontal="center" vertical="center" wrapText="1"/>
    </xf>
    <xf numFmtId="0" fontId="19" fillId="5" borderId="0" xfId="0" applyFont="1" applyFill="1" applyAlignment="1">
      <alignment horizontal="center" vertical="center" wrapText="1"/>
    </xf>
    <xf numFmtId="20" fontId="8" fillId="4" borderId="0" xfId="0" applyNumberFormat="1" applyFont="1" applyFill="1" applyAlignment="1">
      <alignment horizontal="center" vertical="center" wrapText="1"/>
    </xf>
    <xf numFmtId="20" fontId="19" fillId="5" borderId="0" xfId="0" applyNumberFormat="1" applyFont="1" applyFill="1" applyAlignment="1">
      <alignment horizontal="center" vertical="center" wrapText="1"/>
    </xf>
    <xf numFmtId="0" fontId="0" fillId="0" borderId="72" xfId="0" applyBorder="1" applyAlignment="1">
      <alignment horizontal="center"/>
    </xf>
    <xf numFmtId="0" fontId="6" fillId="3" borderId="2" xfId="1" applyFont="1" applyFill="1" applyBorder="1" applyAlignment="1">
      <alignment horizontal="center" vertical="center"/>
    </xf>
    <xf numFmtId="0" fontId="9" fillId="4" borderId="3" xfId="2" applyFill="1" applyBorder="1" applyAlignment="1">
      <alignment horizontal="center" vertical="center" wrapText="1"/>
    </xf>
    <xf numFmtId="0" fontId="0" fillId="0" borderId="3" xfId="0" applyBorder="1" applyAlignment="1">
      <alignment horizontal="center"/>
    </xf>
    <xf numFmtId="20" fontId="8" fillId="4" borderId="72" xfId="0" applyNumberFormat="1" applyFont="1" applyFill="1" applyBorder="1" applyAlignment="1">
      <alignment horizontal="center" vertical="center" wrapText="1"/>
    </xf>
    <xf numFmtId="0" fontId="19" fillId="5" borderId="72" xfId="0" applyFont="1" applyFill="1" applyBorder="1" applyAlignment="1">
      <alignment horizontal="center" vertical="center" wrapText="1"/>
    </xf>
    <xf numFmtId="46" fontId="8" fillId="4" borderId="72" xfId="0" applyNumberFormat="1" applyFont="1" applyFill="1" applyBorder="1" applyAlignment="1">
      <alignment horizontal="center" vertical="center" wrapText="1"/>
    </xf>
    <xf numFmtId="46" fontId="8" fillId="4" borderId="0" xfId="0" applyNumberFormat="1" applyFont="1" applyFill="1" applyAlignment="1">
      <alignment horizontal="center" vertical="center" wrapText="1"/>
    </xf>
    <xf numFmtId="14" fontId="1" fillId="0" borderId="2" xfId="0" applyNumberFormat="1" applyFont="1" applyBorder="1" applyAlignment="1">
      <alignment horizontal="center" vertical="center"/>
    </xf>
    <xf numFmtId="14" fontId="1" fillId="0" borderId="12" xfId="0" applyNumberFormat="1" applyFont="1" applyBorder="1" applyAlignment="1">
      <alignment horizontal="center" vertical="center"/>
    </xf>
    <xf numFmtId="0" fontId="20" fillId="15" borderId="0" xfId="0" applyFont="1" applyFill="1" applyAlignment="1">
      <alignment horizontal="center"/>
    </xf>
    <xf numFmtId="0" fontId="7" fillId="5" borderId="74" xfId="0" applyFont="1" applyFill="1" applyBorder="1" applyAlignment="1">
      <alignment horizontal="center" vertical="center" wrapText="1"/>
    </xf>
    <xf numFmtId="0" fontId="7" fillId="5" borderId="0" xfId="0" applyFont="1" applyFill="1" applyAlignment="1">
      <alignment horizontal="center" vertical="center" wrapText="1"/>
    </xf>
    <xf numFmtId="0" fontId="0" fillId="0" borderId="20" xfId="0" applyBorder="1"/>
    <xf numFmtId="0" fontId="0" fillId="14" borderId="6" xfId="0" applyFill="1" applyBorder="1" applyAlignment="1">
      <alignment horizontal="center"/>
    </xf>
    <xf numFmtId="0" fontId="0" fillId="14" borderId="13" xfId="0" applyFill="1" applyBorder="1" applyAlignment="1">
      <alignment horizontal="center"/>
    </xf>
    <xf numFmtId="0" fontId="18" fillId="0" borderId="0" xfId="0" applyFont="1" applyAlignment="1">
      <alignment horizontal="center"/>
    </xf>
    <xf numFmtId="0" fontId="21" fillId="0" borderId="73" xfId="0" applyFont="1" applyBorder="1" applyAlignment="1">
      <alignment horizontal="center" vertical="center"/>
    </xf>
    <xf numFmtId="0" fontId="22" fillId="0" borderId="0" xfId="0" applyFont="1" applyAlignment="1">
      <alignment horizontal="center"/>
    </xf>
    <xf numFmtId="0" fontId="7" fillId="4" borderId="74" xfId="0" applyFont="1" applyFill="1" applyBorder="1" applyAlignment="1">
      <alignment horizontal="center" vertical="center" wrapText="1"/>
    </xf>
    <xf numFmtId="16" fontId="8" fillId="4" borderId="72" xfId="0" applyNumberFormat="1" applyFont="1" applyFill="1" applyBorder="1" applyAlignment="1">
      <alignment horizontal="center" vertical="center" wrapText="1"/>
    </xf>
    <xf numFmtId="17" fontId="8" fillId="4" borderId="72" xfId="0" applyNumberFormat="1" applyFont="1" applyFill="1" applyBorder="1" applyAlignment="1">
      <alignment horizontal="center" vertical="center" wrapText="1"/>
    </xf>
    <xf numFmtId="0" fontId="0" fillId="14" borderId="5" xfId="0" applyFill="1" applyBorder="1" applyAlignment="1">
      <alignment horizontal="center"/>
    </xf>
    <xf numFmtId="0" fontId="0" fillId="14" borderId="64" xfId="0" applyFill="1" applyBorder="1" applyAlignment="1">
      <alignment horizontal="center"/>
    </xf>
    <xf numFmtId="0" fontId="0" fillId="14" borderId="12" xfId="0" applyFill="1" applyBorder="1" applyAlignment="1">
      <alignment horizontal="center"/>
    </xf>
    <xf numFmtId="0" fontId="0" fillId="14" borderId="63" xfId="0" applyFill="1" applyBorder="1" applyAlignment="1">
      <alignment horizontal="center"/>
    </xf>
    <xf numFmtId="0" fontId="18" fillId="0" borderId="0" xfId="0" applyFont="1"/>
    <xf numFmtId="0" fontId="22" fillId="0" borderId="76" xfId="0" applyFont="1" applyBorder="1"/>
    <xf numFmtId="0" fontId="19" fillId="4" borderId="76" xfId="0" applyFont="1" applyFill="1" applyBorder="1" applyAlignment="1">
      <alignment horizontal="center" vertical="center" wrapText="1"/>
    </xf>
    <xf numFmtId="0" fontId="22" fillId="0" borderId="75" xfId="0" applyFont="1" applyBorder="1" applyAlignment="1">
      <alignment horizontal="center"/>
    </xf>
    <xf numFmtId="0" fontId="19" fillId="5" borderId="76" xfId="0" applyFont="1" applyFill="1" applyBorder="1" applyAlignment="1">
      <alignment horizontal="center" vertical="center" wrapText="1"/>
    </xf>
    <xf numFmtId="0" fontId="10" fillId="0" borderId="1" xfId="0" applyFont="1" applyBorder="1" applyAlignment="1">
      <alignment horizontal="center"/>
    </xf>
    <xf numFmtId="1" fontId="19" fillId="4" borderId="76" xfId="0" applyNumberFormat="1" applyFont="1" applyFill="1" applyBorder="1" applyAlignment="1">
      <alignment horizontal="center" vertical="center" wrapText="1"/>
    </xf>
    <xf numFmtId="1" fontId="19" fillId="5" borderId="76" xfId="0" applyNumberFormat="1" applyFont="1" applyFill="1" applyBorder="1" applyAlignment="1">
      <alignment horizontal="center" vertical="center" wrapText="1"/>
    </xf>
    <xf numFmtId="0" fontId="0" fillId="0" borderId="52" xfId="0" applyBorder="1" applyAlignment="1">
      <alignment horizontal="center"/>
    </xf>
    <xf numFmtId="47" fontId="0" fillId="0" borderId="0" xfId="0" applyNumberFormat="1" applyAlignment="1">
      <alignment horizontal="center"/>
    </xf>
    <xf numFmtId="0" fontId="0" fillId="0" borderId="51" xfId="0" applyBorder="1" applyAlignment="1">
      <alignment horizontal="center"/>
    </xf>
    <xf numFmtId="0" fontId="23" fillId="0" borderId="25" xfId="0" applyFont="1" applyBorder="1" applyAlignment="1">
      <alignment horizontal="center"/>
    </xf>
    <xf numFmtId="0" fontId="23" fillId="0" borderId="60" xfId="0" applyFont="1" applyBorder="1" applyAlignment="1">
      <alignment horizontal="center"/>
    </xf>
    <xf numFmtId="0" fontId="23" fillId="0" borderId="0" xfId="0" applyFont="1" applyAlignment="1">
      <alignment horizontal="center"/>
    </xf>
    <xf numFmtId="14" fontId="23" fillId="0" borderId="0" xfId="0" applyNumberFormat="1" applyFont="1" applyAlignment="1">
      <alignment horizontal="center"/>
    </xf>
    <xf numFmtId="169" fontId="16" fillId="0" borderId="59" xfId="0" applyNumberFormat="1" applyFont="1" applyBorder="1" applyAlignment="1">
      <alignment horizontal="center"/>
    </xf>
    <xf numFmtId="169" fontId="0" fillId="0" borderId="38" xfId="0" applyNumberFormat="1" applyBorder="1" applyAlignment="1">
      <alignment horizontal="center"/>
    </xf>
    <xf numFmtId="169" fontId="16" fillId="14" borderId="77" xfId="0" applyNumberFormat="1" applyFont="1" applyFill="1" applyBorder="1" applyAlignment="1">
      <alignment horizontal="center"/>
    </xf>
    <xf numFmtId="0" fontId="24" fillId="0" borderId="0" xfId="0" applyFont="1"/>
    <xf numFmtId="169" fontId="0" fillId="0" borderId="35" xfId="0" applyNumberFormat="1" applyBorder="1" applyAlignment="1">
      <alignment horizontal="center"/>
    </xf>
    <xf numFmtId="0" fontId="10" fillId="10" borderId="0" xfId="3" applyFill="1" applyAlignment="1">
      <alignment horizontal="center"/>
    </xf>
    <xf numFmtId="0" fontId="15" fillId="0" borderId="0" xfId="3" applyFont="1" applyAlignment="1">
      <alignment horizontal="center"/>
    </xf>
    <xf numFmtId="10" fontId="0" fillId="0" borderId="14" xfId="0" applyNumberFormat="1" applyBorder="1" applyAlignment="1">
      <alignment horizontal="center"/>
    </xf>
    <xf numFmtId="0" fontId="0" fillId="0" borderId="58" xfId="0" applyBorder="1" applyAlignment="1">
      <alignment horizontal="center"/>
    </xf>
    <xf numFmtId="10" fontId="0" fillId="0" borderId="16" xfId="0" applyNumberFormat="1" applyBorder="1" applyAlignment="1">
      <alignment horizontal="center"/>
    </xf>
    <xf numFmtId="0" fontId="16" fillId="10" borderId="0" xfId="0" applyFont="1" applyFill="1" applyAlignment="1">
      <alignment horizontal="center"/>
    </xf>
    <xf numFmtId="0" fontId="0" fillId="0" borderId="53" xfId="0" applyBorder="1" applyAlignment="1">
      <alignment horizontal="center"/>
    </xf>
    <xf numFmtId="167" fontId="0" fillId="0" borderId="61" xfId="0" applyNumberFormat="1" applyBorder="1" applyAlignment="1">
      <alignment horizontal="center"/>
    </xf>
    <xf numFmtId="169" fontId="0" fillId="0" borderId="32" xfId="0" applyNumberFormat="1" applyBorder="1" applyAlignment="1">
      <alignment horizontal="center"/>
    </xf>
    <xf numFmtId="0" fontId="0" fillId="2" borderId="39" xfId="0" applyFill="1" applyBorder="1" applyAlignment="1">
      <alignment horizontal="center"/>
    </xf>
    <xf numFmtId="0" fontId="0" fillId="2" borderId="40" xfId="0" applyFill="1" applyBorder="1" applyAlignment="1">
      <alignment horizontal="center"/>
    </xf>
    <xf numFmtId="0" fontId="0" fillId="2" borderId="23" xfId="0" applyFill="1" applyBorder="1" applyAlignment="1">
      <alignment horizontal="center"/>
    </xf>
    <xf numFmtId="0" fontId="0" fillId="7" borderId="50" xfId="0" applyFill="1" applyBorder="1" applyAlignment="1">
      <alignment horizontal="center"/>
    </xf>
    <xf numFmtId="2" fontId="0" fillId="7" borderId="41" xfId="0" applyNumberFormat="1" applyFill="1" applyBorder="1" applyAlignment="1">
      <alignment horizontal="center"/>
    </xf>
    <xf numFmtId="2" fontId="0" fillId="7" borderId="32" xfId="0" applyNumberFormat="1" applyFill="1" applyBorder="1" applyAlignment="1">
      <alignment horizontal="center"/>
    </xf>
    <xf numFmtId="2" fontId="0" fillId="7" borderId="35" xfId="0" applyNumberFormat="1" applyFill="1" applyBorder="1" applyAlignment="1">
      <alignment horizontal="center"/>
    </xf>
    <xf numFmtId="0" fontId="0" fillId="7" borderId="35" xfId="0" applyFill="1" applyBorder="1" applyAlignment="1">
      <alignment horizontal="center"/>
    </xf>
    <xf numFmtId="0" fontId="6" fillId="19" borderId="0" xfId="1" applyFont="1" applyFill="1" applyAlignment="1">
      <alignment horizontal="center" vertical="center"/>
    </xf>
    <xf numFmtId="0" fontId="0" fillId="0" borderId="27" xfId="0" applyBorder="1" applyAlignment="1">
      <alignment horizontal="center" vertical="center"/>
    </xf>
    <xf numFmtId="0" fontId="9" fillId="4" borderId="27" xfId="2" applyFill="1" applyBorder="1" applyAlignment="1">
      <alignment horizontal="center" vertical="center" wrapText="1"/>
    </xf>
    <xf numFmtId="0" fontId="8" fillId="4" borderId="27" xfId="0" applyFont="1" applyFill="1" applyBorder="1" applyAlignment="1">
      <alignment horizontal="center" vertical="center" wrapText="1"/>
    </xf>
    <xf numFmtId="0" fontId="19" fillId="5" borderId="27" xfId="0" applyFont="1" applyFill="1" applyBorder="1" applyAlignment="1">
      <alignment horizontal="center" vertical="center" wrapText="1"/>
    </xf>
    <xf numFmtId="2" fontId="0" fillId="0" borderId="27" xfId="0" applyNumberFormat="1" applyBorder="1" applyAlignment="1">
      <alignment horizontal="center" vertical="center"/>
    </xf>
    <xf numFmtId="2" fontId="8" fillId="4" borderId="27" xfId="0" applyNumberFormat="1" applyFont="1" applyFill="1" applyBorder="1" applyAlignment="1">
      <alignment horizontal="center" vertical="center" wrapText="1"/>
    </xf>
    <xf numFmtId="20" fontId="8" fillId="4" borderId="27" xfId="0" applyNumberFormat="1" applyFont="1" applyFill="1" applyBorder="1" applyAlignment="1">
      <alignment horizontal="center" vertical="center" wrapText="1"/>
    </xf>
    <xf numFmtId="20" fontId="19" fillId="5" borderId="27" xfId="0" applyNumberFormat="1" applyFont="1" applyFill="1" applyBorder="1" applyAlignment="1">
      <alignment horizontal="center" vertical="center" wrapText="1"/>
    </xf>
    <xf numFmtId="0" fontId="5" fillId="4" borderId="27" xfId="1" applyFont="1" applyFill="1" applyBorder="1" applyAlignment="1">
      <alignment horizontal="center" vertical="center"/>
    </xf>
    <xf numFmtId="0" fontId="5" fillId="5" borderId="27" xfId="1" applyFont="1" applyFill="1" applyBorder="1" applyAlignment="1">
      <alignment horizontal="center" vertical="center"/>
    </xf>
    <xf numFmtId="0" fontId="3" fillId="0" borderId="27" xfId="1" applyBorder="1" applyAlignment="1">
      <alignment horizontal="center" vertical="center"/>
    </xf>
    <xf numFmtId="168" fontId="8" fillId="4" borderId="27" xfId="0" applyNumberFormat="1" applyFont="1" applyFill="1" applyBorder="1" applyAlignment="1">
      <alignment horizontal="center" vertical="center" wrapText="1"/>
    </xf>
    <xf numFmtId="168" fontId="19" fillId="5" borderId="27" xfId="0" applyNumberFormat="1" applyFont="1" applyFill="1" applyBorder="1" applyAlignment="1">
      <alignment horizontal="center" vertical="center" wrapText="1"/>
    </xf>
    <xf numFmtId="0" fontId="17" fillId="0" borderId="0" xfId="0" applyFont="1" applyAlignment="1">
      <alignment horizontal="center"/>
    </xf>
    <xf numFmtId="0" fontId="0" fillId="0" borderId="79" xfId="0" applyBorder="1" applyAlignment="1">
      <alignment horizontal="center"/>
    </xf>
    <xf numFmtId="0" fontId="20" fillId="0" borderId="0" xfId="0" applyFont="1" applyAlignment="1">
      <alignment horizontal="center"/>
    </xf>
    <xf numFmtId="0" fontId="0" fillId="20" borderId="0" xfId="0" applyFill="1" applyAlignment="1">
      <alignment horizontal="center"/>
    </xf>
    <xf numFmtId="172" fontId="0" fillId="21" borderId="81" xfId="0" applyNumberFormat="1" applyFill="1" applyBorder="1" applyAlignment="1">
      <alignment horizontal="center"/>
    </xf>
    <xf numFmtId="169" fontId="0" fillId="0" borderId="0" xfId="0" applyNumberFormat="1" applyAlignment="1">
      <alignment horizontal="center"/>
    </xf>
    <xf numFmtId="0" fontId="1" fillId="0" borderId="13" xfId="0" applyFont="1" applyBorder="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0" borderId="4" xfId="0" applyFont="1" applyBorder="1" applyAlignment="1">
      <alignment horizontal="center" vertical="center"/>
    </xf>
    <xf numFmtId="0" fontId="1" fillId="0" borderId="14" xfId="0" applyFont="1" applyBorder="1" applyAlignment="1">
      <alignment horizontal="center" vertical="center"/>
    </xf>
    <xf numFmtId="0" fontId="0" fillId="4" borderId="83" xfId="0" applyFill="1" applyBorder="1"/>
    <xf numFmtId="0" fontId="0" fillId="0" borderId="83" xfId="0" applyBorder="1" applyAlignment="1">
      <alignment horizontal="center"/>
    </xf>
    <xf numFmtId="0" fontId="0" fillId="0" borderId="83" xfId="0" applyBorder="1"/>
    <xf numFmtId="0" fontId="0" fillId="0" borderId="83" xfId="0" applyBorder="1" applyAlignment="1">
      <alignment horizontal="left"/>
    </xf>
    <xf numFmtId="0" fontId="27" fillId="0" borderId="0" xfId="0" applyFont="1" applyAlignment="1">
      <alignment vertical="top"/>
    </xf>
    <xf numFmtId="0" fontId="23" fillId="0" borderId="0" xfId="0" applyFont="1" applyAlignment="1">
      <alignment horizontal="center" vertical="top"/>
    </xf>
    <xf numFmtId="2" fontId="23" fillId="0" borderId="0" xfId="0" applyNumberFormat="1" applyFont="1" applyAlignment="1">
      <alignment horizontal="center"/>
    </xf>
    <xf numFmtId="0" fontId="28" fillId="0" borderId="0" xfId="0" applyFont="1" applyAlignment="1">
      <alignment horizontal="center"/>
    </xf>
    <xf numFmtId="0" fontId="23" fillId="0" borderId="0" xfId="0" applyFont="1"/>
    <xf numFmtId="0" fontId="0" fillId="0" borderId="84" xfId="0" applyBorder="1" applyAlignment="1">
      <alignment horizontal="center"/>
    </xf>
    <xf numFmtId="14" fontId="0" fillId="0" borderId="85" xfId="0" applyNumberFormat="1" applyBorder="1" applyAlignment="1">
      <alignment horizontal="center"/>
    </xf>
    <xf numFmtId="172" fontId="0" fillId="0" borderId="85" xfId="0" applyNumberFormat="1" applyBorder="1" applyAlignment="1">
      <alignment horizontal="center"/>
    </xf>
    <xf numFmtId="173" fontId="23" fillId="0" borderId="0" xfId="0" applyNumberFormat="1" applyFont="1" applyAlignment="1">
      <alignment horizontal="center"/>
    </xf>
    <xf numFmtId="0" fontId="0" fillId="0" borderId="82" xfId="0" applyBorder="1" applyAlignment="1">
      <alignment horizontal="center"/>
    </xf>
    <xf numFmtId="14" fontId="0" fillId="0" borderId="81" xfId="0" applyNumberFormat="1" applyBorder="1" applyAlignment="1">
      <alignment horizontal="center"/>
    </xf>
    <xf numFmtId="0" fontId="29" fillId="22" borderId="79" xfId="0" applyFont="1" applyFill="1" applyBorder="1" applyAlignment="1">
      <alignment horizontal="center"/>
    </xf>
    <xf numFmtId="0" fontId="29" fillId="22" borderId="80" xfId="0" applyFont="1" applyFill="1" applyBorder="1" applyAlignment="1">
      <alignment horizontal="center"/>
    </xf>
    <xf numFmtId="0" fontId="29" fillId="22" borderId="86" xfId="0" applyFont="1" applyFill="1" applyBorder="1" applyAlignment="1">
      <alignment horizontal="center"/>
    </xf>
    <xf numFmtId="14" fontId="0" fillId="0" borderId="80" xfId="0" applyNumberFormat="1" applyBorder="1" applyAlignment="1">
      <alignment horizontal="center"/>
    </xf>
    <xf numFmtId="172" fontId="0" fillId="0" borderId="80" xfId="0" applyNumberFormat="1" applyBorder="1" applyAlignment="1">
      <alignment horizontal="center"/>
    </xf>
    <xf numFmtId="164" fontId="0" fillId="0" borderId="80" xfId="0" applyNumberFormat="1" applyBorder="1" applyAlignment="1">
      <alignment horizontal="center"/>
    </xf>
    <xf numFmtId="0" fontId="0" fillId="23" borderId="82" xfId="0" applyFill="1" applyBorder="1" applyAlignment="1">
      <alignment horizontal="center"/>
    </xf>
    <xf numFmtId="14" fontId="0" fillId="23" borderId="81" xfId="0" applyNumberFormat="1" applyFill="1" applyBorder="1" applyAlignment="1">
      <alignment horizontal="center"/>
    </xf>
    <xf numFmtId="172" fontId="0" fillId="23" borderId="81" xfId="0" applyNumberFormat="1" applyFill="1" applyBorder="1" applyAlignment="1">
      <alignment horizontal="center"/>
    </xf>
    <xf numFmtId="0" fontId="0" fillId="24" borderId="82" xfId="0" applyFill="1" applyBorder="1" applyAlignment="1">
      <alignment horizontal="center"/>
    </xf>
    <xf numFmtId="14" fontId="0" fillId="24" borderId="81" xfId="0" applyNumberFormat="1" applyFill="1" applyBorder="1" applyAlignment="1">
      <alignment horizontal="center"/>
    </xf>
    <xf numFmtId="172" fontId="0" fillId="24" borderId="81" xfId="0" applyNumberFormat="1" applyFill="1" applyBorder="1" applyAlignment="1">
      <alignment horizontal="center"/>
    </xf>
    <xf numFmtId="0" fontId="31" fillId="0" borderId="1" xfId="0" applyFont="1" applyBorder="1" applyAlignment="1">
      <alignment horizontal="center"/>
    </xf>
    <xf numFmtId="0" fontId="0" fillId="10" borderId="5" xfId="0" applyFill="1" applyBorder="1" applyAlignment="1">
      <alignment horizontal="center"/>
    </xf>
    <xf numFmtId="0" fontId="0" fillId="10" borderId="6" xfId="0" applyFill="1" applyBorder="1" applyAlignment="1">
      <alignment horizontal="center"/>
    </xf>
    <xf numFmtId="0" fontId="0" fillId="10" borderId="4" xfId="0" applyFill="1" applyBorder="1" applyAlignment="1">
      <alignment horizontal="center"/>
    </xf>
    <xf numFmtId="0" fontId="0" fillId="10" borderId="2" xfId="0" applyFill="1" applyBorder="1" applyAlignment="1">
      <alignment horizontal="center"/>
    </xf>
    <xf numFmtId="0" fontId="0" fillId="10" borderId="0" xfId="0" applyFill="1" applyAlignment="1">
      <alignment horizontal="center"/>
    </xf>
    <xf numFmtId="14" fontId="0" fillId="10" borderId="0" xfId="0" applyNumberFormat="1" applyFill="1" applyAlignment="1">
      <alignment horizontal="center"/>
    </xf>
    <xf numFmtId="0" fontId="0" fillId="10" borderId="1" xfId="0" applyFill="1" applyBorder="1" applyAlignment="1">
      <alignment horizontal="center"/>
    </xf>
    <xf numFmtId="0" fontId="0" fillId="10" borderId="12" xfId="0" applyFill="1" applyBorder="1" applyAlignment="1">
      <alignment horizontal="center"/>
    </xf>
    <xf numFmtId="0" fontId="0" fillId="10" borderId="13" xfId="0" applyFill="1" applyBorder="1" applyAlignment="1">
      <alignment horizontal="center"/>
    </xf>
    <xf numFmtId="14" fontId="0" fillId="10" borderId="13" xfId="0" applyNumberFormat="1" applyFill="1" applyBorder="1" applyAlignment="1">
      <alignment horizontal="center"/>
    </xf>
    <xf numFmtId="0" fontId="0" fillId="10" borderId="14" xfId="0" applyFill="1" applyBorder="1" applyAlignment="1">
      <alignment horizontal="center"/>
    </xf>
    <xf numFmtId="0" fontId="0" fillId="10" borderId="51" xfId="0" applyFill="1" applyBorder="1" applyAlignment="1">
      <alignment horizontal="center"/>
    </xf>
    <xf numFmtId="0" fontId="0" fillId="10" borderId="53" xfId="0" applyFill="1" applyBorder="1" applyAlignment="1">
      <alignment horizontal="center"/>
    </xf>
    <xf numFmtId="0" fontId="0" fillId="10" borderId="0" xfId="0" applyFill="1"/>
    <xf numFmtId="0" fontId="0" fillId="0" borderId="80" xfId="0" applyBorder="1" applyAlignment="1">
      <alignment horizontal="center"/>
    </xf>
    <xf numFmtId="0" fontId="0" fillId="24" borderId="0" xfId="0" applyFill="1" applyAlignment="1">
      <alignment horizontal="center"/>
    </xf>
    <xf numFmtId="14" fontId="0" fillId="24" borderId="0" xfId="0" applyNumberFormat="1" applyFill="1" applyAlignment="1">
      <alignment horizontal="center"/>
    </xf>
    <xf numFmtId="172" fontId="0" fillId="0" borderId="81" xfId="0" applyNumberFormat="1" applyBorder="1" applyAlignment="1">
      <alignment horizontal="center"/>
    </xf>
    <xf numFmtId="0" fontId="0" fillId="0" borderId="86" xfId="0" applyBorder="1" applyAlignment="1">
      <alignment horizontal="center"/>
    </xf>
    <xf numFmtId="0" fontId="8" fillId="4" borderId="3" xfId="0" applyFont="1" applyFill="1" applyBorder="1" applyAlignment="1">
      <alignment horizontal="left" vertical="center" wrapText="1"/>
    </xf>
    <xf numFmtId="174" fontId="0" fillId="0" borderId="0" xfId="0" applyNumberFormat="1" applyAlignment="1">
      <alignment horizontal="center" vertical="center"/>
    </xf>
    <xf numFmtId="0" fontId="8" fillId="4" borderId="0" xfId="0" applyFont="1" applyFill="1" applyAlignment="1">
      <alignment horizontal="left" vertical="center" wrapText="1"/>
    </xf>
    <xf numFmtId="0" fontId="5" fillId="4" borderId="68" xfId="1" applyFont="1" applyFill="1" applyBorder="1" applyAlignment="1">
      <alignment horizontal="center" vertical="center"/>
    </xf>
    <xf numFmtId="0" fontId="5" fillId="4" borderId="88" xfId="1" applyFont="1" applyFill="1" applyBorder="1" applyAlignment="1">
      <alignment horizontal="center" vertical="center"/>
    </xf>
    <xf numFmtId="0" fontId="5" fillId="5" borderId="88" xfId="1" applyFont="1" applyFill="1" applyBorder="1" applyAlignment="1">
      <alignment horizontal="center" vertical="center"/>
    </xf>
    <xf numFmtId="0" fontId="3" fillId="0" borderId="88" xfId="1" applyBorder="1" applyAlignment="1">
      <alignment horizontal="center" vertical="center"/>
    </xf>
    <xf numFmtId="0" fontId="3" fillId="0" borderId="69" xfId="1" applyBorder="1" applyAlignment="1">
      <alignment horizontal="center" vertical="center"/>
    </xf>
    <xf numFmtId="0" fontId="9" fillId="4" borderId="0" xfId="2" applyFill="1" applyBorder="1" applyAlignment="1">
      <alignment horizontal="center" vertical="center" wrapText="1"/>
    </xf>
    <xf numFmtId="166" fontId="0" fillId="0" borderId="0" xfId="0" applyNumberFormat="1" applyAlignment="1">
      <alignment horizontal="center"/>
    </xf>
    <xf numFmtId="0" fontId="2" fillId="0" borderId="0" xfId="0" applyFont="1" applyAlignment="1">
      <alignment horizontal="center" vertical="center" wrapText="1"/>
    </xf>
    <xf numFmtId="0" fontId="9" fillId="0" borderId="0" xfId="2" applyAlignment="1">
      <alignment horizontal="center" vertical="center" wrapText="1"/>
    </xf>
    <xf numFmtId="0" fontId="32" fillId="0" borderId="0" xfId="0" applyFont="1" applyAlignment="1">
      <alignment horizontal="center" vertical="center" wrapText="1"/>
    </xf>
    <xf numFmtId="166" fontId="1" fillId="0" borderId="0" xfId="0" applyNumberFormat="1" applyFont="1" applyAlignment="1">
      <alignment horizontal="center" vertical="center" wrapText="1"/>
    </xf>
    <xf numFmtId="2" fontId="1" fillId="0" borderId="0" xfId="0" applyNumberFormat="1" applyFont="1" applyAlignment="1">
      <alignment horizontal="center" vertical="center" wrapText="1"/>
    </xf>
    <xf numFmtId="166" fontId="0" fillId="0" borderId="0" xfId="0" applyNumberFormat="1" applyAlignment="1">
      <alignment horizontal="center" vertical="center"/>
    </xf>
    <xf numFmtId="0" fontId="33" fillId="0" borderId="0" xfId="0" applyFont="1" applyAlignment="1">
      <alignment horizontal="center"/>
    </xf>
    <xf numFmtId="2" fontId="33" fillId="0" borderId="0" xfId="0" applyNumberFormat="1" applyFont="1" applyAlignment="1">
      <alignment horizontal="center"/>
    </xf>
    <xf numFmtId="166" fontId="33" fillId="0" borderId="0" xfId="0" applyNumberFormat="1" applyFont="1" applyAlignment="1">
      <alignment horizontal="center"/>
    </xf>
    <xf numFmtId="20" fontId="1" fillId="0" borderId="0" xfId="0" applyNumberFormat="1" applyFont="1" applyAlignment="1">
      <alignment horizontal="center" vertical="center" wrapText="1"/>
    </xf>
    <xf numFmtId="0" fontId="34" fillId="0" borderId="0" xfId="0" applyFont="1" applyAlignment="1">
      <alignment horizontal="center"/>
    </xf>
    <xf numFmtId="0" fontId="34" fillId="0" borderId="0" xfId="0" applyFont="1"/>
    <xf numFmtId="0" fontId="35" fillId="4" borderId="89" xfId="1" applyFont="1" applyFill="1" applyBorder="1" applyAlignment="1">
      <alignment horizontal="center" vertical="center"/>
    </xf>
    <xf numFmtId="0" fontId="35" fillId="4" borderId="45" xfId="1" applyFont="1" applyFill="1" applyBorder="1" applyAlignment="1">
      <alignment horizontal="center" vertical="center"/>
    </xf>
    <xf numFmtId="0" fontId="35" fillId="5" borderId="45" xfId="1" applyFont="1" applyFill="1" applyBorder="1" applyAlignment="1">
      <alignment horizontal="center" vertical="center"/>
    </xf>
    <xf numFmtId="0" fontId="34" fillId="4" borderId="27" xfId="0" applyFont="1" applyFill="1" applyBorder="1" applyAlignment="1">
      <alignment horizontal="center" vertical="center" wrapText="1"/>
    </xf>
    <xf numFmtId="2" fontId="34" fillId="0" borderId="27" xfId="0" applyNumberFormat="1" applyFont="1" applyBorder="1" applyAlignment="1">
      <alignment horizontal="center" vertical="center"/>
    </xf>
    <xf numFmtId="20" fontId="34" fillId="4" borderId="27" xfId="0" applyNumberFormat="1" applyFont="1" applyFill="1" applyBorder="1" applyAlignment="1">
      <alignment horizontal="center" vertical="center" wrapText="1"/>
    </xf>
    <xf numFmtId="0" fontId="35" fillId="5" borderId="59" xfId="1" applyFont="1" applyFill="1" applyBorder="1" applyAlignment="1">
      <alignment horizontal="center" vertical="center"/>
    </xf>
    <xf numFmtId="0" fontId="34" fillId="0" borderId="31" xfId="0" applyFont="1" applyBorder="1" applyAlignment="1">
      <alignment horizontal="center"/>
    </xf>
    <xf numFmtId="0" fontId="34" fillId="4" borderId="32" xfId="0" applyFont="1" applyFill="1" applyBorder="1" applyAlignment="1">
      <alignment horizontal="center" vertical="center" wrapText="1"/>
    </xf>
    <xf numFmtId="0" fontId="34" fillId="0" borderId="33" xfId="0" applyFont="1" applyBorder="1" applyAlignment="1">
      <alignment horizontal="center"/>
    </xf>
    <xf numFmtId="0" fontId="34" fillId="0" borderId="34" xfId="0" applyFont="1" applyBorder="1" applyAlignment="1">
      <alignment horizontal="center"/>
    </xf>
    <xf numFmtId="0" fontId="36" fillId="0" borderId="34" xfId="0" applyFont="1" applyBorder="1" applyAlignment="1">
      <alignment horizontal="center" vertical="center" wrapText="1"/>
    </xf>
    <xf numFmtId="2" fontId="34" fillId="0" borderId="34" xfId="0" applyNumberFormat="1" applyFont="1" applyBorder="1" applyAlignment="1">
      <alignment horizontal="center"/>
    </xf>
    <xf numFmtId="20" fontId="36" fillId="0" borderId="34" xfId="0" applyNumberFormat="1" applyFont="1" applyBorder="1" applyAlignment="1">
      <alignment horizontal="center" vertical="center" wrapText="1"/>
    </xf>
    <xf numFmtId="0" fontId="36" fillId="0" borderId="35" xfId="0" applyFont="1" applyBorder="1" applyAlignment="1">
      <alignment horizontal="center" vertical="center" wrapText="1"/>
    </xf>
    <xf numFmtId="0" fontId="6" fillId="27" borderId="0" xfId="1" applyFont="1" applyFill="1" applyAlignment="1">
      <alignment horizontal="center" vertical="center"/>
    </xf>
    <xf numFmtId="14" fontId="1" fillId="0" borderId="0" xfId="0" applyNumberFormat="1" applyFont="1" applyAlignment="1">
      <alignment horizontal="center" vertical="center"/>
    </xf>
    <xf numFmtId="1" fontId="0" fillId="20" borderId="0" xfId="0" applyNumberFormat="1" applyFill="1" applyAlignment="1">
      <alignment horizontal="center"/>
    </xf>
    <xf numFmtId="0" fontId="1" fillId="26" borderId="90" xfId="0" applyFont="1" applyFill="1" applyBorder="1" applyAlignment="1">
      <alignment horizontal="center" vertical="top"/>
    </xf>
    <xf numFmtId="0" fontId="9" fillId="26" borderId="0" xfId="2" applyFill="1" applyAlignment="1">
      <alignment horizontal="center" vertical="top" wrapText="1"/>
    </xf>
    <xf numFmtId="0" fontId="1" fillId="26" borderId="0" xfId="0" applyFont="1" applyFill="1" applyAlignment="1">
      <alignment horizontal="center" vertical="top" wrapText="1"/>
    </xf>
    <xf numFmtId="0" fontId="2" fillId="26" borderId="0" xfId="0" applyFont="1" applyFill="1" applyAlignment="1">
      <alignment horizontal="center" vertical="top" wrapText="1"/>
    </xf>
    <xf numFmtId="0" fontId="1" fillId="26" borderId="91" xfId="0" applyFont="1" applyFill="1" applyBorder="1" applyAlignment="1">
      <alignment horizontal="center" vertical="top" wrapText="1"/>
    </xf>
    <xf numFmtId="0" fontId="1" fillId="25" borderId="90" xfId="0" applyFont="1" applyFill="1" applyBorder="1" applyAlignment="1">
      <alignment horizontal="center" vertical="top"/>
    </xf>
    <xf numFmtId="0" fontId="9" fillId="25" borderId="0" xfId="2" applyFill="1" applyAlignment="1">
      <alignment horizontal="center" vertical="top" wrapText="1"/>
    </xf>
    <xf numFmtId="0" fontId="1" fillId="25" borderId="0" xfId="0" applyFont="1" applyFill="1" applyAlignment="1">
      <alignment horizontal="center" vertical="top" wrapText="1"/>
    </xf>
    <xf numFmtId="0" fontId="2" fillId="25" borderId="0" xfId="0" applyFont="1" applyFill="1" applyAlignment="1">
      <alignment horizontal="center" vertical="top" wrapText="1"/>
    </xf>
    <xf numFmtId="0" fontId="1" fillId="25" borderId="91" xfId="0" applyFont="1" applyFill="1" applyBorder="1" applyAlignment="1">
      <alignment horizontal="center" vertical="top" wrapText="1"/>
    </xf>
    <xf numFmtId="0" fontId="1" fillId="26" borderId="92" xfId="0" applyFont="1" applyFill="1" applyBorder="1" applyAlignment="1">
      <alignment horizontal="center" vertical="top"/>
    </xf>
    <xf numFmtId="0" fontId="9" fillId="26" borderId="93" xfId="2" applyFill="1" applyBorder="1" applyAlignment="1">
      <alignment horizontal="center" vertical="top" wrapText="1"/>
    </xf>
    <xf numFmtId="0" fontId="1" fillId="26" borderId="93" xfId="0" applyFont="1" applyFill="1" applyBorder="1" applyAlignment="1">
      <alignment horizontal="center" vertical="top" wrapText="1"/>
    </xf>
    <xf numFmtId="0" fontId="2" fillId="26" borderId="93" xfId="0" applyFont="1" applyFill="1" applyBorder="1" applyAlignment="1">
      <alignment horizontal="center" vertical="top" wrapText="1"/>
    </xf>
    <xf numFmtId="0" fontId="1" fillId="26" borderId="94" xfId="0" applyFont="1" applyFill="1" applyBorder="1" applyAlignment="1">
      <alignment horizontal="center" vertical="top" wrapText="1"/>
    </xf>
    <xf numFmtId="0" fontId="37" fillId="26" borderId="90" xfId="0" applyFont="1" applyFill="1" applyBorder="1" applyAlignment="1">
      <alignment horizontal="center" vertical="top"/>
    </xf>
    <xf numFmtId="0" fontId="37" fillId="26" borderId="0" xfId="0" applyFont="1" applyFill="1" applyAlignment="1">
      <alignment horizontal="center" vertical="top" wrapText="1"/>
    </xf>
    <xf numFmtId="0" fontId="38" fillId="26" borderId="0" xfId="0" applyFont="1" applyFill="1" applyAlignment="1">
      <alignment horizontal="center" vertical="top" wrapText="1"/>
    </xf>
    <xf numFmtId="0" fontId="37" fillId="26" borderId="91" xfId="0" applyFont="1" applyFill="1" applyBorder="1" applyAlignment="1">
      <alignment horizontal="center" vertical="top" wrapText="1"/>
    </xf>
    <xf numFmtId="0" fontId="1" fillId="25" borderId="92" xfId="0" applyFont="1" applyFill="1" applyBorder="1" applyAlignment="1">
      <alignment horizontal="center" vertical="top"/>
    </xf>
    <xf numFmtId="0" fontId="9" fillId="25" borderId="93" xfId="2" applyFill="1" applyBorder="1" applyAlignment="1">
      <alignment horizontal="center" vertical="top" wrapText="1"/>
    </xf>
    <xf numFmtId="0" fontId="1" fillId="25" borderId="93" xfId="0" applyFont="1" applyFill="1" applyBorder="1" applyAlignment="1">
      <alignment horizontal="center" vertical="top" wrapText="1"/>
    </xf>
    <xf numFmtId="0" fontId="2" fillId="25" borderId="93" xfId="0" applyFont="1" applyFill="1" applyBorder="1" applyAlignment="1">
      <alignment horizontal="center" vertical="top" wrapText="1"/>
    </xf>
    <xf numFmtId="0" fontId="1" fillId="25" borderId="94" xfId="0" applyFont="1" applyFill="1" applyBorder="1" applyAlignment="1">
      <alignment horizontal="center" vertical="top" wrapText="1"/>
    </xf>
    <xf numFmtId="0" fontId="0" fillId="25" borderId="94" xfId="0" applyFill="1" applyBorder="1" applyAlignment="1">
      <alignment horizontal="center"/>
    </xf>
    <xf numFmtId="0" fontId="39" fillId="0" borderId="0" xfId="0" applyFont="1"/>
    <xf numFmtId="2" fontId="0" fillId="0" borderId="80" xfId="0" applyNumberFormat="1" applyBorder="1" applyAlignment="1">
      <alignment horizontal="center"/>
    </xf>
    <xf numFmtId="0" fontId="23" fillId="0" borderId="97" xfId="0" applyFont="1" applyBorder="1" applyAlignment="1">
      <alignment horizontal="center"/>
    </xf>
    <xf numFmtId="0" fontId="39" fillId="0" borderId="1" xfId="0" applyFont="1" applyBorder="1" applyAlignment="1">
      <alignment horizontal="center" vertical="center"/>
    </xf>
    <xf numFmtId="0" fontId="9" fillId="4" borderId="3" xfId="2" applyFill="1" applyBorder="1" applyAlignment="1">
      <alignment horizontal="left" vertical="center" wrapText="1" indent="1"/>
    </xf>
    <xf numFmtId="0" fontId="8" fillId="4" borderId="3" xfId="0" applyFont="1" applyFill="1" applyBorder="1" applyAlignment="1">
      <alignment horizontal="left" vertical="center" wrapText="1" indent="1"/>
    </xf>
    <xf numFmtId="0" fontId="0" fillId="14" borderId="0" xfId="0" applyFill="1"/>
    <xf numFmtId="168" fontId="8" fillId="4" borderId="3" xfId="0" applyNumberFormat="1" applyFont="1" applyFill="1" applyBorder="1" applyAlignment="1">
      <alignment horizontal="center" vertical="center" wrapText="1"/>
    </xf>
    <xf numFmtId="0" fontId="7" fillId="28" borderId="0" xfId="0" applyFont="1" applyFill="1" applyAlignment="1">
      <alignment horizontal="center" vertical="center"/>
    </xf>
    <xf numFmtId="0" fontId="0" fillId="28" borderId="0" xfId="0" applyFill="1" applyAlignment="1">
      <alignment horizontal="center"/>
    </xf>
    <xf numFmtId="0" fontId="0" fillId="0" borderId="5" xfId="0" applyBorder="1"/>
    <xf numFmtId="0" fontId="0" fillId="0" borderId="27" xfId="0" applyBorder="1"/>
    <xf numFmtId="0" fontId="8" fillId="4" borderId="40" xfId="0" applyFont="1" applyFill="1" applyBorder="1" applyAlignment="1">
      <alignment horizontal="center" vertical="center" wrapText="1"/>
    </xf>
    <xf numFmtId="0" fontId="0" fillId="0" borderId="68" xfId="0" applyBorder="1" applyAlignment="1">
      <alignment horizontal="center"/>
    </xf>
    <xf numFmtId="0" fontId="0" fillId="0" borderId="88" xfId="0" applyBorder="1" applyAlignment="1">
      <alignment horizontal="center"/>
    </xf>
    <xf numFmtId="0" fontId="0" fillId="0" borderId="69" xfId="0" applyBorder="1" applyAlignment="1">
      <alignment horizontal="center"/>
    </xf>
    <xf numFmtId="2" fontId="8" fillId="4" borderId="3" xfId="0" applyNumberFormat="1" applyFont="1" applyFill="1" applyBorder="1" applyAlignment="1">
      <alignment horizontal="center" vertical="center" wrapText="1"/>
    </xf>
    <xf numFmtId="0" fontId="16" fillId="12" borderId="62" xfId="0" applyFont="1" applyFill="1" applyBorder="1" applyAlignment="1">
      <alignment horizontal="center"/>
    </xf>
    <xf numFmtId="0" fontId="40" fillId="10" borderId="0" xfId="0" applyFont="1" applyFill="1"/>
    <xf numFmtId="0" fontId="7" fillId="4" borderId="74" xfId="0" applyFont="1" applyFill="1" applyBorder="1" applyAlignment="1">
      <alignment horizontal="left" vertical="center" wrapText="1" indent="1"/>
    </xf>
    <xf numFmtId="0" fontId="8" fillId="4" borderId="72" xfId="0" applyFont="1" applyFill="1" applyBorder="1" applyAlignment="1">
      <alignment vertical="center" wrapText="1"/>
    </xf>
    <xf numFmtId="0" fontId="19" fillId="5" borderId="72" xfId="0" applyFont="1" applyFill="1" applyBorder="1" applyAlignment="1">
      <alignment horizontal="left" vertical="center" wrapText="1" indent="1"/>
    </xf>
    <xf numFmtId="16" fontId="8" fillId="4" borderId="72" xfId="0" applyNumberFormat="1" applyFont="1" applyFill="1" applyBorder="1" applyAlignment="1">
      <alignment vertical="center" wrapText="1"/>
    </xf>
    <xf numFmtId="17" fontId="8" fillId="4" borderId="72" xfId="0" applyNumberFormat="1" applyFont="1" applyFill="1" applyBorder="1" applyAlignment="1">
      <alignment vertical="center" wrapText="1"/>
    </xf>
    <xf numFmtId="0" fontId="21" fillId="0" borderId="73" xfId="0" applyFont="1" applyBorder="1" applyAlignment="1">
      <alignment horizontal="left" vertical="center"/>
    </xf>
    <xf numFmtId="0" fontId="19" fillId="2" borderId="72" xfId="0" applyFont="1" applyFill="1" applyBorder="1" applyAlignment="1">
      <alignment vertical="center" wrapText="1"/>
    </xf>
    <xf numFmtId="0" fontId="19" fillId="2" borderId="72" xfId="0" applyFont="1" applyFill="1" applyBorder="1" applyAlignment="1">
      <alignment horizontal="left" vertical="center" wrapText="1" indent="1"/>
    </xf>
    <xf numFmtId="0" fontId="19" fillId="2" borderId="72" xfId="0" applyFont="1" applyFill="1" applyBorder="1" applyAlignment="1">
      <alignment horizontal="center" vertical="center" wrapText="1"/>
    </xf>
    <xf numFmtId="46" fontId="19" fillId="2" borderId="72" xfId="0" applyNumberFormat="1" applyFont="1" applyFill="1" applyBorder="1" applyAlignment="1">
      <alignment horizontal="center" vertical="center" wrapText="1"/>
    </xf>
    <xf numFmtId="0" fontId="18" fillId="19" borderId="0" xfId="0" applyFont="1" applyFill="1"/>
    <xf numFmtId="0" fontId="0" fillId="19" borderId="0" xfId="0" applyFill="1"/>
    <xf numFmtId="0" fontId="7" fillId="5" borderId="0" xfId="0" applyFont="1" applyFill="1" applyAlignment="1">
      <alignment horizontal="center" vertical="center"/>
    </xf>
    <xf numFmtId="0" fontId="7" fillId="4" borderId="0" xfId="0" applyFont="1" applyFill="1" applyAlignment="1">
      <alignment horizontal="left" vertical="center" indent="1"/>
    </xf>
    <xf numFmtId="0" fontId="9" fillId="5" borderId="0" xfId="2" applyFill="1" applyAlignment="1">
      <alignment horizontal="center" vertical="center"/>
    </xf>
    <xf numFmtId="0" fontId="9" fillId="4" borderId="0" xfId="2" applyFill="1" applyAlignment="1">
      <alignment horizontal="center" vertical="center"/>
    </xf>
    <xf numFmtId="17" fontId="8" fillId="4" borderId="3" xfId="0" applyNumberFormat="1" applyFont="1" applyFill="1" applyBorder="1" applyAlignment="1">
      <alignment horizontal="center" vertical="center" wrapText="1"/>
    </xf>
    <xf numFmtId="16" fontId="8" fillId="4" borderId="3" xfId="0" applyNumberFormat="1" applyFont="1" applyFill="1" applyBorder="1" applyAlignment="1">
      <alignment horizontal="center" vertical="center" wrapText="1"/>
    </xf>
    <xf numFmtId="0" fontId="0" fillId="29" borderId="0" xfId="0" applyFill="1"/>
    <xf numFmtId="0" fontId="0" fillId="29" borderId="0" xfId="0" applyFill="1" applyAlignment="1">
      <alignment horizontal="center"/>
    </xf>
    <xf numFmtId="167" fontId="0" fillId="29" borderId="0" xfId="0" applyNumberFormat="1" applyFill="1" applyAlignment="1">
      <alignment horizontal="center"/>
    </xf>
    <xf numFmtId="0" fontId="0" fillId="29" borderId="0" xfId="0" applyFill="1" applyAlignment="1">
      <alignment horizontal="left"/>
    </xf>
    <xf numFmtId="10" fontId="0" fillId="0" borderId="0" xfId="0" applyNumberFormat="1" applyAlignment="1">
      <alignment horizontal="center"/>
    </xf>
    <xf numFmtId="0" fontId="41" fillId="0" borderId="0" xfId="0" applyFont="1" applyAlignment="1">
      <alignment horizontal="center"/>
    </xf>
    <xf numFmtId="0" fontId="16" fillId="0" borderId="62" xfId="0" applyFont="1" applyBorder="1" applyAlignment="1">
      <alignment horizontal="center"/>
    </xf>
    <xf numFmtId="167" fontId="0" fillId="0" borderId="38" xfId="0" applyNumberFormat="1" applyBorder="1" applyAlignment="1">
      <alignment horizontal="center"/>
    </xf>
    <xf numFmtId="169" fontId="16" fillId="0" borderId="41" xfId="0" applyNumberFormat="1" applyFont="1" applyBorder="1" applyAlignment="1">
      <alignment horizontal="center"/>
    </xf>
    <xf numFmtId="0" fontId="0" fillId="0" borderId="36" xfId="0" applyBorder="1" applyAlignment="1">
      <alignment horizontal="center"/>
    </xf>
    <xf numFmtId="0" fontId="23" fillId="0" borderId="7" xfId="0" applyFont="1" applyBorder="1" applyAlignment="1">
      <alignment horizontal="center"/>
    </xf>
    <xf numFmtId="0" fontId="16" fillId="0" borderId="39" xfId="0" applyFont="1" applyBorder="1" applyAlignment="1">
      <alignment horizontal="center"/>
    </xf>
    <xf numFmtId="0" fontId="16" fillId="0" borderId="40" xfId="0" applyFont="1" applyBorder="1" applyAlignment="1">
      <alignment horizontal="center"/>
    </xf>
    <xf numFmtId="0" fontId="7" fillId="28" borderId="0" xfId="0" applyFont="1" applyFill="1" applyAlignment="1">
      <alignment horizontal="left" vertical="center" indent="1"/>
    </xf>
    <xf numFmtId="1" fontId="0" fillId="0" borderId="0" xfId="0" applyNumberFormat="1" applyAlignment="1">
      <alignment horizontal="center" vertical="center"/>
    </xf>
    <xf numFmtId="0" fontId="0" fillId="0" borderId="19" xfId="0" applyBorder="1" applyAlignment="1">
      <alignment horizontal="center"/>
    </xf>
    <xf numFmtId="0" fontId="2" fillId="0" borderId="64" xfId="0" applyFont="1" applyBorder="1" applyAlignment="1">
      <alignment horizontal="center" vertical="center"/>
    </xf>
    <xf numFmtId="14" fontId="1" fillId="0" borderId="20" xfId="0" applyNumberFormat="1" applyFont="1" applyBorder="1" applyAlignment="1">
      <alignment horizontal="center" vertical="center"/>
    </xf>
    <xf numFmtId="167" fontId="0" fillId="0" borderId="21" xfId="0" applyNumberFormat="1" applyBorder="1" applyAlignment="1">
      <alignment horizontal="center"/>
    </xf>
    <xf numFmtId="14" fontId="1" fillId="0" borderId="22" xfId="0" applyNumberFormat="1" applyFont="1" applyBorder="1" applyAlignment="1">
      <alignment horizontal="center" vertical="center"/>
    </xf>
    <xf numFmtId="167" fontId="0" fillId="0" borderId="23" xfId="0" applyNumberFormat="1" applyBorder="1" applyAlignment="1">
      <alignment horizontal="center"/>
    </xf>
    <xf numFmtId="10" fontId="0" fillId="0" borderId="65" xfId="0" applyNumberFormat="1" applyBorder="1" applyAlignment="1">
      <alignment horizontal="center"/>
    </xf>
    <xf numFmtId="10" fontId="0" fillId="0" borderId="21" xfId="0" applyNumberFormat="1" applyBorder="1" applyAlignment="1">
      <alignment horizontal="center"/>
    </xf>
    <xf numFmtId="10" fontId="0" fillId="0" borderId="23" xfId="0" applyNumberFormat="1" applyBorder="1" applyAlignment="1">
      <alignment horizontal="center"/>
    </xf>
    <xf numFmtId="10" fontId="0" fillId="0" borderId="26" xfId="0" applyNumberFormat="1" applyBorder="1" applyAlignment="1">
      <alignment horizontal="center"/>
    </xf>
    <xf numFmtId="0" fontId="0" fillId="0" borderId="18" xfId="0" applyBorder="1"/>
    <xf numFmtId="10" fontId="0" fillId="0" borderId="45" xfId="0" applyNumberFormat="1" applyBorder="1" applyAlignment="1">
      <alignment horizontal="center"/>
    </xf>
    <xf numFmtId="10" fontId="0" fillId="0" borderId="78" xfId="0" applyNumberFormat="1" applyBorder="1" applyAlignment="1">
      <alignment horizontal="center"/>
    </xf>
    <xf numFmtId="10" fontId="0" fillId="0" borderId="40" xfId="0" applyNumberFormat="1" applyBorder="1" applyAlignment="1">
      <alignment horizontal="center"/>
    </xf>
    <xf numFmtId="10" fontId="0" fillId="0" borderId="27" xfId="0" applyNumberFormat="1" applyBorder="1" applyAlignment="1">
      <alignment horizontal="center"/>
    </xf>
    <xf numFmtId="0" fontId="43" fillId="0" borderId="98" xfId="0" applyFont="1" applyBorder="1" applyAlignment="1">
      <alignment horizontal="center" vertical="center" wrapText="1"/>
    </xf>
    <xf numFmtId="0" fontId="9" fillId="0" borderId="98" xfId="2" applyBorder="1" applyAlignment="1">
      <alignment horizontal="left" vertical="center" wrapText="1"/>
    </xf>
    <xf numFmtId="0" fontId="43" fillId="0" borderId="98" xfId="0" applyFont="1" applyBorder="1" applyAlignment="1">
      <alignment horizontal="left" vertical="center" wrapText="1"/>
    </xf>
    <xf numFmtId="46" fontId="43" fillId="0" borderId="98" xfId="0" applyNumberFormat="1" applyFont="1" applyBorder="1" applyAlignment="1">
      <alignment horizontal="center" vertical="center" wrapText="1"/>
    </xf>
    <xf numFmtId="0" fontId="44" fillId="5" borderId="98" xfId="0" applyFont="1" applyFill="1" applyBorder="1" applyAlignment="1">
      <alignment horizontal="center" vertical="center" wrapText="1"/>
    </xf>
    <xf numFmtId="20" fontId="43" fillId="0" borderId="98" xfId="0" applyNumberFormat="1" applyFont="1" applyBorder="1" applyAlignment="1">
      <alignment horizontal="center" vertical="center" wrapText="1"/>
    </xf>
    <xf numFmtId="0" fontId="43" fillId="0" borderId="3" xfId="0" applyFont="1" applyBorder="1" applyAlignment="1">
      <alignment horizontal="center" vertical="center" wrapText="1"/>
    </xf>
    <xf numFmtId="0" fontId="9" fillId="0" borderId="3" xfId="2" applyBorder="1" applyAlignment="1">
      <alignment horizontal="left" vertical="center" wrapText="1"/>
    </xf>
    <xf numFmtId="0" fontId="43" fillId="0" borderId="3" xfId="0" applyFont="1" applyBorder="1" applyAlignment="1">
      <alignment horizontal="left" vertical="center" wrapText="1"/>
    </xf>
    <xf numFmtId="46" fontId="43" fillId="0" borderId="3" xfId="0" applyNumberFormat="1" applyFont="1" applyBorder="1" applyAlignment="1">
      <alignment horizontal="center" vertical="center" wrapText="1"/>
    </xf>
    <xf numFmtId="0" fontId="44" fillId="5" borderId="3" xfId="0" applyFont="1" applyFill="1" applyBorder="1" applyAlignment="1">
      <alignment horizontal="center" vertical="center" wrapText="1"/>
    </xf>
    <xf numFmtId="20" fontId="43" fillId="0" borderId="3" xfId="0" applyNumberFormat="1" applyFont="1" applyBorder="1" applyAlignment="1">
      <alignment horizontal="center" vertical="center" wrapText="1"/>
    </xf>
    <xf numFmtId="17" fontId="43" fillId="0" borderId="3" xfId="0" applyNumberFormat="1" applyFont="1" applyBorder="1" applyAlignment="1">
      <alignment horizontal="center" vertical="center" wrapText="1"/>
    </xf>
    <xf numFmtId="0" fontId="43" fillId="0" borderId="99" xfId="0" applyFont="1" applyBorder="1" applyAlignment="1">
      <alignment horizontal="center" vertical="center" wrapText="1"/>
    </xf>
    <xf numFmtId="0" fontId="9" fillId="0" borderId="99" xfId="2" applyBorder="1" applyAlignment="1">
      <alignment horizontal="left" vertical="center" wrapText="1"/>
    </xf>
    <xf numFmtId="0" fontId="43" fillId="0" borderId="99" xfId="0" applyFont="1" applyBorder="1" applyAlignment="1">
      <alignment horizontal="left" vertical="center" wrapText="1"/>
    </xf>
    <xf numFmtId="20" fontId="43" fillId="0" borderId="99" xfId="0" applyNumberFormat="1" applyFont="1" applyBorder="1" applyAlignment="1">
      <alignment horizontal="center" vertical="center" wrapText="1"/>
    </xf>
    <xf numFmtId="0" fontId="44" fillId="5" borderId="99" xfId="0" applyFont="1" applyFill="1" applyBorder="1" applyAlignment="1">
      <alignment horizontal="center" vertical="center" wrapText="1"/>
    </xf>
    <xf numFmtId="46" fontId="43" fillId="0" borderId="99" xfId="0" applyNumberFormat="1" applyFont="1" applyBorder="1" applyAlignment="1">
      <alignment horizontal="center" vertical="center" wrapText="1"/>
    </xf>
    <xf numFmtId="17" fontId="43" fillId="0" borderId="98" xfId="0" applyNumberFormat="1" applyFont="1" applyBorder="1" applyAlignment="1">
      <alignment horizontal="center" vertical="center" wrapText="1"/>
    </xf>
    <xf numFmtId="17" fontId="43" fillId="0" borderId="99" xfId="0" applyNumberFormat="1" applyFont="1" applyBorder="1" applyAlignment="1">
      <alignment horizontal="center" vertical="center" wrapText="1"/>
    </xf>
    <xf numFmtId="0" fontId="42" fillId="28" borderId="0" xfId="0" applyFont="1" applyFill="1" applyAlignment="1">
      <alignment horizontal="center" vertical="center"/>
    </xf>
    <xf numFmtId="0" fontId="39" fillId="0" borderId="0" xfId="0" applyFont="1" applyAlignment="1">
      <alignment horizontal="center" vertical="center" wrapText="1"/>
    </xf>
    <xf numFmtId="0" fontId="45" fillId="0" borderId="0" xfId="0" applyFont="1"/>
    <xf numFmtId="167" fontId="46" fillId="0" borderId="0" xfId="0" applyNumberFormat="1" applyFont="1" applyAlignment="1">
      <alignment horizontal="center"/>
    </xf>
    <xf numFmtId="0" fontId="0" fillId="0" borderId="0" xfId="0" applyAlignment="1">
      <alignment horizontal="left" wrapText="1"/>
    </xf>
    <xf numFmtId="16" fontId="43" fillId="0" borderId="3" xfId="0" applyNumberFormat="1" applyFont="1" applyBorder="1" applyAlignment="1">
      <alignment horizontal="center" vertical="center" wrapText="1"/>
    </xf>
    <xf numFmtId="0" fontId="9" fillId="0" borderId="3" xfId="2" applyFill="1" applyBorder="1" applyAlignment="1">
      <alignment horizontal="left" vertical="center" wrapText="1"/>
    </xf>
    <xf numFmtId="0" fontId="0" fillId="0" borderId="39" xfId="0"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0" fontId="8" fillId="4" borderId="39" xfId="0" applyFont="1" applyFill="1" applyBorder="1" applyAlignment="1">
      <alignment horizontal="center" vertical="center" wrapText="1"/>
    </xf>
    <xf numFmtId="0" fontId="8" fillId="4" borderId="31" xfId="0" applyFont="1" applyFill="1" applyBorder="1" applyAlignment="1">
      <alignment horizontal="center" vertical="center" wrapText="1"/>
    </xf>
    <xf numFmtId="0" fontId="8" fillId="4" borderId="33" xfId="0" applyFont="1" applyFill="1" applyBorder="1" applyAlignment="1">
      <alignment horizontal="center" vertical="center" wrapText="1"/>
    </xf>
    <xf numFmtId="0" fontId="8" fillId="4" borderId="34" xfId="0" applyFont="1" applyFill="1" applyBorder="1" applyAlignment="1">
      <alignment horizontal="center" vertical="center" wrapText="1"/>
    </xf>
    <xf numFmtId="0" fontId="8" fillId="4" borderId="100" xfId="0" applyFont="1" applyFill="1" applyBorder="1" applyAlignment="1">
      <alignment horizontal="center" vertical="center" wrapText="1"/>
    </xf>
    <xf numFmtId="0" fontId="0" fillId="0" borderId="28" xfId="0" applyBorder="1"/>
    <xf numFmtId="0" fontId="8" fillId="4" borderId="29" xfId="0" applyFont="1" applyFill="1" applyBorder="1" applyAlignment="1">
      <alignment horizontal="center" vertical="center" wrapText="1"/>
    </xf>
    <xf numFmtId="2" fontId="0" fillId="0" borderId="30" xfId="0" applyNumberFormat="1" applyBorder="1" applyAlignment="1">
      <alignment horizontal="center"/>
    </xf>
    <xf numFmtId="2" fontId="0" fillId="0" borderId="61" xfId="0" applyNumberFormat="1" applyBorder="1" applyAlignment="1">
      <alignment horizontal="center"/>
    </xf>
    <xf numFmtId="22" fontId="43" fillId="0" borderId="3" xfId="0" applyNumberFormat="1" applyFont="1" applyBorder="1" applyAlignment="1">
      <alignment horizontal="center" vertical="center" wrapText="1"/>
    </xf>
    <xf numFmtId="0" fontId="0" fillId="15" borderId="0" xfId="0" applyFill="1" applyAlignment="1">
      <alignment horizontal="center"/>
    </xf>
    <xf numFmtId="0" fontId="6" fillId="19" borderId="0" xfId="1" applyFont="1" applyFill="1" applyAlignment="1">
      <alignment vertical="center"/>
    </xf>
    <xf numFmtId="0" fontId="0" fillId="25" borderId="0" xfId="0" applyFill="1"/>
    <xf numFmtId="0" fontId="47" fillId="25" borderId="0" xfId="0" applyFont="1" applyFill="1" applyAlignment="1">
      <alignment vertical="top" wrapText="1"/>
    </xf>
    <xf numFmtId="0" fontId="9" fillId="25" borderId="0" xfId="2" applyFill="1" applyAlignment="1">
      <alignment vertical="top" wrapText="1"/>
    </xf>
    <xf numFmtId="0" fontId="47" fillId="25" borderId="0" xfId="0" applyFont="1" applyFill="1" applyAlignment="1">
      <alignment horizontal="right" vertical="top"/>
    </xf>
    <xf numFmtId="0" fontId="49" fillId="25" borderId="0" xfId="0" applyFont="1" applyFill="1" applyAlignment="1">
      <alignment horizontal="right" vertical="top"/>
    </xf>
    <xf numFmtId="0" fontId="9" fillId="25" borderId="93" xfId="2" applyFill="1" applyBorder="1" applyAlignment="1">
      <alignment vertical="top" wrapText="1"/>
    </xf>
    <xf numFmtId="0" fontId="47" fillId="25" borderId="93" xfId="0" applyFont="1" applyFill="1" applyBorder="1" applyAlignment="1">
      <alignment horizontal="right" vertical="top"/>
    </xf>
    <xf numFmtId="0" fontId="49" fillId="25" borderId="93" xfId="0" applyFont="1" applyFill="1" applyBorder="1" applyAlignment="1">
      <alignment horizontal="right" vertical="top"/>
    </xf>
    <xf numFmtId="0" fontId="47" fillId="25" borderId="92" xfId="0" applyFont="1" applyFill="1" applyBorder="1" applyAlignment="1">
      <alignment horizontal="center" vertical="top"/>
    </xf>
    <xf numFmtId="0" fontId="47" fillId="25" borderId="93" xfId="0" applyFont="1" applyFill="1" applyBorder="1" applyAlignment="1">
      <alignment horizontal="center" vertical="top"/>
    </xf>
    <xf numFmtId="0" fontId="49" fillId="25" borderId="93" xfId="0" applyFont="1" applyFill="1" applyBorder="1" applyAlignment="1">
      <alignment horizontal="center" vertical="top"/>
    </xf>
    <xf numFmtId="0" fontId="47" fillId="25" borderId="94" xfId="0" applyFont="1" applyFill="1" applyBorder="1" applyAlignment="1">
      <alignment horizontal="center" vertical="top" wrapText="1"/>
    </xf>
    <xf numFmtId="0" fontId="47" fillId="25" borderId="93" xfId="0" applyFont="1" applyFill="1" applyBorder="1" applyAlignment="1">
      <alignment vertical="top" wrapText="1"/>
    </xf>
    <xf numFmtId="0" fontId="47" fillId="25" borderId="93" xfId="0" applyFont="1" applyFill="1" applyBorder="1" applyAlignment="1">
      <alignment horizontal="center" vertical="top" wrapText="1"/>
    </xf>
    <xf numFmtId="0" fontId="47" fillId="25" borderId="94" xfId="0" applyFont="1" applyFill="1" applyBorder="1" applyAlignment="1">
      <alignment horizontal="center" vertical="top"/>
    </xf>
    <xf numFmtId="20" fontId="50" fillId="0" borderId="0" xfId="0" applyNumberFormat="1" applyFont="1" applyAlignment="1">
      <alignment horizontal="center"/>
    </xf>
    <xf numFmtId="0" fontId="9" fillId="26" borderId="0" xfId="2" applyFill="1" applyBorder="1" applyAlignment="1">
      <alignment horizontal="center" vertical="top" wrapText="1"/>
    </xf>
    <xf numFmtId="0" fontId="9" fillId="25" borderId="0" xfId="2" applyFill="1" applyBorder="1" applyAlignment="1">
      <alignment horizontal="center" vertical="top" wrapText="1"/>
    </xf>
    <xf numFmtId="0" fontId="47" fillId="26" borderId="0" xfId="0" applyFont="1" applyFill="1" applyAlignment="1">
      <alignment vertical="top" wrapText="1"/>
    </xf>
    <xf numFmtId="0" fontId="9" fillId="26" borderId="0" xfId="2" applyFill="1" applyAlignment="1">
      <alignment vertical="top" wrapText="1"/>
    </xf>
    <xf numFmtId="0" fontId="47" fillId="26" borderId="0" xfId="0" applyFont="1" applyFill="1" applyAlignment="1">
      <alignment horizontal="right" vertical="top"/>
    </xf>
    <xf numFmtId="0" fontId="49" fillId="26" borderId="0" xfId="0" applyFont="1" applyFill="1" applyAlignment="1">
      <alignment horizontal="right" vertical="top"/>
    </xf>
    <xf numFmtId="0" fontId="47" fillId="26" borderId="93" xfId="0" applyFont="1" applyFill="1" applyBorder="1" applyAlignment="1">
      <alignment horizontal="right" vertical="top"/>
    </xf>
    <xf numFmtId="0" fontId="49" fillId="26" borderId="93" xfId="0" applyFont="1" applyFill="1" applyBorder="1" applyAlignment="1">
      <alignment horizontal="right" vertical="top"/>
    </xf>
    <xf numFmtId="0" fontId="47" fillId="26" borderId="92" xfId="0" applyFont="1" applyFill="1" applyBorder="1" applyAlignment="1">
      <alignment horizontal="center" vertical="top"/>
    </xf>
    <xf numFmtId="0" fontId="47" fillId="26" borderId="93" xfId="0" applyFont="1" applyFill="1" applyBorder="1" applyAlignment="1">
      <alignment horizontal="center" vertical="top"/>
    </xf>
    <xf numFmtId="0" fontId="49" fillId="26" borderId="93" xfId="0" applyFont="1" applyFill="1" applyBorder="1" applyAlignment="1">
      <alignment horizontal="center" vertical="top"/>
    </xf>
    <xf numFmtId="0" fontId="47" fillId="26" borderId="94" xfId="0" applyFont="1" applyFill="1" applyBorder="1" applyAlignment="1">
      <alignment horizontal="center" vertical="top"/>
    </xf>
    <xf numFmtId="0" fontId="47" fillId="26" borderId="94" xfId="0" applyFont="1" applyFill="1" applyBorder="1" applyAlignment="1">
      <alignment horizontal="center" vertical="top" wrapText="1"/>
    </xf>
    <xf numFmtId="0" fontId="48" fillId="26" borderId="0" xfId="0" applyFont="1" applyFill="1" applyAlignment="1">
      <alignment horizontal="right" vertical="top"/>
    </xf>
    <xf numFmtId="0" fontId="51" fillId="26" borderId="0" xfId="0" applyFont="1" applyFill="1" applyAlignment="1">
      <alignment horizontal="right" vertical="top"/>
    </xf>
    <xf numFmtId="0" fontId="0" fillId="25" borderId="91" xfId="0" applyFill="1" applyBorder="1"/>
    <xf numFmtId="0" fontId="47" fillId="26" borderId="91" xfId="0" applyFont="1" applyFill="1" applyBorder="1" applyAlignment="1">
      <alignment horizontal="right" vertical="top"/>
    </xf>
    <xf numFmtId="0" fontId="47" fillId="25" borderId="91" xfId="0" applyFont="1" applyFill="1" applyBorder="1" applyAlignment="1">
      <alignment horizontal="right" vertical="top"/>
    </xf>
    <xf numFmtId="0" fontId="48" fillId="26" borderId="91" xfId="0" applyFont="1" applyFill="1" applyBorder="1" applyAlignment="1">
      <alignment horizontal="right" vertical="top"/>
    </xf>
    <xf numFmtId="0" fontId="0" fillId="25" borderId="93" xfId="0" applyFill="1" applyBorder="1"/>
    <xf numFmtId="0" fontId="0" fillId="25" borderId="94" xfId="0" applyFill="1" applyBorder="1"/>
    <xf numFmtId="0" fontId="47" fillId="26" borderId="93" xfId="0" applyFont="1" applyFill="1" applyBorder="1" applyAlignment="1">
      <alignment vertical="top" wrapText="1"/>
    </xf>
    <xf numFmtId="0" fontId="47" fillId="26" borderId="0" xfId="0" applyFont="1" applyFill="1" applyAlignment="1">
      <alignment horizontal="center" vertical="top"/>
    </xf>
    <xf numFmtId="0" fontId="49" fillId="26" borderId="0" xfId="0" applyFont="1" applyFill="1" applyAlignment="1">
      <alignment horizontal="center" vertical="top"/>
    </xf>
    <xf numFmtId="0" fontId="47" fillId="25" borderId="0" xfId="0" applyFont="1" applyFill="1" applyAlignment="1">
      <alignment horizontal="center" vertical="top"/>
    </xf>
    <xf numFmtId="0" fontId="49" fillId="25" borderId="0" xfId="0" applyFont="1" applyFill="1" applyAlignment="1">
      <alignment horizontal="center" vertical="top"/>
    </xf>
    <xf numFmtId="0" fontId="48" fillId="26" borderId="0" xfId="0" applyFont="1" applyFill="1" applyAlignment="1">
      <alignment horizontal="center" vertical="top"/>
    </xf>
    <xf numFmtId="0" fontId="51" fillId="26" borderId="0" xfId="0" applyFont="1" applyFill="1" applyAlignment="1">
      <alignment horizontal="center" vertical="top"/>
    </xf>
    <xf numFmtId="0" fontId="0" fillId="25" borderId="0" xfId="0" applyFill="1" applyAlignment="1">
      <alignment horizontal="center"/>
    </xf>
    <xf numFmtId="0" fontId="47" fillId="26" borderId="0" xfId="0" applyFont="1" applyFill="1" applyAlignment="1">
      <alignment horizontal="center" vertical="top" wrapText="1"/>
    </xf>
    <xf numFmtId="2" fontId="47" fillId="26" borderId="0" xfId="0" applyNumberFormat="1" applyFont="1" applyFill="1" applyAlignment="1">
      <alignment horizontal="center" vertical="top" wrapText="1"/>
    </xf>
    <xf numFmtId="0" fontId="47" fillId="26" borderId="90" xfId="0" applyFont="1" applyFill="1" applyBorder="1" applyAlignment="1">
      <alignment horizontal="center" vertical="top"/>
    </xf>
    <xf numFmtId="0" fontId="47" fillId="25" borderId="90" xfId="0" applyFont="1" applyFill="1" applyBorder="1" applyAlignment="1">
      <alignment horizontal="center" vertical="top"/>
    </xf>
    <xf numFmtId="0" fontId="48" fillId="26" borderId="90" xfId="0" applyFont="1" applyFill="1" applyBorder="1" applyAlignment="1">
      <alignment horizontal="center" vertical="top"/>
    </xf>
    <xf numFmtId="0" fontId="47" fillId="25" borderId="0" xfId="0" applyFont="1" applyFill="1" applyAlignment="1">
      <alignment horizontal="center" vertical="top" wrapText="1"/>
    </xf>
    <xf numFmtId="0" fontId="47" fillId="26" borderId="93" xfId="0" applyFont="1" applyFill="1" applyBorder="1" applyAlignment="1">
      <alignment horizontal="center" vertical="top" wrapText="1"/>
    </xf>
    <xf numFmtId="0" fontId="0" fillId="9" borderId="0" xfId="0" applyFill="1" applyAlignment="1">
      <alignment horizontal="center"/>
    </xf>
    <xf numFmtId="2" fontId="0" fillId="9" borderId="0" xfId="0" applyNumberFormat="1" applyFill="1" applyAlignment="1">
      <alignment horizontal="center"/>
    </xf>
    <xf numFmtId="2" fontId="0" fillId="10" borderId="0" xfId="0" applyNumberFormat="1" applyFill="1" applyAlignment="1">
      <alignment horizontal="center"/>
    </xf>
    <xf numFmtId="164" fontId="0" fillId="0" borderId="81" xfId="0" applyNumberFormat="1" applyBorder="1" applyAlignment="1">
      <alignment horizontal="center"/>
    </xf>
    <xf numFmtId="0" fontId="0" fillId="0" borderId="81" xfId="0" applyBorder="1" applyAlignment="1">
      <alignment horizontal="center"/>
    </xf>
    <xf numFmtId="14" fontId="0" fillId="21" borderId="0" xfId="0" applyNumberFormat="1" applyFill="1" applyAlignment="1">
      <alignment horizontal="center"/>
    </xf>
    <xf numFmtId="0" fontId="52" fillId="0" borderId="101" xfId="0" applyFont="1" applyBorder="1" applyAlignment="1">
      <alignment horizontal="center" vertical="top"/>
    </xf>
    <xf numFmtId="173" fontId="52" fillId="0" borderId="102" xfId="0" applyNumberFormat="1" applyFont="1" applyBorder="1" applyAlignment="1">
      <alignment horizontal="center"/>
    </xf>
    <xf numFmtId="2" fontId="52" fillId="0" borderId="102" xfId="0" applyNumberFormat="1" applyFont="1" applyBorder="1" applyAlignment="1">
      <alignment horizontal="center"/>
    </xf>
    <xf numFmtId="0" fontId="52" fillId="0" borderId="0" xfId="0" applyFont="1" applyAlignment="1">
      <alignment horizontal="center"/>
    </xf>
    <xf numFmtId="2" fontId="0" fillId="0" borderId="81" xfId="0" applyNumberFormat="1" applyBorder="1" applyAlignment="1">
      <alignment horizontal="center"/>
    </xf>
    <xf numFmtId="2" fontId="0" fillId="23" borderId="81" xfId="0" applyNumberFormat="1" applyFill="1" applyBorder="1" applyAlignment="1">
      <alignment horizontal="center"/>
    </xf>
    <xf numFmtId="2" fontId="0" fillId="24" borderId="81" xfId="0" applyNumberFormat="1" applyFill="1" applyBorder="1" applyAlignment="1">
      <alignment horizontal="center"/>
    </xf>
    <xf numFmtId="2" fontId="0" fillId="0" borderId="85" xfId="0" applyNumberFormat="1" applyBorder="1" applyAlignment="1">
      <alignment horizontal="center"/>
    </xf>
    <xf numFmtId="172" fontId="0" fillId="21" borderId="0" xfId="0" applyNumberFormat="1" applyFill="1" applyAlignment="1">
      <alignment horizontal="center"/>
    </xf>
    <xf numFmtId="172" fontId="23" fillId="0" borderId="0" xfId="0" applyNumberFormat="1" applyFont="1" applyAlignment="1">
      <alignment horizontal="center"/>
    </xf>
    <xf numFmtId="0" fontId="53" fillId="25" borderId="90" xfId="0" applyFont="1" applyFill="1" applyBorder="1" applyAlignment="1">
      <alignment horizontal="center" vertical="top"/>
    </xf>
    <xf numFmtId="0" fontId="53" fillId="25" borderId="0" xfId="0" applyFont="1" applyFill="1" applyAlignment="1">
      <alignment horizontal="center" vertical="top"/>
    </xf>
    <xf numFmtId="0" fontId="55" fillId="25" borderId="0" xfId="0" applyFont="1" applyFill="1" applyAlignment="1">
      <alignment horizontal="center" vertical="top"/>
    </xf>
    <xf numFmtId="0" fontId="53" fillId="25" borderId="0" xfId="0" applyFont="1" applyFill="1" applyAlignment="1">
      <alignment horizontal="center" vertical="top" wrapText="1"/>
    </xf>
    <xf numFmtId="0" fontId="53" fillId="25" borderId="91" xfId="0" applyFont="1" applyFill="1" applyBorder="1" applyAlignment="1">
      <alignment horizontal="center" vertical="top"/>
    </xf>
    <xf numFmtId="0" fontId="53" fillId="26" borderId="90" xfId="0" applyFont="1" applyFill="1" applyBorder="1" applyAlignment="1">
      <alignment horizontal="center" vertical="top"/>
    </xf>
    <xf numFmtId="0" fontId="53" fillId="26" borderId="0" xfId="0" applyFont="1" applyFill="1" applyAlignment="1">
      <alignment horizontal="center" vertical="top"/>
    </xf>
    <xf numFmtId="0" fontId="55" fillId="26" borderId="0" xfId="0" applyFont="1" applyFill="1" applyAlignment="1">
      <alignment horizontal="center" vertical="top"/>
    </xf>
    <xf numFmtId="0" fontId="53" fillId="26" borderId="0" xfId="0" applyFont="1" applyFill="1" applyAlignment="1">
      <alignment horizontal="center" vertical="top" wrapText="1"/>
    </xf>
    <xf numFmtId="0" fontId="53" fillId="26" borderId="91" xfId="0" applyFont="1" applyFill="1" applyBorder="1" applyAlignment="1">
      <alignment horizontal="center" vertical="top"/>
    </xf>
    <xf numFmtId="0" fontId="53" fillId="26" borderId="92" xfId="0" applyFont="1" applyFill="1" applyBorder="1" applyAlignment="1">
      <alignment horizontal="center" vertical="top"/>
    </xf>
    <xf numFmtId="0" fontId="53" fillId="26" borderId="93" xfId="0" applyFont="1" applyFill="1" applyBorder="1" applyAlignment="1">
      <alignment horizontal="center" vertical="top"/>
    </xf>
    <xf numFmtId="0" fontId="55" fillId="26" borderId="93" xfId="0" applyFont="1" applyFill="1" applyBorder="1" applyAlignment="1">
      <alignment horizontal="center" vertical="top"/>
    </xf>
    <xf numFmtId="0" fontId="53" fillId="26" borderId="93" xfId="0" applyFont="1" applyFill="1" applyBorder="1" applyAlignment="1">
      <alignment horizontal="center" vertical="top" wrapText="1"/>
    </xf>
    <xf numFmtId="0" fontId="53" fillId="26" borderId="94" xfId="0" applyFont="1" applyFill="1" applyBorder="1" applyAlignment="1">
      <alignment horizontal="center" vertical="top"/>
    </xf>
    <xf numFmtId="0" fontId="0" fillId="14" borderId="0" xfId="0" applyFill="1" applyAlignment="1">
      <alignment horizontal="center"/>
    </xf>
    <xf numFmtId="0" fontId="0" fillId="25" borderId="93" xfId="0" applyFill="1" applyBorder="1" applyAlignment="1">
      <alignment horizontal="center"/>
    </xf>
    <xf numFmtId="0" fontId="53" fillId="25" borderId="92" xfId="0" applyFont="1" applyFill="1" applyBorder="1" applyAlignment="1">
      <alignment horizontal="center" vertical="top"/>
    </xf>
    <xf numFmtId="0" fontId="53" fillId="25" borderId="93" xfId="0" applyFont="1" applyFill="1" applyBorder="1" applyAlignment="1">
      <alignment horizontal="center" vertical="top"/>
    </xf>
    <xf numFmtId="0" fontId="55" fillId="25" borderId="93" xfId="0" applyFont="1" applyFill="1" applyBorder="1" applyAlignment="1">
      <alignment horizontal="center" vertical="top"/>
    </xf>
    <xf numFmtId="0" fontId="53" fillId="25" borderId="93" xfId="0" applyFont="1" applyFill="1" applyBorder="1" applyAlignment="1">
      <alignment horizontal="center" vertical="top" wrapText="1"/>
    </xf>
    <xf numFmtId="0" fontId="53" fillId="25" borderId="94" xfId="0" applyFont="1" applyFill="1" applyBorder="1" applyAlignment="1">
      <alignment horizontal="center" vertical="top"/>
    </xf>
    <xf numFmtId="0" fontId="54" fillId="25" borderId="90" xfId="0" applyFont="1" applyFill="1" applyBorder="1" applyAlignment="1">
      <alignment horizontal="center" vertical="top"/>
    </xf>
    <xf numFmtId="0" fontId="54" fillId="25" borderId="0" xfId="0" applyFont="1" applyFill="1" applyAlignment="1">
      <alignment horizontal="center" vertical="top"/>
    </xf>
    <xf numFmtId="0" fontId="56" fillId="25" borderId="0" xfId="0" applyFont="1" applyFill="1" applyAlignment="1">
      <alignment horizontal="center" vertical="top"/>
    </xf>
    <xf numFmtId="0" fontId="54" fillId="25" borderId="0" xfId="0" applyFont="1" applyFill="1" applyAlignment="1">
      <alignment horizontal="center" vertical="top" wrapText="1"/>
    </xf>
    <xf numFmtId="0" fontId="54" fillId="25" borderId="91" xfId="0" applyFont="1" applyFill="1" applyBorder="1" applyAlignment="1">
      <alignment horizontal="center" vertical="top"/>
    </xf>
    <xf numFmtId="0" fontId="57" fillId="26" borderId="90" xfId="0" applyFont="1" applyFill="1" applyBorder="1" applyAlignment="1">
      <alignment horizontal="center" vertical="top"/>
    </xf>
    <xf numFmtId="0" fontId="57" fillId="26" borderId="0" xfId="0" applyFont="1" applyFill="1" applyAlignment="1">
      <alignment horizontal="center" vertical="top"/>
    </xf>
    <xf numFmtId="0" fontId="58" fillId="26" borderId="0" xfId="0" applyFont="1" applyFill="1" applyAlignment="1">
      <alignment horizontal="center" vertical="top"/>
    </xf>
    <xf numFmtId="0" fontId="57" fillId="26" borderId="0" xfId="0" applyFont="1" applyFill="1" applyAlignment="1">
      <alignment horizontal="center" vertical="top" wrapText="1"/>
    </xf>
    <xf numFmtId="0" fontId="57" fillId="26" borderId="91" xfId="0" applyFont="1" applyFill="1" applyBorder="1" applyAlignment="1">
      <alignment horizontal="center" vertical="top"/>
    </xf>
    <xf numFmtId="0" fontId="57" fillId="25" borderId="90" xfId="0" applyFont="1" applyFill="1" applyBorder="1" applyAlignment="1">
      <alignment horizontal="center" vertical="top"/>
    </xf>
    <xf numFmtId="0" fontId="57" fillId="25" borderId="0" xfId="0" applyFont="1" applyFill="1" applyAlignment="1">
      <alignment horizontal="center" vertical="top"/>
    </xf>
    <xf numFmtId="0" fontId="58" fillId="25" borderId="0" xfId="0" applyFont="1" applyFill="1" applyAlignment="1">
      <alignment horizontal="center" vertical="top"/>
    </xf>
    <xf numFmtId="0" fontId="57" fillId="25" borderId="0" xfId="0" applyFont="1" applyFill="1" applyAlignment="1">
      <alignment horizontal="center" vertical="top" wrapText="1"/>
    </xf>
    <xf numFmtId="0" fontId="57" fillId="25" borderId="91" xfId="0" applyFont="1" applyFill="1" applyBorder="1" applyAlignment="1">
      <alignment horizontal="center" vertical="top"/>
    </xf>
    <xf numFmtId="0" fontId="2" fillId="0" borderId="27" xfId="0" applyFont="1" applyBorder="1" applyAlignment="1">
      <alignment horizontal="center" vertical="center" wrapText="1"/>
    </xf>
    <xf numFmtId="0" fontId="47" fillId="0" borderId="27" xfId="0" applyFont="1" applyBorder="1" applyAlignment="1">
      <alignment horizontal="center" vertical="top"/>
    </xf>
    <xf numFmtId="0" fontId="49" fillId="0" borderId="27" xfId="0" applyFont="1" applyBorder="1" applyAlignment="1">
      <alignment horizontal="center" vertical="top"/>
    </xf>
    <xf numFmtId="0" fontId="16" fillId="0" borderId="27" xfId="0" applyFont="1" applyBorder="1" applyAlignment="1">
      <alignment horizontal="center"/>
    </xf>
    <xf numFmtId="2" fontId="16" fillId="0" borderId="27" xfId="0" applyNumberFormat="1" applyFont="1" applyBorder="1" applyAlignment="1">
      <alignment horizontal="center"/>
    </xf>
    <xf numFmtId="0" fontId="9" fillId="0" borderId="27" xfId="2" applyFill="1" applyBorder="1" applyAlignment="1">
      <alignment horizontal="center" vertical="top" wrapText="1"/>
    </xf>
    <xf numFmtId="0" fontId="57" fillId="0" borderId="0" xfId="0" applyFont="1" applyAlignment="1">
      <alignment vertical="top"/>
    </xf>
    <xf numFmtId="0" fontId="9" fillId="0" borderId="0" xfId="2" applyFill="1" applyBorder="1" applyAlignment="1">
      <alignment vertical="top" wrapText="1"/>
    </xf>
    <xf numFmtId="0" fontId="57" fillId="0" borderId="0" xfId="0" applyFont="1" applyAlignment="1">
      <alignment horizontal="right" vertical="top"/>
    </xf>
    <xf numFmtId="0" fontId="58" fillId="0" borderId="0" xfId="0" applyFont="1" applyAlignment="1">
      <alignment horizontal="right" vertical="top"/>
    </xf>
    <xf numFmtId="0" fontId="57" fillId="0" borderId="0" xfId="0" applyFont="1" applyAlignment="1">
      <alignment vertical="top" wrapText="1"/>
    </xf>
    <xf numFmtId="0" fontId="0" fillId="25" borderId="91" xfId="0" applyFill="1" applyBorder="1" applyAlignment="1">
      <alignment horizontal="center"/>
    </xf>
    <xf numFmtId="0" fontId="9" fillId="26" borderId="90" xfId="2" applyFill="1" applyBorder="1" applyAlignment="1">
      <alignment horizontal="center" vertical="top" wrapText="1"/>
    </xf>
    <xf numFmtId="0" fontId="57" fillId="26" borderId="92" xfId="0" applyFont="1" applyFill="1" applyBorder="1" applyAlignment="1">
      <alignment horizontal="center" vertical="top"/>
    </xf>
    <xf numFmtId="0" fontId="57" fillId="26" borderId="93" xfId="0" applyFont="1" applyFill="1" applyBorder="1" applyAlignment="1">
      <alignment horizontal="center" vertical="top"/>
    </xf>
    <xf numFmtId="0" fontId="58" fillId="26" borderId="93" xfId="0" applyFont="1" applyFill="1" applyBorder="1" applyAlignment="1">
      <alignment horizontal="center" vertical="top"/>
    </xf>
    <xf numFmtId="0" fontId="57" fillId="26" borderId="93" xfId="0" applyFont="1" applyFill="1" applyBorder="1" applyAlignment="1">
      <alignment horizontal="center" vertical="top" wrapText="1"/>
    </xf>
    <xf numFmtId="0" fontId="9" fillId="26" borderId="92" xfId="2" applyFill="1" applyBorder="1" applyAlignment="1">
      <alignment horizontal="center" vertical="top" wrapText="1"/>
    </xf>
    <xf numFmtId="0" fontId="59" fillId="26" borderId="93" xfId="0" applyFont="1" applyFill="1" applyBorder="1" applyAlignment="1">
      <alignment horizontal="center" vertical="top"/>
    </xf>
    <xf numFmtId="0" fontId="60" fillId="26" borderId="93" xfId="0" applyFont="1" applyFill="1" applyBorder="1" applyAlignment="1">
      <alignment horizontal="center" vertical="top"/>
    </xf>
    <xf numFmtId="0" fontId="59" fillId="26" borderId="93" xfId="0" applyFont="1" applyFill="1" applyBorder="1" applyAlignment="1">
      <alignment horizontal="center" vertical="top" wrapText="1"/>
    </xf>
    <xf numFmtId="0" fontId="59" fillId="26" borderId="94" xfId="0" applyFont="1" applyFill="1" applyBorder="1" applyAlignment="1">
      <alignment horizontal="center" vertical="top"/>
    </xf>
    <xf numFmtId="0" fontId="59" fillId="26" borderId="0" xfId="0" applyFont="1" applyFill="1" applyAlignment="1">
      <alignment horizontal="center" vertical="top"/>
    </xf>
    <xf numFmtId="0" fontId="60" fillId="26" borderId="0" xfId="0" applyFont="1" applyFill="1" applyAlignment="1">
      <alignment horizontal="center" vertical="top"/>
    </xf>
    <xf numFmtId="0" fontId="59" fillId="26" borderId="0" xfId="0" applyFont="1" applyFill="1" applyAlignment="1">
      <alignment horizontal="center" vertical="top" wrapText="1"/>
    </xf>
    <xf numFmtId="0" fontId="0" fillId="0" borderId="46" xfId="0" applyBorder="1"/>
    <xf numFmtId="0" fontId="0" fillId="0" borderId="16" xfId="0" applyBorder="1" applyAlignment="1">
      <alignment horizontal="center"/>
    </xf>
    <xf numFmtId="10" fontId="0" fillId="0" borderId="13" xfId="0" applyNumberFormat="1" applyBorder="1" applyAlignment="1">
      <alignment horizontal="center"/>
    </xf>
    <xf numFmtId="10" fontId="0" fillId="0" borderId="15" xfId="0" applyNumberFormat="1" applyBorder="1" applyAlignment="1">
      <alignment horizontal="center"/>
    </xf>
    <xf numFmtId="167" fontId="0" fillId="0" borderId="1" xfId="0" applyNumberFormat="1" applyBorder="1" applyAlignment="1">
      <alignment horizontal="center"/>
    </xf>
    <xf numFmtId="167" fontId="0" fillId="0" borderId="14" xfId="0" applyNumberFormat="1" applyBorder="1" applyAlignment="1">
      <alignment horizontal="center"/>
    </xf>
    <xf numFmtId="173" fontId="0" fillId="0" borderId="0" xfId="0" applyNumberFormat="1" applyAlignment="1">
      <alignment horizontal="center"/>
    </xf>
    <xf numFmtId="0" fontId="16" fillId="10" borderId="17" xfId="0" applyFont="1" applyFill="1" applyBorder="1" applyAlignment="1">
      <alignment horizontal="center"/>
    </xf>
    <xf numFmtId="0" fontId="0" fillId="0" borderId="0" xfId="0" applyAlignment="1">
      <alignment horizontal="left" vertical="center" wrapText="1"/>
    </xf>
    <xf numFmtId="0" fontId="62" fillId="0" borderId="0" xfId="0" applyFont="1" applyAlignment="1">
      <alignment horizontal="left" vertical="center" wrapText="1"/>
    </xf>
    <xf numFmtId="0" fontId="61" fillId="0" borderId="0" xfId="0" applyFont="1" applyAlignment="1">
      <alignment horizontal="left" vertical="center" wrapText="1"/>
    </xf>
    <xf numFmtId="0" fontId="63" fillId="0" borderId="0" xfId="0" applyFont="1" applyAlignment="1">
      <alignment horizontal="left" vertical="center" wrapText="1"/>
    </xf>
    <xf numFmtId="0" fontId="64" fillId="0" borderId="0" xfId="0" applyFont="1" applyAlignment="1">
      <alignment horizontal="left" vertical="center" wrapText="1"/>
    </xf>
    <xf numFmtId="0" fontId="50" fillId="0" borderId="72" xfId="0" applyFont="1" applyBorder="1" applyAlignment="1">
      <alignment horizontal="left" vertical="center" wrapText="1" indent="3"/>
    </xf>
    <xf numFmtId="0" fontId="65" fillId="0" borderId="0" xfId="0" applyFont="1" applyAlignment="1">
      <alignment horizontal="left" vertical="center" wrapText="1"/>
    </xf>
    <xf numFmtId="0" fontId="0" fillId="0" borderId="0" xfId="0" applyAlignment="1">
      <alignment horizontal="left" vertical="center" wrapText="1" indent="3"/>
    </xf>
    <xf numFmtId="0" fontId="9" fillId="0" borderId="0" xfId="2" applyAlignment="1">
      <alignment horizontal="left" vertical="center" wrapText="1" indent="3"/>
    </xf>
    <xf numFmtId="0" fontId="66" fillId="0" borderId="98" xfId="0" applyFont="1" applyBorder="1" applyAlignment="1">
      <alignment horizontal="center" vertical="center" wrapText="1"/>
    </xf>
    <xf numFmtId="0" fontId="66" fillId="0" borderId="98" xfId="0" applyFont="1" applyBorder="1" applyAlignment="1">
      <alignment horizontal="left" vertical="center" wrapText="1"/>
    </xf>
    <xf numFmtId="46" fontId="66" fillId="0" borderId="98" xfId="0" applyNumberFormat="1" applyFont="1" applyBorder="1" applyAlignment="1">
      <alignment horizontal="center" vertical="center" wrapText="1"/>
    </xf>
    <xf numFmtId="0" fontId="67" fillId="5" borderId="98" xfId="0" applyFont="1" applyFill="1" applyBorder="1" applyAlignment="1">
      <alignment horizontal="center" vertical="center" wrapText="1"/>
    </xf>
    <xf numFmtId="20" fontId="66" fillId="0" borderId="98" xfId="0" applyNumberFormat="1" applyFont="1" applyBorder="1" applyAlignment="1">
      <alignment horizontal="center" vertical="center" wrapText="1"/>
    </xf>
    <xf numFmtId="0" fontId="66" fillId="0" borderId="3" xfId="0" applyFont="1" applyBorder="1" applyAlignment="1">
      <alignment horizontal="center" vertical="center" wrapText="1"/>
    </xf>
    <xf numFmtId="0" fontId="66" fillId="0" borderId="3" xfId="0" applyFont="1" applyBorder="1" applyAlignment="1">
      <alignment horizontal="left" vertical="center" wrapText="1"/>
    </xf>
    <xf numFmtId="46" fontId="66" fillId="0" borderId="3" xfId="0" applyNumberFormat="1" applyFont="1" applyBorder="1" applyAlignment="1">
      <alignment horizontal="center" vertical="center" wrapText="1"/>
    </xf>
    <xf numFmtId="0" fontId="67" fillId="5" borderId="3" xfId="0" applyFont="1" applyFill="1" applyBorder="1" applyAlignment="1">
      <alignment horizontal="center" vertical="center" wrapText="1"/>
    </xf>
    <xf numFmtId="17" fontId="66" fillId="0" borderId="3" xfId="0" applyNumberFormat="1" applyFont="1" applyBorder="1" applyAlignment="1">
      <alignment horizontal="center" vertical="center" wrapText="1"/>
    </xf>
    <xf numFmtId="20" fontId="66" fillId="0" borderId="3" xfId="0" applyNumberFormat="1" applyFont="1" applyBorder="1" applyAlignment="1">
      <alignment horizontal="center" vertical="center" wrapText="1"/>
    </xf>
    <xf numFmtId="0" fontId="66" fillId="0" borderId="99" xfId="0" applyFont="1" applyBorder="1" applyAlignment="1">
      <alignment horizontal="center" vertical="center" wrapText="1"/>
    </xf>
    <xf numFmtId="0" fontId="66" fillId="0" borderId="99" xfId="0" applyFont="1" applyBorder="1" applyAlignment="1">
      <alignment horizontal="left" vertical="center" wrapText="1"/>
    </xf>
    <xf numFmtId="46" fontId="66" fillId="0" borderId="99" xfId="0" applyNumberFormat="1" applyFont="1" applyBorder="1" applyAlignment="1">
      <alignment horizontal="center" vertical="center" wrapText="1"/>
    </xf>
    <xf numFmtId="0" fontId="67" fillId="5" borderId="99" xfId="0" applyFont="1" applyFill="1" applyBorder="1" applyAlignment="1">
      <alignment horizontal="center" vertical="center" wrapText="1"/>
    </xf>
    <xf numFmtId="17" fontId="66" fillId="0" borderId="99" xfId="0" applyNumberFormat="1" applyFont="1" applyBorder="1" applyAlignment="1">
      <alignment horizontal="center" vertical="center" wrapText="1"/>
    </xf>
    <xf numFmtId="20" fontId="66" fillId="0" borderId="99" xfId="0" applyNumberFormat="1" applyFont="1" applyBorder="1" applyAlignment="1">
      <alignment horizontal="center" vertical="center" wrapText="1"/>
    </xf>
    <xf numFmtId="0" fontId="67" fillId="0" borderId="3" xfId="0" applyFont="1" applyBorder="1" applyAlignment="1">
      <alignment horizontal="center" vertical="center" wrapText="1"/>
    </xf>
    <xf numFmtId="0" fontId="0" fillId="0" borderId="29" xfId="0" applyBorder="1" applyAlignment="1">
      <alignment horizontal="center"/>
    </xf>
    <xf numFmtId="0" fontId="0" fillId="0" borderId="30" xfId="0" applyBorder="1" applyAlignment="1">
      <alignment horizontal="center"/>
    </xf>
    <xf numFmtId="0" fontId="0" fillId="0" borderId="54" xfId="0" applyBorder="1" applyAlignment="1">
      <alignment horizontal="center"/>
    </xf>
    <xf numFmtId="2" fontId="0" fillId="0" borderId="27" xfId="0" applyNumberFormat="1" applyBorder="1" applyAlignment="1">
      <alignment horizontal="center"/>
    </xf>
    <xf numFmtId="0" fontId="0" fillId="0" borderId="32" xfId="0" applyBorder="1" applyAlignment="1">
      <alignment horizontal="center"/>
    </xf>
    <xf numFmtId="2" fontId="0" fillId="0" borderId="34" xfId="0" applyNumberFormat="1" applyBorder="1" applyAlignment="1">
      <alignment horizontal="center"/>
    </xf>
    <xf numFmtId="2" fontId="0" fillId="0" borderId="26" xfId="0" applyNumberFormat="1" applyBorder="1" applyAlignment="1">
      <alignment horizontal="center"/>
    </xf>
    <xf numFmtId="2" fontId="0" fillId="0" borderId="44" xfId="0" applyNumberFormat="1" applyBorder="1" applyAlignment="1">
      <alignment horizontal="center"/>
    </xf>
    <xf numFmtId="2" fontId="0" fillId="2" borderId="26" xfId="0" applyNumberFormat="1" applyFill="1" applyBorder="1" applyAlignment="1">
      <alignment horizontal="center"/>
    </xf>
    <xf numFmtId="2" fontId="0" fillId="2" borderId="27" xfId="0" applyNumberFormat="1" applyFill="1" applyBorder="1" applyAlignment="1">
      <alignment horizontal="center"/>
    </xf>
    <xf numFmtId="0" fontId="66" fillId="0" borderId="103" xfId="0" applyFont="1" applyBorder="1" applyAlignment="1">
      <alignment horizontal="center" vertical="center" wrapText="1"/>
    </xf>
    <xf numFmtId="0" fontId="9" fillId="0" borderId="103" xfId="2" applyBorder="1" applyAlignment="1">
      <alignment horizontal="left" vertical="center" wrapText="1"/>
    </xf>
    <xf numFmtId="0" fontId="66" fillId="0" borderId="103" xfId="0" applyFont="1" applyBorder="1" applyAlignment="1">
      <alignment horizontal="left" vertical="center" wrapText="1"/>
    </xf>
    <xf numFmtId="46" fontId="66" fillId="0" borderId="103" xfId="0" applyNumberFormat="1" applyFont="1" applyBorder="1" applyAlignment="1">
      <alignment horizontal="center" vertical="center" wrapText="1"/>
    </xf>
    <xf numFmtId="0" fontId="67" fillId="5" borderId="103" xfId="0" applyFont="1" applyFill="1" applyBorder="1" applyAlignment="1">
      <alignment horizontal="center" vertical="center" wrapText="1"/>
    </xf>
    <xf numFmtId="20" fontId="66" fillId="0" borderId="103" xfId="0" applyNumberFormat="1" applyFont="1" applyBorder="1" applyAlignment="1">
      <alignment horizontal="center" vertical="center" wrapText="1"/>
    </xf>
    <xf numFmtId="16" fontId="66" fillId="0" borderId="3" xfId="0" applyNumberFormat="1" applyFont="1" applyBorder="1" applyAlignment="1">
      <alignment horizontal="center" vertical="center" wrapText="1"/>
    </xf>
    <xf numFmtId="0" fontId="66" fillId="0" borderId="104" xfId="0" applyFont="1" applyBorder="1" applyAlignment="1">
      <alignment horizontal="center" vertical="center" wrapText="1"/>
    </xf>
    <xf numFmtId="0" fontId="9" fillId="0" borderId="104" xfId="2" applyBorder="1" applyAlignment="1">
      <alignment horizontal="left" vertical="center" wrapText="1"/>
    </xf>
    <xf numFmtId="0" fontId="66" fillId="0" borderId="104" xfId="0" applyFont="1" applyBorder="1" applyAlignment="1">
      <alignment horizontal="left" vertical="center" wrapText="1"/>
    </xf>
    <xf numFmtId="20" fontId="66" fillId="0" borderId="104" xfId="0" applyNumberFormat="1" applyFont="1" applyBorder="1" applyAlignment="1">
      <alignment horizontal="center" vertical="center" wrapText="1"/>
    </xf>
    <xf numFmtId="0" fontId="67" fillId="5" borderId="104" xfId="0" applyFont="1" applyFill="1" applyBorder="1" applyAlignment="1">
      <alignment horizontal="center" vertical="center" wrapText="1"/>
    </xf>
    <xf numFmtId="0" fontId="68" fillId="25" borderId="0" xfId="0" applyFont="1" applyFill="1" applyAlignment="1">
      <alignment vertical="top" wrapText="1"/>
    </xf>
    <xf numFmtId="0" fontId="68" fillId="26" borderId="0" xfId="0" applyFont="1" applyFill="1" applyAlignment="1">
      <alignment vertical="top" wrapText="1"/>
    </xf>
    <xf numFmtId="0" fontId="0" fillId="25" borderId="90" xfId="0" applyFill="1" applyBorder="1"/>
    <xf numFmtId="0" fontId="68" fillId="25" borderId="90" xfId="0" applyFont="1" applyFill="1" applyBorder="1" applyAlignment="1">
      <alignment vertical="top"/>
    </xf>
    <xf numFmtId="0" fontId="68" fillId="26" borderId="90" xfId="0" applyFont="1" applyFill="1" applyBorder="1" applyAlignment="1">
      <alignment vertical="top"/>
    </xf>
    <xf numFmtId="0" fontId="68" fillId="26" borderId="92" xfId="0" applyFont="1" applyFill="1" applyBorder="1" applyAlignment="1">
      <alignment vertical="top"/>
    </xf>
    <xf numFmtId="0" fontId="9" fillId="26" borderId="93" xfId="2" applyFill="1" applyBorder="1" applyAlignment="1">
      <alignment vertical="top" wrapText="1"/>
    </xf>
    <xf numFmtId="0" fontId="71" fillId="26" borderId="90" xfId="0" applyFont="1" applyFill="1" applyBorder="1" applyAlignment="1">
      <alignment vertical="top"/>
    </xf>
    <xf numFmtId="0" fontId="68" fillId="25" borderId="92" xfId="0" applyFont="1" applyFill="1" applyBorder="1" applyAlignment="1">
      <alignment vertical="top"/>
    </xf>
    <xf numFmtId="0" fontId="71" fillId="25" borderId="90" xfId="0" applyFont="1" applyFill="1" applyBorder="1" applyAlignment="1">
      <alignment vertical="top"/>
    </xf>
    <xf numFmtId="0" fontId="69" fillId="26" borderId="90" xfId="0" applyFont="1" applyFill="1" applyBorder="1" applyAlignment="1">
      <alignment vertical="top"/>
    </xf>
    <xf numFmtId="0" fontId="68" fillId="25" borderId="0" xfId="0" applyFont="1" applyFill="1" applyAlignment="1">
      <alignment horizontal="center" vertical="top"/>
    </xf>
    <xf numFmtId="0" fontId="70" fillId="25" borderId="0" xfId="0" applyFont="1" applyFill="1" applyAlignment="1">
      <alignment horizontal="center" vertical="top"/>
    </xf>
    <xf numFmtId="0" fontId="68" fillId="25" borderId="0" xfId="0" applyFont="1" applyFill="1" applyAlignment="1">
      <alignment horizontal="center" vertical="top" wrapText="1"/>
    </xf>
    <xf numFmtId="0" fontId="68" fillId="25" borderId="91" xfId="0" applyFont="1" applyFill="1" applyBorder="1" applyAlignment="1">
      <alignment horizontal="center" vertical="top"/>
    </xf>
    <xf numFmtId="0" fontId="68" fillId="26" borderId="0" xfId="0" applyFont="1" applyFill="1" applyAlignment="1">
      <alignment horizontal="center" vertical="top"/>
    </xf>
    <xf numFmtId="0" fontId="70" fillId="26" borderId="0" xfId="0" applyFont="1" applyFill="1" applyAlignment="1">
      <alignment horizontal="center" vertical="top"/>
    </xf>
    <xf numFmtId="0" fontId="68" fillId="26" borderId="0" xfId="0" applyFont="1" applyFill="1" applyAlignment="1">
      <alignment horizontal="center" vertical="top" wrapText="1"/>
    </xf>
    <xf numFmtId="0" fontId="68" fillId="26" borderId="91" xfId="0" applyFont="1" applyFill="1" applyBorder="1" applyAlignment="1">
      <alignment horizontal="center" vertical="top"/>
    </xf>
    <xf numFmtId="0" fontId="68" fillId="26" borderId="93" xfId="0" applyFont="1" applyFill="1" applyBorder="1" applyAlignment="1">
      <alignment horizontal="center" vertical="top"/>
    </xf>
    <xf numFmtId="0" fontId="70" fillId="26" borderId="93" xfId="0" applyFont="1" applyFill="1" applyBorder="1" applyAlignment="1">
      <alignment horizontal="center" vertical="top"/>
    </xf>
    <xf numFmtId="0" fontId="68" fillId="26" borderId="93" xfId="0" applyFont="1" applyFill="1" applyBorder="1" applyAlignment="1">
      <alignment horizontal="center" vertical="top" wrapText="1"/>
    </xf>
    <xf numFmtId="0" fontId="71" fillId="26" borderId="0" xfId="0" applyFont="1" applyFill="1" applyAlignment="1">
      <alignment horizontal="center" vertical="top"/>
    </xf>
    <xf numFmtId="0" fontId="72" fillId="26" borderId="0" xfId="0" applyFont="1" applyFill="1" applyAlignment="1">
      <alignment horizontal="center" vertical="top"/>
    </xf>
    <xf numFmtId="0" fontId="71" fillId="26" borderId="0" xfId="0" applyFont="1" applyFill="1" applyAlignment="1">
      <alignment horizontal="center" vertical="top" wrapText="1"/>
    </xf>
    <xf numFmtId="0" fontId="71" fillId="26" borderId="91" xfId="0" applyFont="1" applyFill="1" applyBorder="1" applyAlignment="1">
      <alignment horizontal="center" vertical="top"/>
    </xf>
    <xf numFmtId="0" fontId="68" fillId="25" borderId="93" xfId="0" applyFont="1" applyFill="1" applyBorder="1" applyAlignment="1">
      <alignment horizontal="center" vertical="top"/>
    </xf>
    <xf numFmtId="0" fontId="70" fillId="25" borderId="93" xfId="0" applyFont="1" applyFill="1" applyBorder="1" applyAlignment="1">
      <alignment horizontal="center" vertical="top"/>
    </xf>
    <xf numFmtId="0" fontId="68" fillId="25" borderId="93" xfId="0" applyFont="1" applyFill="1" applyBorder="1" applyAlignment="1">
      <alignment horizontal="center" vertical="top" wrapText="1"/>
    </xf>
    <xf numFmtId="0" fontId="71" fillId="25" borderId="0" xfId="0" applyFont="1" applyFill="1" applyAlignment="1">
      <alignment horizontal="center" vertical="top"/>
    </xf>
    <xf numFmtId="0" fontId="72" fillId="25" borderId="0" xfId="0" applyFont="1" applyFill="1" applyAlignment="1">
      <alignment horizontal="center" vertical="top"/>
    </xf>
    <xf numFmtId="0" fontId="71" fillId="25" borderId="0" xfId="0" applyFont="1" applyFill="1" applyAlignment="1">
      <alignment horizontal="center" vertical="top" wrapText="1"/>
    </xf>
    <xf numFmtId="0" fontId="71" fillId="25" borderId="91" xfId="0" applyFont="1" applyFill="1" applyBorder="1" applyAlignment="1">
      <alignment horizontal="center" vertical="top"/>
    </xf>
    <xf numFmtId="0" fontId="69" fillId="26" borderId="0" xfId="0" applyFont="1" applyFill="1" applyAlignment="1">
      <alignment horizontal="center" vertical="top"/>
    </xf>
    <xf numFmtId="0" fontId="73" fillId="26" borderId="0" xfId="0" applyFont="1" applyFill="1" applyAlignment="1">
      <alignment horizontal="center" vertical="top"/>
    </xf>
    <xf numFmtId="0" fontId="69" fillId="26" borderId="0" xfId="0" applyFont="1" applyFill="1" applyAlignment="1">
      <alignment horizontal="center" vertical="top" wrapText="1"/>
    </xf>
    <xf numFmtId="0" fontId="69" fillId="26" borderId="91" xfId="0" applyFont="1" applyFill="1" applyBorder="1" applyAlignment="1">
      <alignment horizontal="center" vertical="top"/>
    </xf>
    <xf numFmtId="0" fontId="9" fillId="0" borderId="0" xfId="2" applyFill="1" applyBorder="1" applyAlignment="1">
      <alignment horizontal="center" vertical="top" wrapText="1"/>
    </xf>
    <xf numFmtId="0" fontId="57" fillId="0" borderId="0" xfId="0" applyFont="1" applyAlignment="1">
      <alignment horizontal="center" vertical="top"/>
    </xf>
    <xf numFmtId="0" fontId="58" fillId="0" borderId="0" xfId="0" applyFont="1" applyAlignment="1">
      <alignment horizontal="center" vertical="top"/>
    </xf>
    <xf numFmtId="0" fontId="57" fillId="0" borderId="0" xfId="0" applyFont="1" applyAlignment="1">
      <alignment horizontal="center" vertical="top" wrapText="1"/>
    </xf>
    <xf numFmtId="0" fontId="0" fillId="21" borderId="82" xfId="0" applyFill="1" applyBorder="1" applyAlignment="1">
      <alignment horizontal="center"/>
    </xf>
    <xf numFmtId="0" fontId="30" fillId="0" borderId="87" xfId="0" applyFont="1" applyBorder="1"/>
    <xf numFmtId="0" fontId="74" fillId="26" borderId="0" xfId="0" applyFont="1" applyFill="1" applyAlignment="1">
      <alignment horizontal="center" vertical="top"/>
    </xf>
    <xf numFmtId="0" fontId="75" fillId="26" borderId="0" xfId="0" applyFont="1" applyFill="1" applyAlignment="1">
      <alignment horizontal="center" vertical="top"/>
    </xf>
    <xf numFmtId="0" fontId="74" fillId="26" borderId="0" xfId="0" applyFont="1" applyFill="1" applyAlignment="1">
      <alignment horizontal="center" vertical="top" wrapText="1"/>
    </xf>
    <xf numFmtId="0" fontId="74" fillId="26" borderId="91" xfId="0" applyFont="1" applyFill="1" applyBorder="1" applyAlignment="1">
      <alignment horizontal="center" vertical="top"/>
    </xf>
    <xf numFmtId="0" fontId="9" fillId="25" borderId="90" xfId="2" applyFill="1" applyBorder="1" applyAlignment="1">
      <alignment horizontal="center" vertical="top" wrapText="1"/>
    </xf>
    <xf numFmtId="0" fontId="74" fillId="25" borderId="0" xfId="0" applyFont="1" applyFill="1" applyAlignment="1">
      <alignment horizontal="center" vertical="top"/>
    </xf>
    <xf numFmtId="0" fontId="75" fillId="25" borderId="0" xfId="0" applyFont="1" applyFill="1" applyAlignment="1">
      <alignment horizontal="center" vertical="top"/>
    </xf>
    <xf numFmtId="0" fontId="74" fillId="25" borderId="0" xfId="0" applyFont="1" applyFill="1" applyAlignment="1">
      <alignment horizontal="center" vertical="top" wrapText="1"/>
    </xf>
    <xf numFmtId="0" fontId="74" fillId="25" borderId="91" xfId="0" applyFont="1" applyFill="1" applyBorder="1" applyAlignment="1">
      <alignment horizontal="center" vertical="top"/>
    </xf>
    <xf numFmtId="0" fontId="76" fillId="26" borderId="0" xfId="0" applyFont="1" applyFill="1" applyAlignment="1">
      <alignment horizontal="center" vertical="top"/>
    </xf>
    <xf numFmtId="0" fontId="77" fillId="26" borderId="0" xfId="0" applyFont="1" applyFill="1" applyAlignment="1">
      <alignment horizontal="center" vertical="top"/>
    </xf>
    <xf numFmtId="0" fontId="76" fillId="26" borderId="0" xfId="0" applyFont="1" applyFill="1" applyAlignment="1">
      <alignment horizontal="center" vertical="top" wrapText="1"/>
    </xf>
    <xf numFmtId="0" fontId="76" fillId="26" borderId="91" xfId="0" applyFont="1" applyFill="1" applyBorder="1" applyAlignment="1">
      <alignment horizontal="center" vertical="top"/>
    </xf>
    <xf numFmtId="0" fontId="9" fillId="25" borderId="92" xfId="2" applyFill="1" applyBorder="1" applyAlignment="1">
      <alignment horizontal="center" vertical="top" wrapText="1"/>
    </xf>
    <xf numFmtId="0" fontId="74" fillId="25" borderId="93" xfId="0" applyFont="1" applyFill="1" applyBorder="1" applyAlignment="1">
      <alignment horizontal="center" vertical="top"/>
    </xf>
    <xf numFmtId="0" fontId="75" fillId="25" borderId="93" xfId="0" applyFont="1" applyFill="1" applyBorder="1" applyAlignment="1">
      <alignment horizontal="center" vertical="top"/>
    </xf>
    <xf numFmtId="0" fontId="74" fillId="25" borderId="93" xfId="0" applyFont="1" applyFill="1" applyBorder="1" applyAlignment="1">
      <alignment horizontal="center" vertical="top" wrapText="1"/>
    </xf>
    <xf numFmtId="0" fontId="74" fillId="25" borderId="94" xfId="0" applyFont="1" applyFill="1" applyBorder="1" applyAlignment="1">
      <alignment horizontal="center" vertical="top"/>
    </xf>
    <xf numFmtId="2" fontId="74" fillId="25" borderId="0" xfId="0" applyNumberFormat="1" applyFont="1" applyFill="1" applyAlignment="1">
      <alignment horizontal="center" vertical="top"/>
    </xf>
    <xf numFmtId="2" fontId="74" fillId="25" borderId="93" xfId="0" applyNumberFormat="1" applyFont="1" applyFill="1" applyBorder="1" applyAlignment="1">
      <alignment horizontal="center" vertical="top"/>
    </xf>
    <xf numFmtId="0" fontId="16" fillId="2" borderId="17" xfId="0" applyFont="1" applyFill="1" applyBorder="1" applyAlignment="1">
      <alignment horizontal="center"/>
    </xf>
    <xf numFmtId="0" fontId="16" fillId="0" borderId="22" xfId="0" applyFont="1" applyBorder="1" applyAlignment="1">
      <alignment horizontal="center"/>
    </xf>
    <xf numFmtId="0" fontId="16" fillId="9" borderId="0" xfId="0" applyFont="1" applyFill="1" applyAlignment="1">
      <alignment horizontal="center"/>
    </xf>
    <xf numFmtId="0" fontId="78" fillId="4" borderId="83" xfId="0" applyFont="1" applyFill="1" applyBorder="1" applyAlignment="1">
      <alignment horizontal="left" vertical="center" wrapText="1" indent="1"/>
    </xf>
    <xf numFmtId="0" fontId="78" fillId="4" borderId="83" xfId="0" applyFont="1" applyFill="1" applyBorder="1" applyAlignment="1">
      <alignment horizontal="center" vertical="center"/>
    </xf>
    <xf numFmtId="0" fontId="78" fillId="4" borderId="83" xfId="0" applyFont="1" applyFill="1" applyBorder="1" applyAlignment="1">
      <alignment horizontal="center" vertical="center" wrapText="1"/>
    </xf>
    <xf numFmtId="0" fontId="78" fillId="30" borderId="83" xfId="0" applyFont="1" applyFill="1" applyBorder="1" applyAlignment="1">
      <alignment horizontal="left" vertical="center" wrapText="1" indent="1"/>
    </xf>
    <xf numFmtId="0" fontId="78" fillId="30" borderId="83" xfId="0" applyFont="1" applyFill="1" applyBorder="1" applyAlignment="1">
      <alignment horizontal="center" vertical="center"/>
    </xf>
    <xf numFmtId="0" fontId="78" fillId="30" borderId="83" xfId="0" applyFont="1" applyFill="1" applyBorder="1" applyAlignment="1">
      <alignment horizontal="center" vertical="center" wrapText="1"/>
    </xf>
    <xf numFmtId="10" fontId="0" fillId="0" borderId="46" xfId="0" applyNumberFormat="1" applyBorder="1" applyAlignment="1">
      <alignment horizontal="center"/>
    </xf>
    <xf numFmtId="0" fontId="7" fillId="28" borderId="51" xfId="0" applyFont="1" applyFill="1" applyBorder="1" applyAlignment="1">
      <alignment horizontal="center" vertical="center"/>
    </xf>
    <xf numFmtId="0" fontId="7" fillId="28" borderId="52" xfId="0" applyFont="1" applyFill="1" applyBorder="1" applyAlignment="1">
      <alignment horizontal="center" vertical="center"/>
    </xf>
    <xf numFmtId="0" fontId="0" fillId="28" borderId="52" xfId="0" applyFill="1" applyBorder="1" applyAlignment="1">
      <alignment horizontal="center"/>
    </xf>
    <xf numFmtId="0" fontId="0" fillId="28" borderId="53" xfId="0" applyFill="1" applyBorder="1" applyAlignment="1">
      <alignment horizontal="center"/>
    </xf>
    <xf numFmtId="0" fontId="66" fillId="0" borderId="5" xfId="0" applyFont="1" applyBorder="1" applyAlignment="1">
      <alignment horizontal="center" vertical="center" wrapText="1"/>
    </xf>
    <xf numFmtId="0" fontId="66" fillId="0" borderId="6" xfId="0" applyFont="1" applyBorder="1" applyAlignment="1">
      <alignment horizontal="left" vertical="center" wrapText="1"/>
    </xf>
    <xf numFmtId="0" fontId="66" fillId="0" borderId="6" xfId="0" applyFont="1" applyBorder="1" applyAlignment="1">
      <alignment horizontal="center" vertical="center" wrapText="1"/>
    </xf>
    <xf numFmtId="46" fontId="66" fillId="0" borderId="6" xfId="0" applyNumberFormat="1" applyFont="1" applyBorder="1" applyAlignment="1">
      <alignment horizontal="center" vertical="center" wrapText="1"/>
    </xf>
    <xf numFmtId="0" fontId="67" fillId="5" borderId="6" xfId="0" applyFont="1" applyFill="1" applyBorder="1" applyAlignment="1">
      <alignment horizontal="center" vertical="center" wrapText="1"/>
    </xf>
    <xf numFmtId="17" fontId="66" fillId="0" borderId="6" xfId="0" applyNumberFormat="1" applyFont="1" applyBorder="1" applyAlignment="1">
      <alignment horizontal="center" vertical="center" wrapText="1"/>
    </xf>
    <xf numFmtId="20" fontId="66" fillId="0" borderId="4" xfId="0" applyNumberFormat="1" applyFont="1" applyBorder="1" applyAlignment="1">
      <alignment horizontal="center" vertical="center" wrapText="1"/>
    </xf>
    <xf numFmtId="0" fontId="66" fillId="0" borderId="10" xfId="0" applyFont="1" applyBorder="1" applyAlignment="1">
      <alignment horizontal="center" vertical="center" wrapText="1"/>
    </xf>
    <xf numFmtId="20" fontId="66" fillId="0" borderId="11" xfId="0" applyNumberFormat="1" applyFont="1" applyBorder="1" applyAlignment="1">
      <alignment horizontal="center" vertical="center" wrapText="1"/>
    </xf>
    <xf numFmtId="0" fontId="66" fillId="0" borderId="105" xfId="0" applyFont="1" applyBorder="1" applyAlignment="1">
      <alignment horizontal="center" vertical="center" wrapText="1"/>
    </xf>
    <xf numFmtId="0" fontId="66" fillId="0" borderId="106" xfId="0" applyFont="1" applyBorder="1" applyAlignment="1">
      <alignment horizontal="left" vertical="center" wrapText="1"/>
    </xf>
    <xf numFmtId="0" fontId="66" fillId="0" borderId="106" xfId="0" applyFont="1" applyBorder="1" applyAlignment="1">
      <alignment horizontal="center" vertical="center" wrapText="1"/>
    </xf>
    <xf numFmtId="46" fontId="66" fillId="0" borderId="106" xfId="0" applyNumberFormat="1" applyFont="1" applyBorder="1" applyAlignment="1">
      <alignment horizontal="center" vertical="center" wrapText="1"/>
    </xf>
    <xf numFmtId="0" fontId="67" fillId="5" borderId="106" xfId="0" applyFont="1" applyFill="1" applyBorder="1" applyAlignment="1">
      <alignment horizontal="center" vertical="center" wrapText="1"/>
    </xf>
    <xf numFmtId="20" fontId="66" fillId="0" borderId="107" xfId="0" applyNumberFormat="1" applyFont="1" applyBorder="1" applyAlignment="1">
      <alignment horizontal="center" vertical="center" wrapText="1"/>
    </xf>
    <xf numFmtId="0" fontId="7" fillId="28" borderId="52" xfId="0" applyFont="1" applyFill="1" applyBorder="1" applyAlignment="1">
      <alignment horizontal="left" vertical="center" indent="1"/>
    </xf>
    <xf numFmtId="0" fontId="0" fillId="0" borderId="0" xfId="0" applyAlignment="1">
      <alignment vertical="center"/>
    </xf>
    <xf numFmtId="0" fontId="0" fillId="0" borderId="13" xfId="0" applyBorder="1" applyAlignment="1">
      <alignment vertical="center"/>
    </xf>
    <xf numFmtId="20" fontId="66" fillId="0" borderId="6" xfId="0" applyNumberFormat="1" applyFont="1" applyBorder="1" applyAlignment="1">
      <alignment horizontal="center" vertical="center" wrapText="1"/>
    </xf>
    <xf numFmtId="20" fontId="66" fillId="0" borderId="106" xfId="0" applyNumberFormat="1" applyFont="1" applyBorder="1" applyAlignment="1">
      <alignment horizontal="center" vertical="center" wrapText="1"/>
    </xf>
    <xf numFmtId="2" fontId="0" fillId="0" borderId="1" xfId="0" applyNumberFormat="1" applyBorder="1" applyAlignment="1">
      <alignment horizontal="center"/>
    </xf>
    <xf numFmtId="0" fontId="0" fillId="0" borderId="14" xfId="0" applyBorder="1"/>
    <xf numFmtId="2" fontId="0" fillId="0" borderId="14" xfId="0" applyNumberFormat="1" applyBorder="1" applyAlignment="1">
      <alignment horizontal="center"/>
    </xf>
    <xf numFmtId="0" fontId="23" fillId="0" borderId="0" xfId="3" applyFont="1" applyAlignment="1">
      <alignment horizontal="center"/>
    </xf>
    <xf numFmtId="46" fontId="66" fillId="0" borderId="104" xfId="0" applyNumberFormat="1" applyFont="1" applyBorder="1" applyAlignment="1">
      <alignment horizontal="center" vertical="center" wrapText="1"/>
    </xf>
    <xf numFmtId="17" fontId="66" fillId="0" borderId="103" xfId="0" applyNumberFormat="1" applyFont="1" applyBorder="1" applyAlignment="1">
      <alignment horizontal="center" vertical="center" wrapText="1"/>
    </xf>
    <xf numFmtId="17" fontId="66" fillId="0" borderId="104" xfId="0" applyNumberFormat="1" applyFont="1" applyBorder="1" applyAlignment="1">
      <alignment horizontal="center" vertical="center" wrapText="1"/>
    </xf>
    <xf numFmtId="0" fontId="0" fillId="0" borderId="89" xfId="0" applyBorder="1" applyAlignment="1">
      <alignment horizontal="center"/>
    </xf>
    <xf numFmtId="0" fontId="0" fillId="0" borderId="45" xfId="0" applyBorder="1" applyAlignment="1">
      <alignment horizontal="center"/>
    </xf>
    <xf numFmtId="0" fontId="0" fillId="0" borderId="59" xfId="0" applyBorder="1" applyAlignment="1">
      <alignment horizontal="center"/>
    </xf>
    <xf numFmtId="2" fontId="0" fillId="0" borderId="4" xfId="0" applyNumberFormat="1" applyBorder="1" applyAlignment="1">
      <alignment horizontal="center"/>
    </xf>
    <xf numFmtId="0" fontId="0" fillId="0" borderId="2" xfId="0" applyBorder="1" applyAlignment="1">
      <alignment horizontal="center" vertical="center"/>
    </xf>
    <xf numFmtId="0" fontId="0" fillId="0" borderId="2" xfId="0" applyBorder="1"/>
    <xf numFmtId="17" fontId="66" fillId="0" borderId="98" xfId="0" applyNumberFormat="1" applyFont="1" applyBorder="1" applyAlignment="1">
      <alignment horizontal="center" vertical="center" wrapText="1"/>
    </xf>
    <xf numFmtId="0" fontId="0" fillId="0" borderId="108" xfId="0" applyBorder="1" applyAlignment="1">
      <alignment horizontal="center"/>
    </xf>
    <xf numFmtId="0" fontId="0" fillId="0" borderId="15" xfId="0" applyBorder="1" applyAlignment="1">
      <alignment horizontal="center" vertical="center"/>
    </xf>
    <xf numFmtId="0" fontId="80" fillId="0" borderId="0" xfId="0" applyFont="1" applyAlignment="1">
      <alignment horizontal="center" vertical="top"/>
    </xf>
    <xf numFmtId="173" fontId="80" fillId="0" borderId="0" xfId="0" applyNumberFormat="1" applyFont="1" applyAlignment="1">
      <alignment horizontal="center"/>
    </xf>
    <xf numFmtId="2" fontId="80" fillId="0" borderId="0" xfId="0" applyNumberFormat="1" applyFont="1" applyAlignment="1">
      <alignment horizontal="center"/>
    </xf>
    <xf numFmtId="0" fontId="80" fillId="0" borderId="0" xfId="0" applyFont="1" applyAlignment="1">
      <alignment horizontal="center"/>
    </xf>
    <xf numFmtId="14" fontId="0" fillId="21" borderId="81" xfId="0" applyNumberFormat="1" applyFill="1" applyBorder="1" applyAlignment="1">
      <alignment horizontal="center"/>
    </xf>
    <xf numFmtId="0" fontId="81" fillId="0" borderId="0" xfId="0" applyFont="1" applyAlignment="1">
      <alignment horizontal="center" vertical="top"/>
    </xf>
    <xf numFmtId="0" fontId="0" fillId="21" borderId="0" xfId="0" applyFill="1" applyAlignment="1">
      <alignment horizontal="center"/>
    </xf>
    <xf numFmtId="172" fontId="0" fillId="24" borderId="0" xfId="0" applyNumberFormat="1" applyFill="1" applyAlignment="1">
      <alignment horizontal="center"/>
    </xf>
    <xf numFmtId="0" fontId="0" fillId="0" borderId="0" xfId="0" applyAlignment="1">
      <alignment wrapText="1"/>
    </xf>
    <xf numFmtId="0" fontId="42" fillId="5" borderId="0" xfId="0" applyFont="1" applyFill="1" applyAlignment="1">
      <alignment horizontal="center" vertical="center"/>
    </xf>
    <xf numFmtId="0" fontId="42" fillId="5" borderId="0" xfId="0" applyFont="1" applyFill="1" applyAlignment="1">
      <alignment horizontal="left" vertical="center"/>
    </xf>
    <xf numFmtId="0" fontId="9" fillId="31" borderId="0" xfId="2" applyFill="1" applyAlignment="1">
      <alignment horizontal="center" vertical="center"/>
    </xf>
    <xf numFmtId="0" fontId="43" fillId="0" borderId="103" xfId="0" applyFont="1" applyBorder="1" applyAlignment="1">
      <alignment horizontal="center" vertical="center" wrapText="1"/>
    </xf>
    <xf numFmtId="0" fontId="43" fillId="0" borderId="103" xfId="0" applyFont="1" applyBorder="1" applyAlignment="1">
      <alignment horizontal="left" vertical="center" wrapText="1"/>
    </xf>
    <xf numFmtId="46" fontId="43" fillId="0" borderId="103" xfId="0" applyNumberFormat="1" applyFont="1" applyBorder="1" applyAlignment="1">
      <alignment horizontal="center" vertical="center" wrapText="1"/>
    </xf>
    <xf numFmtId="0" fontId="44" fillId="5" borderId="103" xfId="0" applyFont="1" applyFill="1" applyBorder="1" applyAlignment="1">
      <alignment horizontal="center" vertical="center" wrapText="1"/>
    </xf>
    <xf numFmtId="20" fontId="43" fillId="0" borderId="103" xfId="0" applyNumberFormat="1" applyFont="1" applyBorder="1" applyAlignment="1">
      <alignment horizontal="center" vertical="center" wrapText="1"/>
    </xf>
    <xf numFmtId="0" fontId="43" fillId="0" borderId="104" xfId="0" applyFont="1" applyBorder="1" applyAlignment="1">
      <alignment horizontal="center" vertical="center" wrapText="1"/>
    </xf>
    <xf numFmtId="0" fontId="43" fillId="0" borderId="104" xfId="0" applyFont="1" applyBorder="1" applyAlignment="1">
      <alignment horizontal="left" vertical="center" wrapText="1"/>
    </xf>
    <xf numFmtId="0" fontId="44" fillId="5" borderId="104" xfId="0" applyFont="1" applyFill="1" applyBorder="1" applyAlignment="1">
      <alignment horizontal="center" vertical="center" wrapText="1"/>
    </xf>
    <xf numFmtId="20" fontId="43" fillId="0" borderId="104" xfId="0" applyNumberFormat="1" applyFont="1" applyBorder="1" applyAlignment="1">
      <alignment horizontal="center" vertical="center" wrapText="1"/>
    </xf>
    <xf numFmtId="0" fontId="0" fillId="2" borderId="0" xfId="0" applyFill="1"/>
    <xf numFmtId="0" fontId="0" fillId="0" borderId="7" xfId="0" applyBorder="1" applyAlignment="1">
      <alignment horizontal="center"/>
    </xf>
    <xf numFmtId="0" fontId="0" fillId="2" borderId="0" xfId="0" applyFill="1" applyAlignment="1">
      <alignment horizontal="center"/>
    </xf>
    <xf numFmtId="0" fontId="0" fillId="2" borderId="21" xfId="0" applyFill="1" applyBorder="1" applyAlignment="1">
      <alignment horizontal="center"/>
    </xf>
    <xf numFmtId="0" fontId="0" fillId="0" borderId="18" xfId="0" applyBorder="1" applyAlignment="1">
      <alignment horizontal="center"/>
    </xf>
    <xf numFmtId="0" fontId="0" fillId="21" borderId="81" xfId="0" applyFill="1" applyBorder="1"/>
    <xf numFmtId="0" fontId="29" fillId="32" borderId="101" xfId="0" applyFont="1" applyFill="1" applyBorder="1" applyAlignment="1">
      <alignment horizontal="center"/>
    </xf>
    <xf numFmtId="0" fontId="29" fillId="32" borderId="102" xfId="0" applyFont="1" applyFill="1" applyBorder="1" applyAlignment="1">
      <alignment horizontal="center"/>
    </xf>
    <xf numFmtId="0" fontId="29" fillId="32" borderId="113" xfId="0" applyFont="1" applyFill="1" applyBorder="1" applyAlignment="1">
      <alignment horizontal="center"/>
    </xf>
    <xf numFmtId="0" fontId="0" fillId="21" borderId="101" xfId="0" applyFill="1" applyBorder="1" applyAlignment="1">
      <alignment horizontal="center"/>
    </xf>
    <xf numFmtId="0" fontId="0" fillId="21" borderId="102" xfId="0" applyFill="1" applyBorder="1" applyAlignment="1">
      <alignment horizontal="center"/>
    </xf>
    <xf numFmtId="167" fontId="0" fillId="21" borderId="102" xfId="0" applyNumberFormat="1" applyFill="1" applyBorder="1" applyAlignment="1">
      <alignment horizontal="center"/>
    </xf>
    <xf numFmtId="0" fontId="0" fillId="21" borderId="18" xfId="0" applyFill="1" applyBorder="1" applyAlignment="1">
      <alignment horizontal="center"/>
    </xf>
    <xf numFmtId="0" fontId="0" fillId="21" borderId="7" xfId="0" applyFill="1" applyBorder="1" applyAlignment="1">
      <alignment horizontal="center"/>
    </xf>
    <xf numFmtId="0" fontId="0" fillId="21" borderId="113" xfId="0" applyFill="1" applyBorder="1" applyAlignment="1">
      <alignment horizontal="left"/>
    </xf>
    <xf numFmtId="0" fontId="0" fillId="0" borderId="101" xfId="0" applyBorder="1" applyAlignment="1">
      <alignment horizontal="center"/>
    </xf>
    <xf numFmtId="0" fontId="0" fillId="0" borderId="102" xfId="0" applyBorder="1" applyAlignment="1">
      <alignment horizontal="center"/>
    </xf>
    <xf numFmtId="167" fontId="0" fillId="0" borderId="102" xfId="0" applyNumberFormat="1" applyBorder="1" applyAlignment="1">
      <alignment horizontal="center"/>
    </xf>
    <xf numFmtId="0" fontId="0" fillId="0" borderId="113" xfId="0" applyBorder="1" applyAlignment="1">
      <alignment horizontal="center"/>
    </xf>
    <xf numFmtId="0" fontId="0" fillId="0" borderId="102" xfId="0" applyBorder="1"/>
    <xf numFmtId="0" fontId="16" fillId="10" borderId="102" xfId="0" applyFont="1" applyFill="1" applyBorder="1" applyAlignment="1">
      <alignment horizontal="center"/>
    </xf>
    <xf numFmtId="0" fontId="0" fillId="21" borderId="113" xfId="0" applyFill="1" applyBorder="1" applyAlignment="1">
      <alignment horizontal="center"/>
    </xf>
    <xf numFmtId="0" fontId="0" fillId="21" borderId="102" xfId="0" applyFill="1" applyBorder="1"/>
    <xf numFmtId="0" fontId="0" fillId="0" borderId="113" xfId="0" applyBorder="1" applyAlignment="1">
      <alignment horizontal="left"/>
    </xf>
    <xf numFmtId="0" fontId="0" fillId="0" borderId="114" xfId="0" applyBorder="1" applyAlignment="1">
      <alignment horizontal="center"/>
    </xf>
    <xf numFmtId="0" fontId="16" fillId="10" borderId="7" xfId="0" applyFont="1" applyFill="1" applyBorder="1" applyAlignment="1">
      <alignment horizontal="center"/>
    </xf>
    <xf numFmtId="0" fontId="0" fillId="0" borderId="18" xfId="0" applyBorder="1" applyAlignment="1">
      <alignment horizontal="left"/>
    </xf>
    <xf numFmtId="0" fontId="82" fillId="10" borderId="102" xfId="0" applyFont="1" applyFill="1" applyBorder="1" applyAlignment="1">
      <alignment horizontal="center"/>
    </xf>
    <xf numFmtId="0" fontId="0" fillId="0" borderId="113" xfId="0" applyBorder="1" applyAlignment="1">
      <alignment horizontal="left" wrapText="1"/>
    </xf>
    <xf numFmtId="0" fontId="0" fillId="2" borderId="102" xfId="0" applyFill="1" applyBorder="1" applyAlignment="1">
      <alignment horizontal="center"/>
    </xf>
    <xf numFmtId="0" fontId="0" fillId="21" borderId="114" xfId="0" applyFill="1" applyBorder="1" applyAlignment="1">
      <alignment horizontal="center"/>
    </xf>
    <xf numFmtId="0" fontId="20" fillId="21" borderId="102" xfId="0" applyFont="1" applyFill="1" applyBorder="1" applyAlignment="1">
      <alignment horizontal="center"/>
    </xf>
    <xf numFmtId="0" fontId="0" fillId="21" borderId="18" xfId="0" applyFill="1" applyBorder="1" applyAlignment="1">
      <alignment horizontal="left"/>
    </xf>
    <xf numFmtId="0" fontId="0" fillId="21" borderId="102" xfId="0" applyFill="1" applyBorder="1" applyAlignment="1">
      <alignment horizontal="left"/>
    </xf>
    <xf numFmtId="0" fontId="0" fillId="0" borderId="102" xfId="0" applyBorder="1" applyAlignment="1">
      <alignment horizontal="left"/>
    </xf>
    <xf numFmtId="0" fontId="0" fillId="21" borderId="112" xfId="0" applyFill="1" applyBorder="1" applyAlignment="1">
      <alignment horizontal="center"/>
    </xf>
    <xf numFmtId="0" fontId="0" fillId="21" borderId="110" xfId="0" applyFill="1" applyBorder="1" applyAlignment="1">
      <alignment horizontal="center"/>
    </xf>
    <xf numFmtId="0" fontId="0" fillId="21" borderId="109" xfId="0" applyFill="1" applyBorder="1" applyAlignment="1">
      <alignment horizontal="center"/>
    </xf>
    <xf numFmtId="0" fontId="0" fillId="21" borderId="109" xfId="0" applyFill="1" applyBorder="1" applyAlignment="1">
      <alignment horizontal="left"/>
    </xf>
    <xf numFmtId="0" fontId="39" fillId="0" borderId="102" xfId="0" applyFont="1" applyBorder="1"/>
    <xf numFmtId="0" fontId="23" fillId="21" borderId="102" xfId="0" applyFont="1" applyFill="1" applyBorder="1"/>
    <xf numFmtId="0" fontId="23" fillId="0" borderId="102" xfId="0" applyFont="1" applyBorder="1"/>
    <xf numFmtId="0" fontId="45" fillId="21" borderId="102" xfId="0" applyFont="1" applyFill="1" applyBorder="1"/>
    <xf numFmtId="0" fontId="0" fillId="21" borderId="7" xfId="0" applyFill="1" applyBorder="1" applyAlignment="1">
      <alignment horizontal="left"/>
    </xf>
    <xf numFmtId="0" fontId="45" fillId="0" borderId="7" xfId="0" applyFont="1" applyBorder="1"/>
    <xf numFmtId="0" fontId="0" fillId="21" borderId="110" xfId="0" applyFill="1" applyBorder="1"/>
    <xf numFmtId="169" fontId="16" fillId="0" borderId="0" xfId="0" applyNumberFormat="1" applyFont="1" applyAlignment="1">
      <alignment horizontal="center"/>
    </xf>
    <xf numFmtId="1" fontId="0" fillId="21" borderId="102" xfId="0" applyNumberFormat="1" applyFill="1" applyBorder="1" applyAlignment="1">
      <alignment horizontal="center"/>
    </xf>
    <xf numFmtId="1" fontId="0" fillId="0" borderId="102" xfId="0" applyNumberFormat="1" applyBorder="1" applyAlignment="1">
      <alignment horizontal="center"/>
    </xf>
    <xf numFmtId="1" fontId="0" fillId="0" borderId="7" xfId="0" applyNumberFormat="1" applyBorder="1" applyAlignment="1">
      <alignment horizontal="center"/>
    </xf>
    <xf numFmtId="1" fontId="0" fillId="21" borderId="7" xfId="0" applyNumberFormat="1" applyFill="1" applyBorder="1" applyAlignment="1">
      <alignment horizontal="center"/>
    </xf>
    <xf numFmtId="1" fontId="0" fillId="21" borderId="110" xfId="0" applyNumberFormat="1" applyFill="1" applyBorder="1" applyAlignment="1">
      <alignment horizontal="center"/>
    </xf>
    <xf numFmtId="14" fontId="0" fillId="0" borderId="0" xfId="0" applyNumberFormat="1"/>
    <xf numFmtId="14" fontId="0" fillId="0" borderId="102" xfId="0" applyNumberFormat="1" applyBorder="1" applyAlignment="1">
      <alignment horizontal="center"/>
    </xf>
    <xf numFmtId="14" fontId="0" fillId="21" borderId="102" xfId="0" applyNumberFormat="1" applyFill="1" applyBorder="1" applyAlignment="1">
      <alignment horizontal="center"/>
    </xf>
    <xf numFmtId="14" fontId="0" fillId="0" borderId="7" xfId="0" applyNumberFormat="1" applyBorder="1" applyAlignment="1">
      <alignment horizontal="center"/>
    </xf>
    <xf numFmtId="14" fontId="0" fillId="21" borderId="7" xfId="0" applyNumberFormat="1" applyFill="1" applyBorder="1" applyAlignment="1">
      <alignment horizontal="center"/>
    </xf>
    <xf numFmtId="1" fontId="0" fillId="21" borderId="0" xfId="0" applyNumberFormat="1" applyFill="1" applyAlignment="1">
      <alignment horizontal="center"/>
    </xf>
    <xf numFmtId="0" fontId="0" fillId="21" borderId="20" xfId="0" applyFill="1" applyBorder="1" applyAlignment="1">
      <alignment horizontal="center"/>
    </xf>
    <xf numFmtId="0" fontId="0" fillId="21" borderId="115" xfId="0" applyFill="1" applyBorder="1" applyAlignment="1">
      <alignment horizontal="center"/>
    </xf>
    <xf numFmtId="0" fontId="0" fillId="21" borderId="20" xfId="0" applyFill="1" applyBorder="1" applyAlignment="1">
      <alignment horizontal="left"/>
    </xf>
    <xf numFmtId="1" fontId="0" fillId="0" borderId="0" xfId="0" applyNumberFormat="1"/>
    <xf numFmtId="1" fontId="0" fillId="2" borderId="102" xfId="0" applyNumberFormat="1" applyFill="1" applyBorder="1" applyAlignment="1">
      <alignment horizontal="center"/>
    </xf>
    <xf numFmtId="49" fontId="0" fillId="21" borderId="102" xfId="0" applyNumberFormat="1" applyFill="1" applyBorder="1" applyAlignment="1">
      <alignment horizontal="center"/>
    </xf>
    <xf numFmtId="49" fontId="0" fillId="0" borderId="102" xfId="0" applyNumberFormat="1" applyBorder="1" applyAlignment="1">
      <alignment horizontal="center"/>
    </xf>
    <xf numFmtId="49" fontId="0" fillId="0" borderId="7" xfId="0" applyNumberFormat="1" applyBorder="1" applyAlignment="1">
      <alignment horizontal="center"/>
    </xf>
    <xf numFmtId="49" fontId="0" fillId="21" borderId="7" xfId="0" applyNumberFormat="1" applyFill="1" applyBorder="1" applyAlignment="1">
      <alignment horizontal="center"/>
    </xf>
    <xf numFmtId="49" fontId="0" fillId="21" borderId="110" xfId="0" applyNumberFormat="1" applyFill="1" applyBorder="1" applyAlignment="1">
      <alignment horizontal="center"/>
    </xf>
    <xf numFmtId="175" fontId="0" fillId="0" borderId="0" xfId="0" applyNumberFormat="1" applyAlignment="1">
      <alignment horizontal="center"/>
    </xf>
    <xf numFmtId="49" fontId="0" fillId="21" borderId="81" xfId="0" applyNumberFormat="1" applyFill="1" applyBorder="1" applyAlignment="1">
      <alignment horizontal="center"/>
    </xf>
    <xf numFmtId="49" fontId="0" fillId="0" borderId="81" xfId="0" applyNumberFormat="1" applyBorder="1" applyAlignment="1">
      <alignment horizontal="center"/>
    </xf>
    <xf numFmtId="0" fontId="29" fillId="32" borderId="81" xfId="0" applyFont="1" applyFill="1" applyBorder="1" applyAlignment="1">
      <alignment horizontal="center"/>
    </xf>
    <xf numFmtId="0" fontId="29" fillId="32" borderId="111" xfId="0" applyFont="1" applyFill="1" applyBorder="1" applyAlignment="1">
      <alignment horizontal="center"/>
    </xf>
    <xf numFmtId="49" fontId="0" fillId="21" borderId="18" xfId="0" applyNumberFormat="1" applyFill="1" applyBorder="1" applyAlignment="1">
      <alignment horizontal="center"/>
    </xf>
    <xf numFmtId="49" fontId="0" fillId="0" borderId="113" xfId="0" applyNumberFormat="1" applyBorder="1" applyAlignment="1">
      <alignment horizontal="center"/>
    </xf>
    <xf numFmtId="49" fontId="0" fillId="21" borderId="113" xfId="0" applyNumberFormat="1" applyFill="1" applyBorder="1" applyAlignment="1">
      <alignment horizontal="center"/>
    </xf>
    <xf numFmtId="49" fontId="0" fillId="0" borderId="18" xfId="0" applyNumberFormat="1" applyBorder="1" applyAlignment="1">
      <alignment horizontal="center"/>
    </xf>
    <xf numFmtId="49" fontId="0" fillId="21" borderId="109" xfId="0" applyNumberFormat="1" applyFill="1" applyBorder="1" applyAlignment="1">
      <alignment horizontal="center"/>
    </xf>
    <xf numFmtId="49" fontId="0" fillId="0" borderId="0" xfId="0" applyNumberFormat="1" applyAlignment="1">
      <alignment horizontal="center"/>
    </xf>
    <xf numFmtId="49" fontId="0" fillId="0" borderId="17" xfId="0" applyNumberFormat="1" applyBorder="1" applyAlignment="1">
      <alignment horizontal="center"/>
    </xf>
    <xf numFmtId="49" fontId="0" fillId="21" borderId="0" xfId="0" applyNumberFormat="1" applyFill="1" applyAlignment="1">
      <alignment horizontal="center"/>
    </xf>
    <xf numFmtId="49" fontId="0" fillId="0" borderId="0" xfId="0" applyNumberFormat="1" applyAlignment="1">
      <alignment horizontal="left"/>
    </xf>
    <xf numFmtId="49" fontId="29" fillId="32" borderId="111" xfId="0" applyNumberFormat="1" applyFont="1" applyFill="1" applyBorder="1" applyAlignment="1">
      <alignment horizontal="center"/>
    </xf>
    <xf numFmtId="49" fontId="29" fillId="32" borderId="81" xfId="0" applyNumberFormat="1" applyFont="1" applyFill="1" applyBorder="1" applyAlignment="1">
      <alignment horizontal="center"/>
    </xf>
    <xf numFmtId="49" fontId="0" fillId="0" borderId="17" xfId="0" applyNumberFormat="1" applyBorder="1" applyAlignment="1">
      <alignment horizontal="left"/>
    </xf>
    <xf numFmtId="49" fontId="0" fillId="0" borderId="6" xfId="0" applyNumberFormat="1" applyBorder="1" applyAlignment="1">
      <alignment horizontal="center"/>
    </xf>
    <xf numFmtId="49" fontId="0" fillId="0" borderId="6" xfId="0" applyNumberFormat="1" applyBorder="1" applyAlignment="1">
      <alignment horizontal="left"/>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38" xfId="0" applyNumberFormat="1" applyBorder="1" applyAlignment="1">
      <alignment horizontal="center"/>
    </xf>
    <xf numFmtId="49" fontId="16" fillId="0" borderId="30" xfId="0" applyNumberFormat="1" applyFont="1" applyBorder="1" applyAlignment="1">
      <alignment horizontal="center"/>
    </xf>
    <xf numFmtId="49" fontId="0" fillId="0" borderId="32" xfId="0" applyNumberFormat="1" applyBorder="1" applyAlignment="1">
      <alignment horizontal="center"/>
    </xf>
    <xf numFmtId="49" fontId="0" fillId="0" borderId="35" xfId="0" applyNumberFormat="1" applyBorder="1" applyAlignment="1">
      <alignment horizontal="center"/>
    </xf>
    <xf numFmtId="49" fontId="16" fillId="12" borderId="30" xfId="0" applyNumberFormat="1" applyFont="1" applyFill="1" applyBorder="1" applyAlignment="1">
      <alignment horizontal="center"/>
    </xf>
    <xf numFmtId="49" fontId="0" fillId="12" borderId="32" xfId="0" applyNumberFormat="1" applyFill="1" applyBorder="1" applyAlignment="1">
      <alignment horizontal="center"/>
    </xf>
    <xf numFmtId="49" fontId="0" fillId="12" borderId="35" xfId="0" applyNumberFormat="1" applyFill="1" applyBorder="1" applyAlignment="1">
      <alignment horizontal="center"/>
    </xf>
    <xf numFmtId="49" fontId="16" fillId="14" borderId="41" xfId="0" applyNumberFormat="1" applyFont="1" applyFill="1" applyBorder="1" applyAlignment="1">
      <alignment horizontal="center"/>
    </xf>
    <xf numFmtId="49" fontId="0" fillId="14" borderId="32" xfId="0" applyNumberFormat="1" applyFill="1" applyBorder="1" applyAlignment="1">
      <alignment horizontal="center"/>
    </xf>
    <xf numFmtId="49" fontId="0" fillId="14" borderId="35" xfId="0" applyNumberFormat="1" applyFill="1" applyBorder="1" applyAlignment="1">
      <alignment horizontal="center"/>
    </xf>
    <xf numFmtId="49" fontId="16" fillId="13" borderId="41" xfId="0" applyNumberFormat="1" applyFont="1" applyFill="1" applyBorder="1" applyAlignment="1">
      <alignment horizontal="center"/>
    </xf>
    <xf numFmtId="49" fontId="0" fillId="13" borderId="32" xfId="0" applyNumberFormat="1" applyFill="1" applyBorder="1" applyAlignment="1">
      <alignment horizontal="center"/>
    </xf>
    <xf numFmtId="49" fontId="0" fillId="13" borderId="35" xfId="0" applyNumberFormat="1" applyFill="1" applyBorder="1" applyAlignment="1">
      <alignment horizontal="center"/>
    </xf>
    <xf numFmtId="49" fontId="29" fillId="32" borderId="113" xfId="0" applyNumberFormat="1" applyFont="1" applyFill="1" applyBorder="1" applyAlignment="1">
      <alignment horizontal="center"/>
    </xf>
    <xf numFmtId="49" fontId="29" fillId="32" borderId="102" xfId="0" applyNumberFormat="1" applyFont="1" applyFill="1" applyBorder="1" applyAlignment="1">
      <alignment horizontal="center"/>
    </xf>
    <xf numFmtId="0" fontId="0" fillId="0" borderId="116" xfId="0" applyBorder="1"/>
    <xf numFmtId="0" fontId="0" fillId="0" borderId="78" xfId="0" applyBorder="1" applyAlignment="1">
      <alignment horizontal="center"/>
    </xf>
    <xf numFmtId="0" fontId="0" fillId="0" borderId="77" xfId="0" applyBorder="1" applyAlignment="1">
      <alignment horizontal="center"/>
    </xf>
    <xf numFmtId="0" fontId="0" fillId="21" borderId="0" xfId="0" applyFill="1"/>
    <xf numFmtId="1" fontId="0" fillId="0" borderId="21" xfId="0" applyNumberFormat="1" applyBorder="1" applyAlignment="1">
      <alignment horizontal="center"/>
    </xf>
    <xf numFmtId="1" fontId="29" fillId="32" borderId="102" xfId="0" applyNumberFormat="1" applyFont="1" applyFill="1" applyBorder="1" applyAlignment="1">
      <alignment horizontal="center"/>
    </xf>
    <xf numFmtId="1" fontId="29" fillId="32" borderId="81" xfId="0" applyNumberFormat="1" applyFont="1" applyFill="1" applyBorder="1" applyAlignment="1">
      <alignment horizontal="center"/>
    </xf>
    <xf numFmtId="1" fontId="0" fillId="0" borderId="17" xfId="0" applyNumberFormat="1" applyBorder="1" applyAlignment="1">
      <alignment horizontal="center"/>
    </xf>
    <xf numFmtId="1" fontId="16" fillId="0" borderId="0" xfId="0" applyNumberFormat="1" applyFont="1" applyAlignment="1">
      <alignment horizontal="center"/>
    </xf>
    <xf numFmtId="1" fontId="23" fillId="0" borderId="0" xfId="0" applyNumberFormat="1" applyFont="1" applyAlignment="1">
      <alignment horizontal="center"/>
    </xf>
    <xf numFmtId="1" fontId="16" fillId="12" borderId="0" xfId="0" applyNumberFormat="1" applyFont="1" applyFill="1" applyAlignment="1">
      <alignment horizontal="center"/>
    </xf>
    <xf numFmtId="1" fontId="0" fillId="12" borderId="0" xfId="0" applyNumberFormat="1" applyFill="1" applyAlignment="1">
      <alignment horizontal="center"/>
    </xf>
    <xf numFmtId="176" fontId="0" fillId="0" borderId="0" xfId="0" applyNumberFormat="1" applyAlignment="1">
      <alignment horizontal="center"/>
    </xf>
    <xf numFmtId="0" fontId="0" fillId="21" borderId="113" xfId="0" applyFill="1" applyBorder="1" applyAlignment="1">
      <alignment horizontal="left" vertical="center" wrapText="1"/>
    </xf>
    <xf numFmtId="2" fontId="0" fillId="0" borderId="0" xfId="0" applyNumberFormat="1"/>
    <xf numFmtId="49" fontId="0" fillId="0" borderId="20" xfId="0" applyNumberFormat="1" applyBorder="1"/>
    <xf numFmtId="49" fontId="0" fillId="0" borderId="0" xfId="0" applyNumberFormat="1"/>
    <xf numFmtId="0" fontId="0" fillId="21" borderId="118" xfId="0" applyFill="1" applyBorder="1"/>
    <xf numFmtId="0" fontId="0" fillId="0" borderId="22" xfId="0" applyBorder="1" applyAlignment="1">
      <alignment horizontal="left"/>
    </xf>
    <xf numFmtId="0" fontId="0" fillId="0" borderId="115" xfId="0" applyBorder="1" applyAlignment="1">
      <alignment horizontal="center"/>
    </xf>
    <xf numFmtId="49" fontId="0" fillId="0" borderId="20" xfId="0" applyNumberFormat="1" applyBorder="1" applyAlignment="1">
      <alignment horizontal="center"/>
    </xf>
    <xf numFmtId="0" fontId="0" fillId="0" borderId="20" xfId="0" applyBorder="1" applyAlignment="1">
      <alignment horizontal="left"/>
    </xf>
    <xf numFmtId="14" fontId="0" fillId="21" borderId="110" xfId="0" applyNumberFormat="1" applyFill="1" applyBorder="1" applyAlignment="1">
      <alignment horizontal="center"/>
    </xf>
    <xf numFmtId="0" fontId="16" fillId="10" borderId="110" xfId="0" applyFont="1" applyFill="1" applyBorder="1" applyAlignment="1">
      <alignment horizontal="center"/>
    </xf>
    <xf numFmtId="0" fontId="16" fillId="2" borderId="110" xfId="0" applyFont="1" applyFill="1" applyBorder="1" applyAlignment="1">
      <alignment horizontal="center"/>
    </xf>
    <xf numFmtId="1" fontId="16" fillId="2" borderId="110" xfId="0" applyNumberFormat="1" applyFont="1" applyFill="1" applyBorder="1" applyAlignment="1">
      <alignment horizontal="center"/>
    </xf>
    <xf numFmtId="0" fontId="0" fillId="21" borderId="110" xfId="0" applyFill="1" applyBorder="1" applyAlignment="1">
      <alignment horizontal="left"/>
    </xf>
    <xf numFmtId="49" fontId="0" fillId="21" borderId="20" xfId="0" applyNumberFormat="1" applyFill="1" applyBorder="1" applyAlignment="1">
      <alignment horizontal="center"/>
    </xf>
    <xf numFmtId="0" fontId="0" fillId="21" borderId="0" xfId="0" applyFill="1" applyAlignment="1">
      <alignment horizontal="left"/>
    </xf>
    <xf numFmtId="0" fontId="0" fillId="0" borderId="112" xfId="0" applyBorder="1" applyAlignment="1">
      <alignment horizontal="center"/>
    </xf>
    <xf numFmtId="14" fontId="0" fillId="0" borderId="110" xfId="0" applyNumberFormat="1" applyBorder="1" applyAlignment="1">
      <alignment horizontal="center"/>
    </xf>
    <xf numFmtId="0" fontId="0" fillId="0" borderId="110" xfId="0" applyBorder="1" applyAlignment="1">
      <alignment horizontal="center"/>
    </xf>
    <xf numFmtId="49" fontId="0" fillId="0" borderId="110" xfId="0" applyNumberFormat="1" applyBorder="1" applyAlignment="1">
      <alignment horizontal="center"/>
    </xf>
    <xf numFmtId="1" fontId="0" fillId="0" borderId="110" xfId="0" applyNumberFormat="1" applyBorder="1" applyAlignment="1">
      <alignment horizontal="center"/>
    </xf>
    <xf numFmtId="0" fontId="0" fillId="2" borderId="110" xfId="0" applyFill="1" applyBorder="1" applyAlignment="1">
      <alignment horizontal="center"/>
    </xf>
    <xf numFmtId="1" fontId="0" fillId="2" borderId="110" xfId="0" applyNumberFormat="1" applyFill="1" applyBorder="1" applyAlignment="1">
      <alignment horizontal="center"/>
    </xf>
    <xf numFmtId="0" fontId="0" fillId="0" borderId="109" xfId="0" applyBorder="1" applyAlignment="1">
      <alignment horizontal="center"/>
    </xf>
    <xf numFmtId="49" fontId="0" fillId="0" borderId="109" xfId="0" applyNumberFormat="1" applyBorder="1" applyAlignment="1">
      <alignment horizontal="center"/>
    </xf>
    <xf numFmtId="0" fontId="0" fillId="0" borderId="109" xfId="0" applyBorder="1" applyAlignment="1">
      <alignment horizontal="left"/>
    </xf>
    <xf numFmtId="0" fontId="0" fillId="0" borderId="110" xfId="0" applyBorder="1" applyAlignment="1">
      <alignment horizontal="left"/>
    </xf>
    <xf numFmtId="49" fontId="0" fillId="0" borderId="21" xfId="0" applyNumberFormat="1" applyBorder="1"/>
    <xf numFmtId="49" fontId="29" fillId="32" borderId="119" xfId="0" applyNumberFormat="1" applyFont="1" applyFill="1" applyBorder="1" applyAlignment="1">
      <alignment horizontal="center"/>
    </xf>
    <xf numFmtId="49" fontId="0" fillId="21" borderId="19" xfId="0" applyNumberFormat="1" applyFill="1" applyBorder="1" applyAlignment="1">
      <alignment horizontal="center"/>
    </xf>
    <xf numFmtId="49" fontId="0" fillId="0" borderId="119" xfId="0" applyNumberFormat="1" applyBorder="1" applyAlignment="1">
      <alignment horizontal="center"/>
    </xf>
    <xf numFmtId="49" fontId="0" fillId="21" borderId="119" xfId="0" applyNumberFormat="1" applyFill="1" applyBorder="1" applyAlignment="1">
      <alignment horizontal="center"/>
    </xf>
    <xf numFmtId="49" fontId="0" fillId="21" borderId="117" xfId="0" applyNumberFormat="1" applyFill="1" applyBorder="1" applyAlignment="1">
      <alignment horizontal="center"/>
    </xf>
    <xf numFmtId="49" fontId="0" fillId="0" borderId="21" xfId="0" applyNumberFormat="1" applyBorder="1" applyAlignment="1">
      <alignment horizontal="center"/>
    </xf>
    <xf numFmtId="49" fontId="0" fillId="0" borderId="117" xfId="0" applyNumberFormat="1" applyBorder="1" applyAlignment="1">
      <alignment horizontal="center"/>
    </xf>
    <xf numFmtId="49" fontId="0" fillId="21" borderId="21" xfId="0" applyNumberFormat="1" applyFill="1" applyBorder="1" applyAlignment="1">
      <alignment horizontal="center"/>
    </xf>
    <xf numFmtId="49" fontId="0" fillId="0" borderId="19" xfId="0" applyNumberFormat="1" applyBorder="1" applyAlignment="1">
      <alignment horizontal="center"/>
    </xf>
    <xf numFmtId="49" fontId="0" fillId="21" borderId="119" xfId="0" applyNumberFormat="1" applyFill="1" applyBorder="1" applyAlignment="1">
      <alignment horizontal="left"/>
    </xf>
    <xf numFmtId="49" fontId="0" fillId="0" borderId="119" xfId="0" applyNumberFormat="1" applyBorder="1" applyAlignment="1">
      <alignment horizontal="left"/>
    </xf>
    <xf numFmtId="49" fontId="0" fillId="21" borderId="117" xfId="0" applyNumberFormat="1" applyFill="1" applyBorder="1" applyAlignment="1">
      <alignment horizontal="left"/>
    </xf>
    <xf numFmtId="0" fontId="0" fillId="21" borderId="21" xfId="0" applyFill="1" applyBorder="1" applyAlignment="1">
      <alignment horizontal="left"/>
    </xf>
    <xf numFmtId="49" fontId="0" fillId="0" borderId="21" xfId="0" applyNumberFormat="1" applyBorder="1" applyAlignment="1">
      <alignment horizontal="left"/>
    </xf>
    <xf numFmtId="0" fontId="0" fillId="21" borderId="7" xfId="0" applyFill="1" applyBorder="1"/>
    <xf numFmtId="1" fontId="0" fillId="0" borderId="6" xfId="0" applyNumberFormat="1" applyBorder="1" applyAlignment="1">
      <alignment horizontal="center"/>
    </xf>
    <xf numFmtId="1" fontId="0" fillId="0" borderId="13" xfId="0" applyNumberFormat="1"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30" xfId="0" applyBorder="1" applyAlignment="1">
      <alignment horizontal="center"/>
    </xf>
    <xf numFmtId="0" fontId="0" fillId="0" borderId="54" xfId="0" applyBorder="1" applyAlignment="1">
      <alignment horizontal="center"/>
    </xf>
    <xf numFmtId="0" fontId="0" fillId="0" borderId="51" xfId="0" applyBorder="1" applyAlignment="1">
      <alignment horizontal="center"/>
    </xf>
    <xf numFmtId="0" fontId="0" fillId="0" borderId="52" xfId="0" applyBorder="1" applyAlignment="1">
      <alignment horizontal="center"/>
    </xf>
    <xf numFmtId="0" fontId="0" fillId="0" borderId="53" xfId="0" applyBorder="1" applyAlignment="1">
      <alignment horizontal="center"/>
    </xf>
    <xf numFmtId="0" fontId="0" fillId="0" borderId="18" xfId="0" applyBorder="1" applyAlignment="1">
      <alignment horizontal="center"/>
    </xf>
    <xf numFmtId="0" fontId="0" fillId="0" borderId="7"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0" xfId="0" applyAlignment="1">
      <alignment horizontal="center"/>
    </xf>
    <xf numFmtId="0" fontId="0" fillId="0" borderId="62" xfId="0" applyBorder="1" applyAlignment="1">
      <alignment horizontal="center"/>
    </xf>
    <xf numFmtId="0" fontId="0" fillId="10" borderId="51" xfId="0" applyFill="1" applyBorder="1" applyAlignment="1">
      <alignment horizontal="center"/>
    </xf>
    <xf numFmtId="0" fontId="0" fillId="10" borderId="52" xfId="0" applyFill="1" applyBorder="1" applyAlignment="1">
      <alignment horizontal="center"/>
    </xf>
    <xf numFmtId="0" fontId="0" fillId="10" borderId="53" xfId="0" applyFill="1" applyBorder="1" applyAlignment="1">
      <alignment horizontal="center"/>
    </xf>
    <xf numFmtId="0" fontId="6" fillId="27" borderId="0" xfId="1" applyFont="1" applyFill="1" applyAlignment="1">
      <alignment horizontal="center" vertical="center"/>
    </xf>
    <xf numFmtId="0" fontId="6" fillId="19" borderId="0" xfId="1" applyFont="1" applyFill="1" applyAlignment="1">
      <alignment horizontal="center" vertical="center"/>
    </xf>
    <xf numFmtId="0" fontId="0" fillId="0" borderId="0" xfId="0" applyAlignment="1">
      <alignment horizontal="center" vertical="center" wrapText="1"/>
    </xf>
    <xf numFmtId="0" fontId="33" fillId="0" borderId="0" xfId="0" applyFont="1" applyAlignment="1">
      <alignment horizontal="center"/>
    </xf>
    <xf numFmtId="0" fontId="2" fillId="0" borderId="0" xfId="0" applyFont="1" applyAlignment="1">
      <alignment horizontal="center" vertical="center" wrapText="1"/>
    </xf>
    <xf numFmtId="0" fontId="0" fillId="0" borderId="5" xfId="0" applyBorder="1" applyAlignment="1">
      <alignment horizontal="center"/>
    </xf>
    <xf numFmtId="0" fontId="0" fillId="0" borderId="6" xfId="0" applyBorder="1" applyAlignment="1">
      <alignment horizontal="center"/>
    </xf>
    <xf numFmtId="0" fontId="0" fillId="0" borderId="4" xfId="0" applyBorder="1" applyAlignment="1">
      <alignment horizontal="center"/>
    </xf>
    <xf numFmtId="0" fontId="0" fillId="0" borderId="9" xfId="0" applyBorder="1" applyAlignment="1">
      <alignment horizontal="center"/>
    </xf>
    <xf numFmtId="0" fontId="0" fillId="0" borderId="95" xfId="0" applyBorder="1" applyAlignment="1">
      <alignment horizontal="center"/>
    </xf>
    <xf numFmtId="0" fontId="0" fillId="0" borderId="96" xfId="0" applyBorder="1" applyAlignment="1">
      <alignment horizontal="center"/>
    </xf>
    <xf numFmtId="0" fontId="0" fillId="0" borderId="55" xfId="0" applyBorder="1" applyAlignment="1">
      <alignment horizontal="center"/>
    </xf>
    <xf numFmtId="0" fontId="0" fillId="0" borderId="21" xfId="0" applyBorder="1" applyAlignment="1">
      <alignment horizontal="center"/>
    </xf>
    <xf numFmtId="0" fontId="30" fillId="0" borderId="87" xfId="0" applyFont="1" applyBorder="1" applyAlignment="1">
      <alignment horizontal="center"/>
    </xf>
    <xf numFmtId="0" fontId="18" fillId="2" borderId="0" xfId="0" applyFont="1" applyFill="1" applyAlignment="1">
      <alignment horizontal="center"/>
    </xf>
    <xf numFmtId="0" fontId="10" fillId="0" borderId="0" xfId="3" applyAlignment="1">
      <alignment horizontal="center"/>
    </xf>
    <xf numFmtId="0" fontId="10" fillId="0" borderId="51" xfId="3" applyBorder="1" applyAlignment="1">
      <alignment horizontal="center"/>
    </xf>
    <xf numFmtId="0" fontId="10" fillId="0" borderId="52" xfId="3" applyBorder="1" applyAlignment="1">
      <alignment horizontal="center"/>
    </xf>
    <xf numFmtId="0" fontId="10" fillId="0" borderId="53" xfId="3" applyBorder="1" applyAlignment="1">
      <alignment horizontal="center"/>
    </xf>
    <xf numFmtId="0" fontId="10" fillId="9" borderId="1" xfId="3" applyFill="1" applyBorder="1" applyAlignment="1">
      <alignment horizontal="center" vertical="center" wrapText="1"/>
    </xf>
    <xf numFmtId="0" fontId="10" fillId="0" borderId="2" xfId="3" applyBorder="1" applyAlignment="1">
      <alignment horizontal="center" vertical="center" wrapText="1"/>
    </xf>
    <xf numFmtId="0" fontId="10" fillId="0" borderId="1" xfId="3" applyBorder="1" applyAlignment="1">
      <alignment horizontal="center" vertical="center" wrapText="1"/>
    </xf>
    <xf numFmtId="0" fontId="10" fillId="0" borderId="0" xfId="3" applyAlignment="1">
      <alignment horizontal="center" vertical="center" wrapText="1"/>
    </xf>
    <xf numFmtId="0" fontId="10" fillId="0" borderId="20" xfId="3" applyBorder="1" applyAlignment="1">
      <alignment horizontal="center" vertical="center" wrapText="1"/>
    </xf>
    <xf numFmtId="0" fontId="10" fillId="0" borderId="21" xfId="3" applyBorder="1" applyAlignment="1">
      <alignment horizontal="center" vertical="center" wrapText="1"/>
    </xf>
    <xf numFmtId="0" fontId="10" fillId="2" borderId="21" xfId="3" applyFill="1" applyBorder="1" applyAlignment="1">
      <alignment horizontal="center" vertical="center" wrapText="1"/>
    </xf>
    <xf numFmtId="0" fontId="16" fillId="2" borderId="0" xfId="0" applyFont="1" applyFill="1" applyAlignment="1">
      <alignment horizontal="center" vertical="center"/>
    </xf>
    <xf numFmtId="0" fontId="16" fillId="16" borderId="51" xfId="0" applyFont="1" applyFill="1" applyBorder="1" applyAlignment="1">
      <alignment horizontal="center"/>
    </xf>
    <xf numFmtId="0" fontId="16" fillId="16" borderId="52" xfId="0" applyFont="1" applyFill="1" applyBorder="1" applyAlignment="1">
      <alignment horizontal="center"/>
    </xf>
    <xf numFmtId="0" fontId="16" fillId="16" borderId="53" xfId="0" applyFont="1" applyFill="1" applyBorder="1" applyAlignment="1">
      <alignment horizontal="center"/>
    </xf>
    <xf numFmtId="0" fontId="0" fillId="15" borderId="0" xfId="0" applyFill="1" applyAlignment="1">
      <alignment horizontal="center" vertical="center"/>
    </xf>
    <xf numFmtId="0" fontId="18" fillId="14" borderId="7" xfId="0" applyFont="1" applyFill="1" applyBorder="1" applyAlignment="1">
      <alignment horizontal="center"/>
    </xf>
    <xf numFmtId="0" fontId="18" fillId="2" borderId="7" xfId="0" applyFont="1" applyFill="1" applyBorder="1" applyAlignment="1">
      <alignment horizontal="center"/>
    </xf>
    <xf numFmtId="0" fontId="0" fillId="15" borderId="0" xfId="0" applyFill="1" applyAlignment="1">
      <alignment horizontal="center"/>
    </xf>
    <xf numFmtId="0" fontId="18" fillId="0" borderId="0" xfId="0" applyFont="1" applyAlignment="1">
      <alignment horizontal="center"/>
    </xf>
    <xf numFmtId="167" fontId="0" fillId="0" borderId="0" xfId="0" applyNumberFormat="1" applyAlignment="1">
      <alignment horizontal="center"/>
    </xf>
    <xf numFmtId="0" fontId="0" fillId="18" borderId="0" xfId="0" applyFill="1" applyAlignment="1">
      <alignment horizontal="center"/>
    </xf>
    <xf numFmtId="0" fontId="0" fillId="0" borderId="22" xfId="0" applyBorder="1" applyAlignment="1">
      <alignment horizontal="center"/>
    </xf>
    <xf numFmtId="0" fontId="0" fillId="0" borderId="17" xfId="0" applyBorder="1" applyAlignment="1">
      <alignment horizontal="center"/>
    </xf>
    <xf numFmtId="0" fontId="17" fillId="0" borderId="0" xfId="0" applyFont="1" applyAlignment="1">
      <alignment horizontal="center"/>
    </xf>
    <xf numFmtId="0" fontId="0" fillId="0" borderId="0" xfId="0" applyNumberFormat="1" applyAlignment="1">
      <alignment horizontal="center"/>
    </xf>
    <xf numFmtId="0" fontId="0" fillId="0" borderId="17" xfId="0" applyNumberFormat="1" applyBorder="1" applyAlignment="1">
      <alignment horizontal="center"/>
    </xf>
  </cellXfs>
  <cellStyles count="4">
    <cellStyle name="Hypertextový odkaz" xfId="2" builtinId="8"/>
    <cellStyle name="Normální" xfId="0" builtinId="0"/>
    <cellStyle name="Normální 2" xfId="1" xr:uid="{00000000-0005-0000-0000-000002000000}"/>
    <cellStyle name="Normální 3" xfId="3" xr:uid="{00000000-0005-0000-0000-000003000000}"/>
  </cellStyles>
  <dxfs count="1049">
    <dxf>
      <alignment horizontal="left"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border diagonalUp="0" diagonalDown="0" outline="0">
        <left/>
        <right style="thin">
          <color indexed="64"/>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style="thin">
          <color indexed="64"/>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thin">
          <color indexed="64"/>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style="thin">
          <color indexed="64"/>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solid">
          <fgColor theme="4" tint="0.79998168889431442"/>
          <bgColor theme="4" tint="0.79998168889431442"/>
        </patternFill>
      </fill>
    </dxf>
    <dxf>
      <alignment horizontal="left"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border diagonalUp="0" diagonalDown="0" outline="0">
        <left/>
        <right style="thin">
          <color indexed="64"/>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thin">
          <color indexed="64"/>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style="thin">
          <color indexed="64"/>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solid">
          <fgColor theme="4" tint="0.79998168889431442"/>
          <bgColor theme="4" tint="0.79998168889431442"/>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color rgb="FF006100"/>
      </font>
      <fill>
        <patternFill>
          <bgColor rgb="FFC6EFCE"/>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color rgb="FF006100"/>
      </font>
      <fill>
        <patternFill>
          <bgColor rgb="FFC6EFCE"/>
        </patternFill>
      </fill>
    </dxf>
    <dxf>
      <font>
        <color rgb="FF9C6500"/>
      </font>
      <fill>
        <patternFill>
          <bgColor rgb="FFFFEB9C"/>
        </patternFill>
      </fill>
    </dxf>
    <dxf>
      <font>
        <b/>
        <i val="0"/>
      </font>
      <fill>
        <patternFill>
          <bgColor rgb="FFFFFF00"/>
        </patternFill>
      </fill>
    </dxf>
    <dxf>
      <font>
        <color rgb="FF006100"/>
      </font>
      <fill>
        <patternFill>
          <bgColor rgb="FFC6EFCE"/>
        </patternFill>
      </fill>
    </dxf>
    <dxf>
      <font>
        <color rgb="FF9C6500"/>
      </font>
      <fill>
        <patternFill>
          <bgColor rgb="FFFFEB9C"/>
        </patternFill>
      </fill>
    </dxf>
    <dxf>
      <font>
        <b/>
        <i val="0"/>
      </font>
      <fill>
        <patternFill>
          <bgColor rgb="FFFFFF00"/>
        </patternFill>
      </fill>
    </dxf>
    <dxf>
      <font>
        <b/>
        <i val="0"/>
      </font>
      <fill>
        <patternFill>
          <bgColor rgb="FFFFFF00"/>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color rgb="FF006100"/>
      </font>
      <fill>
        <patternFill>
          <bgColor rgb="FFC6EFCE"/>
        </patternFill>
      </fill>
    </dxf>
    <dxf>
      <font>
        <color rgb="FF9C6500"/>
      </font>
      <fill>
        <patternFill>
          <bgColor rgb="FFFFEB9C"/>
        </patternFill>
      </fill>
    </dxf>
    <dxf>
      <font>
        <b/>
        <i val="0"/>
      </font>
      <fill>
        <patternFill>
          <bgColor rgb="FFFFFF00"/>
        </patternFill>
      </fill>
    </dxf>
    <dxf>
      <font>
        <color rgb="FF006100"/>
      </font>
      <fill>
        <patternFill>
          <bgColor rgb="FFC6EFCE"/>
        </patternFill>
      </fill>
    </dxf>
    <dxf>
      <font>
        <color rgb="FF9C6500"/>
      </font>
      <fill>
        <patternFill>
          <bgColor rgb="FFFFEB9C"/>
        </patternFill>
      </fill>
    </dxf>
    <dxf>
      <font>
        <b/>
        <i val="0"/>
      </font>
      <fill>
        <patternFill>
          <bgColor rgb="FFFFFF00"/>
        </patternFill>
      </fill>
    </dxf>
    <dxf>
      <font>
        <b/>
        <i val="0"/>
      </font>
      <fill>
        <patternFill>
          <bgColor rgb="FFFFFF00"/>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b/>
        <i val="0"/>
      </font>
      <fill>
        <patternFill>
          <bgColor rgb="FFFFFF00"/>
        </patternFill>
      </fill>
    </dxf>
    <dxf>
      <font>
        <color rgb="FF9C0006"/>
      </font>
      <fill>
        <patternFill>
          <bgColor rgb="FFFFC7CE"/>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ont>
        <b/>
        <i val="0"/>
      </font>
      <fill>
        <patternFill>
          <bgColor rgb="FFFFFF00"/>
        </patternFill>
      </fill>
    </dxf>
    <dxf>
      <font>
        <b/>
        <i val="0"/>
      </font>
      <fill>
        <patternFill>
          <bgColor rgb="FFFFFF00"/>
        </patternFill>
      </fill>
    </dxf>
    <dxf>
      <font>
        <b/>
        <i val="0"/>
      </font>
      <fill>
        <patternFill>
          <bgColor rgb="FFFFFF00"/>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b/>
        <i val="0"/>
      </font>
      <fill>
        <patternFill>
          <bgColor rgb="FFFFFF00"/>
        </patternFill>
      </fill>
    </dxf>
    <dxf>
      <font>
        <b/>
        <i val="0"/>
      </font>
      <fill>
        <patternFill>
          <bgColor rgb="FFFFFF00"/>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b/>
        <i val="0"/>
      </font>
      <fill>
        <patternFill>
          <bgColor rgb="FFFFFF00"/>
        </patternFill>
      </fill>
    </dxf>
    <dxf>
      <font>
        <b/>
        <i val="0"/>
      </font>
      <fill>
        <patternFill>
          <bgColor rgb="FFFFFF00"/>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ill>
        <patternFill>
          <bgColor theme="3" tint="0.79998168889431442"/>
        </patternFill>
      </fill>
    </dxf>
    <dxf>
      <font>
        <b/>
        <i val="0"/>
      </font>
      <fill>
        <patternFill>
          <bgColor rgb="FFFFFF00"/>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b/>
        <i val="0"/>
      </font>
      <fill>
        <patternFill>
          <bgColor rgb="FFFFFF00"/>
        </patternFill>
      </fill>
    </dxf>
    <dxf>
      <font>
        <b/>
        <i val="0"/>
      </font>
      <fill>
        <patternFill>
          <bgColor rgb="FFFFFF00"/>
        </patternFill>
      </fill>
    </dxf>
    <dxf>
      <font>
        <b/>
        <i val="0"/>
      </font>
      <fill>
        <patternFill>
          <bgColor rgb="FFFFFF00"/>
        </patternFill>
      </fill>
    </dxf>
    <dxf>
      <font>
        <color rgb="FF006100"/>
      </font>
      <fill>
        <patternFill>
          <bgColor rgb="FFC6EFCE"/>
        </patternFill>
      </fill>
    </dxf>
    <dxf>
      <font>
        <color rgb="FF9C6500"/>
      </font>
      <fill>
        <patternFill>
          <bgColor rgb="FFFFEB9C"/>
        </patternFill>
      </fill>
    </dxf>
    <dxf>
      <fill>
        <patternFill>
          <bgColor theme="3" tint="0.79998168889431442"/>
        </patternFill>
      </fill>
    </dxf>
    <dxf>
      <font>
        <color rgb="FF006100"/>
      </font>
      <fill>
        <patternFill>
          <bgColor rgb="FFC6EFCE"/>
        </patternFill>
      </fill>
    </dxf>
    <dxf>
      <font>
        <color rgb="FF9C6500"/>
      </font>
      <fill>
        <patternFill>
          <bgColor rgb="FFFFEB9C"/>
        </patternFill>
      </fill>
    </dxf>
    <dxf>
      <font>
        <b/>
        <i val="0"/>
      </font>
      <fill>
        <patternFill>
          <bgColor rgb="FFFFFF00"/>
        </patternFill>
      </fill>
    </dxf>
    <dxf>
      <font>
        <b/>
        <i val="0"/>
      </font>
      <fill>
        <patternFill>
          <bgColor rgb="FFFFFF00"/>
        </patternFill>
      </fill>
    </dxf>
    <dxf>
      <font>
        <color rgb="FF006100"/>
      </font>
      <fill>
        <patternFill>
          <bgColor rgb="FFC6EFCE"/>
        </patternFill>
      </fill>
    </dxf>
    <dxf>
      <font>
        <color rgb="FF9C6500"/>
      </font>
      <fill>
        <patternFill>
          <bgColor rgb="FFFFEB9C"/>
        </patternFill>
      </fill>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i val="0"/>
        <strike val="0"/>
        <condense val="0"/>
        <extend val="0"/>
        <outline val="0"/>
        <shadow val="0"/>
        <u val="none"/>
        <vertAlign val="baseline"/>
        <sz val="9.9"/>
        <color theme="1"/>
        <name val="Calibri"/>
        <scheme val="minor"/>
      </font>
      <fill>
        <patternFill patternType="solid">
          <fgColor indexed="64"/>
          <bgColor rgb="FFF2F5F7"/>
        </patternFill>
      </fill>
      <alignment horizontal="center" vertical="center" textRotation="0" wrapText="1" indent="0" justifyLastLine="0" shrinkToFit="0" readingOrder="0"/>
      <border diagonalUp="0" diagonalDown="0" outline="0">
        <left/>
        <right/>
        <top/>
        <bottom/>
      </border>
    </dxf>
    <dxf>
      <font>
        <b/>
        <i val="0"/>
        <strike val="0"/>
        <condense val="0"/>
        <extend val="0"/>
        <outline val="0"/>
        <shadow val="0"/>
        <u val="none"/>
        <vertAlign val="baseline"/>
        <sz val="9.9"/>
        <color theme="1"/>
        <name val="Calibri"/>
        <scheme val="minor"/>
      </font>
      <fill>
        <patternFill patternType="solid">
          <fgColor indexed="64"/>
          <bgColor rgb="FFF2F5F7"/>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14"/>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4"/>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4"/>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4"/>
        <color theme="1"/>
        <name val="Calibri"/>
        <scheme val="minor"/>
      </font>
      <alignment horizontal="center" vertical="bottom" textRotation="0" wrapText="0" indent="0" justifyLastLine="0" shrinkToFit="0" readingOrder="0"/>
    </dxf>
    <dxf>
      <border outline="0">
        <right style="thin">
          <color indexed="64"/>
        </right>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dxf>
    <dxf>
      <font>
        <b/>
        <i val="0"/>
        <strike val="0"/>
        <condense val="0"/>
        <extend val="0"/>
        <outline val="0"/>
        <shadow val="0"/>
        <u val="none"/>
        <vertAlign val="baseline"/>
        <sz val="8.8000000000000007"/>
        <color rgb="FF001626"/>
        <name val="Calibri"/>
        <scheme val="minor"/>
      </font>
      <fill>
        <patternFill patternType="solid">
          <fgColor indexed="64"/>
          <bgColor rgb="FFF2F5F7"/>
        </patternFill>
      </fill>
      <alignment horizontal="center" vertical="center" textRotation="0" wrapText="1" indent="0" justifyLastLine="0" shrinkToFit="0" readingOrder="0"/>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i val="0"/>
        <strike val="0"/>
        <condense val="0"/>
        <extend val="0"/>
        <outline val="0"/>
        <shadow val="0"/>
        <u val="none"/>
        <vertAlign val="baseline"/>
        <sz val="9.9"/>
        <color theme="1"/>
        <name val="Calibri"/>
        <scheme val="minor"/>
      </font>
      <fill>
        <patternFill patternType="solid">
          <fgColor indexed="64"/>
          <bgColor rgb="FFF2F5F7"/>
        </patternFill>
      </fill>
      <alignment horizontal="center" vertical="center" textRotation="0" wrapText="1" indent="0" justifyLastLine="0" shrinkToFit="0" readingOrder="0"/>
      <border diagonalUp="0" diagonalDown="0" outline="0">
        <left/>
        <right/>
        <top/>
        <bottom/>
      </border>
    </dxf>
    <dxf>
      <font>
        <b/>
        <i val="0"/>
        <strike val="0"/>
        <condense val="0"/>
        <extend val="0"/>
        <outline val="0"/>
        <shadow val="0"/>
        <u val="none"/>
        <vertAlign val="baseline"/>
        <sz val="9.9"/>
        <color theme="1"/>
        <name val="Calibri"/>
        <scheme val="minor"/>
      </font>
      <fill>
        <patternFill patternType="solid">
          <fgColor indexed="64"/>
          <bgColor rgb="FFF2F5F7"/>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14"/>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4"/>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4"/>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4"/>
        <color theme="1"/>
        <name val="Calibri"/>
        <scheme val="minor"/>
      </font>
      <alignment horizontal="center" vertical="bottom" textRotation="0" wrapText="0" indent="0" justifyLastLine="0" shrinkToFit="0" readingOrder="0"/>
    </dxf>
    <dxf>
      <border outline="0">
        <right style="thin">
          <color indexed="64"/>
        </right>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dxf>
    <dxf>
      <font>
        <b/>
        <i val="0"/>
        <strike val="0"/>
        <condense val="0"/>
        <extend val="0"/>
        <outline val="0"/>
        <shadow val="0"/>
        <u val="none"/>
        <vertAlign val="baseline"/>
        <sz val="8.8000000000000007"/>
        <color rgb="FF001626"/>
        <name val="Calibri"/>
        <scheme val="minor"/>
      </font>
      <fill>
        <patternFill patternType="solid">
          <fgColor indexed="64"/>
          <bgColor rgb="FFF2F5F7"/>
        </patternFill>
      </fill>
      <alignment horizontal="center" vertical="center" textRotation="0" wrapText="1" indent="0" justifyLastLine="0" shrinkToFit="0" readingOrder="0"/>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i val="0"/>
        <strike val="0"/>
        <condense val="0"/>
        <extend val="0"/>
        <outline val="0"/>
        <shadow val="0"/>
        <u val="none"/>
        <vertAlign val="baseline"/>
        <sz val="9.9"/>
        <color theme="1"/>
        <name val="Calibri"/>
        <scheme val="minor"/>
      </font>
      <fill>
        <patternFill patternType="solid">
          <fgColor indexed="64"/>
          <bgColor rgb="FFF2F5F7"/>
        </patternFill>
      </fill>
      <alignment horizontal="center" vertical="center" textRotation="0" wrapText="1" indent="0" justifyLastLine="0" shrinkToFit="0" readingOrder="0"/>
      <border diagonalUp="0" diagonalDown="0" outline="0">
        <left/>
        <right/>
        <top/>
        <bottom/>
      </border>
    </dxf>
    <dxf>
      <font>
        <b/>
        <i val="0"/>
        <strike val="0"/>
        <condense val="0"/>
        <extend val="0"/>
        <outline val="0"/>
        <shadow val="0"/>
        <u val="none"/>
        <vertAlign val="baseline"/>
        <sz val="9.9"/>
        <color theme="1"/>
        <name val="Calibri"/>
        <scheme val="minor"/>
      </font>
      <fill>
        <patternFill patternType="solid">
          <fgColor indexed="64"/>
          <bgColor rgb="FFF2F5F7"/>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D5DBE1"/>
        </bottom>
        <vertical/>
        <horizontal/>
      </border>
    </dxf>
    <dxf>
      <font>
        <b val="0"/>
        <i val="0"/>
        <strike val="0"/>
        <condense val="0"/>
        <extend val="0"/>
        <outline val="0"/>
        <shadow val="0"/>
        <u val="none"/>
        <vertAlign val="baseline"/>
        <sz val="14"/>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4"/>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4"/>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4"/>
        <color theme="1"/>
        <name val="Calibri"/>
        <scheme val="minor"/>
      </font>
      <alignment horizontal="center" vertical="bottom" textRotation="0" wrapText="0" indent="0" justifyLastLine="0" shrinkToFit="0" readingOrder="0"/>
    </dxf>
    <dxf>
      <border outline="0">
        <right style="thin">
          <color indexed="64"/>
        </right>
      </border>
    </dxf>
    <dxf>
      <font>
        <b val="0"/>
        <i val="0"/>
        <strike val="0"/>
        <condense val="0"/>
        <extend val="0"/>
        <outline val="0"/>
        <shadow val="0"/>
        <u val="none"/>
        <vertAlign val="baseline"/>
        <sz val="9.9"/>
        <color theme="1"/>
        <name val="Calibri"/>
        <scheme val="minor"/>
      </font>
      <fill>
        <patternFill patternType="solid">
          <fgColor indexed="64"/>
          <bgColor rgb="FFFFFFFF"/>
        </patternFill>
      </fill>
      <alignment horizontal="center" vertical="center" textRotation="0" wrapText="1" indent="0" justifyLastLine="0" shrinkToFit="0" readingOrder="0"/>
    </dxf>
    <dxf>
      <font>
        <b/>
        <i val="0"/>
        <strike val="0"/>
        <condense val="0"/>
        <extend val="0"/>
        <outline val="0"/>
        <shadow val="0"/>
        <u val="none"/>
        <vertAlign val="baseline"/>
        <sz val="8.8000000000000007"/>
        <color rgb="FF001626"/>
        <name val="Calibri"/>
        <scheme val="minor"/>
      </font>
      <fill>
        <patternFill patternType="solid">
          <fgColor indexed="64"/>
          <bgColor rgb="FFF2F5F7"/>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73" formatCode="d/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style="medium">
          <color indexed="64"/>
        </right>
        <top/>
        <bottom/>
      </border>
      <protection locked="1" hidden="0"/>
    </dxf>
    <dxf>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style="medium">
          <color indexed="64"/>
        </right>
        <top/>
        <bottom/>
      </border>
      <protection locked="1" hidden="0"/>
    </dxf>
    <dxf>
      <alignment horizontal="center" vertical="bottom" textRotation="0" wrapText="0" indent="0" justifyLastLine="0" shrinkToFit="0" readingOrder="0"/>
      <border diagonalUp="0" diagonalDown="0" outline="0">
        <left style="medium">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style="medium">
          <color indexed="64"/>
        </right>
        <top/>
        <bottom/>
      </border>
      <protection locked="1" hidden="0"/>
    </dxf>
    <dxf>
      <alignment horizontal="center" vertical="bottom" textRotation="0" wrapText="0" indent="0" justifyLastLine="0" shrinkToFit="0" readingOrder="0"/>
      <border diagonalUp="0" diagonalDown="0" outline="0">
        <left style="thin">
          <color indexed="64"/>
        </left>
        <right style="medium">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style="medium">
          <color indexed="64"/>
        </right>
        <top/>
        <bottom/>
      </border>
      <protection locked="1" hidden="0"/>
    </dxf>
    <dxf>
      <alignment horizontal="center" vertical="bottom" textRotation="0" wrapText="0" indent="0" justifyLastLine="0" shrinkToFit="0" readingOrder="0"/>
      <border diagonalUp="0" diagonalDown="0" outline="0">
        <left style="medium">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style="medium">
          <color indexed="64"/>
        </right>
        <top/>
        <bottom/>
      </border>
      <protection locked="1" hidden="0"/>
    </dxf>
    <dxf>
      <alignment horizontal="center" vertical="bottom" textRotation="0" wrapText="0" indent="0" justifyLastLine="0" shrinkToFit="0" readingOrder="0"/>
      <border diagonalUp="0" diagonalDown="0" outline="0">
        <left style="thin">
          <color indexed="64"/>
        </left>
        <right style="medium">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style="medium">
          <color indexed="64"/>
        </right>
        <top/>
        <bottom/>
      </border>
      <protection locked="1" hidden="0"/>
    </dxf>
    <dxf>
      <numFmt numFmtId="1" formatCode="0"/>
      <alignment horizontal="center" vertical="bottom" textRotation="0" wrapText="0" indent="0" justifyLastLine="0" shrinkToFit="0" readingOrder="0"/>
      <border diagonalUp="0" diagonalDown="0" outline="0">
        <left style="medium">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style="medium">
          <color indexed="64"/>
        </right>
        <top/>
        <bottom/>
      </border>
      <protection locked="1" hidden="0"/>
    </dxf>
    <dxf>
      <alignment horizontal="center" vertical="bottom" textRotation="0" wrapText="0" indent="0" justifyLastLine="0" shrinkToFit="0" readingOrder="0"/>
      <border diagonalUp="0" diagonalDown="0" outline="0">
        <left style="thin">
          <color indexed="64"/>
        </left>
        <right style="medium">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style="medium">
          <color indexed="64"/>
        </right>
        <top/>
        <bottom/>
      </border>
      <protection locked="1" hidden="0"/>
    </dxf>
    <dxf>
      <alignment horizontal="center" vertical="bottom" textRotation="0" wrapText="0" indent="0" justifyLastLine="0" shrinkToFit="0" readingOrder="0"/>
      <border diagonalUp="0" diagonalDown="0" outline="0">
        <left style="medium">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style="medium">
          <color indexed="64"/>
        </right>
        <top/>
        <bottom/>
      </border>
      <protection locked="1" hidden="0"/>
    </dxf>
    <dxf>
      <alignment horizontal="center" vertical="bottom" textRotation="0" wrapText="0" indent="0" justifyLastLine="0" shrinkToFit="0" readingOrder="0"/>
      <border diagonalUp="0" diagonalDown="0" outline="0">
        <left/>
        <right style="medium">
          <color indexed="64"/>
        </right>
        <top style="thin">
          <color indexed="64"/>
        </top>
        <bottom style="thin">
          <color indexed="64"/>
        </bottom>
      </border>
    </dxf>
    <dxf>
      <border outline="0">
        <left style="medium">
          <color indexed="64"/>
        </left>
        <right style="medium">
          <color indexed="64"/>
        </right>
        <bottom style="medium">
          <color indexed="64"/>
        </bottom>
      </border>
    </dxf>
    <dxf>
      <alignment horizontal="center" textRotation="0" wrapText="0" indent="0" justifyLastLine="0" shrinkToFit="0" readingOrder="0"/>
    </dxf>
    <dxf>
      <border>
        <bottom style="medium">
          <color indexed="64"/>
        </bottom>
      </border>
    </dxf>
    <dxf>
      <alignment horizontal="center" vertical="bottom" textRotation="0" wrapText="0" indent="0" justifyLastLine="0" shrinkToFit="0" readingOrder="0"/>
      <border diagonalUp="0" diagonalDown="0">
        <left style="medium">
          <color auto="1"/>
        </left>
        <right style="medium">
          <color auto="1"/>
        </right>
        <top/>
        <bottom/>
        <vertical style="medium">
          <color auto="1"/>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top" textRotation="0" wrapText="0" relativeIndent="0" justifyLastLine="0" shrinkToFit="0" readingOrder="0"/>
    </dxf>
    <dxf>
      <font>
        <b val="0"/>
        <i val="0"/>
        <strike val="0"/>
        <condense val="0"/>
        <extend val="0"/>
        <outline val="0"/>
        <shadow val="0"/>
        <u val="none"/>
        <vertAlign val="baseline"/>
        <sz val="11"/>
        <color auto="1"/>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2" formatCode="0.00"/>
      <alignment horizontal="center" vertical="bottom"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73" formatCode="d/m/yyyy"/>
      <alignment horizontal="center" vertical="bottom"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top" textRotation="0" wrapText="0" relative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72" formatCode="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73" formatCode="d/m/yyyy"/>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5]mmmm\ yy;@"/>
      <alignment horizontal="center" vertical="bottom" textRotation="0" wrapText="0" indent="0" justifyLastLine="0" shrinkToFit="0" readingOrder="0"/>
    </dxf>
    <dxf>
      <numFmt numFmtId="172" formatCode="0.0"/>
      <alignment horizontal="center" vertical="bottom" textRotation="0" wrapText="0" indent="0" justifyLastLine="0" shrinkToFit="0" readingOrder="0"/>
    </dxf>
    <dxf>
      <numFmt numFmtId="173" formatCode="d/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73" formatCode="d/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5]mmmm\ yy;@"/>
      <alignment horizontal="center" vertical="bottom" textRotation="0" wrapText="0" indent="0" justifyLastLine="0" shrinkToFit="0" readingOrder="0"/>
    </dxf>
    <dxf>
      <numFmt numFmtId="172" formatCode="0.0"/>
      <alignment horizontal="center" vertical="bottom" textRotation="0" wrapText="0" indent="0" justifyLastLine="0" shrinkToFit="0" readingOrder="0"/>
    </dxf>
    <dxf>
      <numFmt numFmtId="172" formatCode="0.0"/>
      <alignment horizontal="center" vertical="bottom" textRotation="0" wrapText="0" indent="0" justifyLastLine="0" shrinkToFit="0" readingOrder="0"/>
    </dxf>
    <dxf>
      <alignment horizontal="center" vertical="bottom" textRotation="0" wrapText="0" indent="0" justifyLastLine="0" shrinkToFit="0" readingOrder="0"/>
    </dxf>
    <dxf>
      <numFmt numFmtId="173" formatCode="d/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style="thin">
          <color indexed="64"/>
        </left>
        <right/>
        <top style="thin">
          <color theme="4" tint="0.39997558519241921"/>
        </top>
        <bottom/>
        <vertical/>
        <horizontal/>
      </border>
    </dxf>
    <dxf>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border>
    </dxf>
    <dxf>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border>
    </dxf>
    <dxf>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border>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11"/>
        <color theme="1"/>
        <name val="Calibri"/>
        <family val="2"/>
        <charset val="238"/>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style="thin">
          <color indexed="64"/>
        </right>
        <top style="thin">
          <color theme="4" tint="0.39997558519241921"/>
        </top>
        <bottom/>
        <vertical/>
        <horizontal/>
      </border>
    </dxf>
    <dxf>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1"/>
        <color theme="1"/>
        <name val="Calibri"/>
        <family val="2"/>
        <charset val="238"/>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style="thin">
          <color indexed="64"/>
        </left>
        <right/>
        <top style="thin">
          <color theme="4" tint="0.39997558519241921"/>
        </top>
        <bottom/>
        <vertical/>
        <horizontal/>
      </border>
    </dxf>
    <dxf>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style="thin">
          <color indexed="64"/>
        </left>
        <right/>
        <top style="thin">
          <color theme="4" tint="0.39997558519241921"/>
        </top>
        <bottom/>
        <vertical/>
        <horizontal/>
      </border>
    </dxf>
    <dxf>
      <numFmt numFmtId="1" formatCode="0"/>
    </dxf>
    <dxf>
      <numFmt numFmtId="1" formatCode="0"/>
    </dxf>
    <dxf>
      <numFmt numFmtId="2" formatCode="0.00"/>
    </dxf>
    <dxf>
      <numFmt numFmtId="1" formatCode="0"/>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numFmt numFmtId="1" formatCode="0"/>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numFmt numFmtId="1" formatCode="0"/>
    </dxf>
    <dxf>
      <numFmt numFmtId="1" formatCode="0"/>
    </dxf>
    <dxf>
      <numFmt numFmtId="1" formatCode="0"/>
    </dxf>
    <dxf>
      <numFmt numFmtId="1" formatCode="0"/>
    </dxf>
    <dxf>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numFmt numFmtId="30" formatCode="@"/>
    </dxf>
    <dxf>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style="thin">
          <color theme="4" tint="0.39997558519241921"/>
        </left>
        <right/>
        <top/>
        <bottom/>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style="thin">
          <color theme="4" tint="0.39997558519241921"/>
        </left>
        <right/>
        <top style="thin">
          <color theme="4" tint="0.39997558519241921"/>
        </top>
        <bottom/>
        <vertical/>
        <horizontal/>
      </border>
    </dxf>
    <dxf>
      <border outline="0">
        <right style="thin">
          <color theme="4" tint="0.39997558519241921"/>
        </right>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charset val="238"/>
        <scheme val="minor"/>
      </font>
      <fill>
        <patternFill patternType="solid">
          <fgColor theme="4"/>
          <bgColor theme="4"/>
        </patternFill>
      </fil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7" formatCode="m/d/yyyy"/>
    </dxf>
    <dxf>
      <numFmt numFmtId="0" formatCode="General"/>
    </dxf>
    <dxf>
      <alignment horizontal="left"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border diagonalUp="0" diagonalDown="0" outline="0">
        <left/>
        <right style="thin">
          <color indexed="64"/>
        </right>
        <top/>
        <bottom/>
      </border>
    </dxf>
    <dxf>
      <alignment horizontal="center" vertical="bottom" textRotation="0" wrapText="0" indent="0" justifyLastLine="0" shrinkToFit="0" readingOrder="0"/>
      <border diagonalUp="0" diagonalDown="0">
        <left/>
        <right style="thin">
          <color indexed="64"/>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1" formatCode="0"/>
      <alignment horizontal="center" vertical="bottom" textRotation="0" wrapText="0" indent="0" justifyLastLine="0" shrinkToFit="0" readingOrder="0"/>
      <border diagonalUp="0" diagonalDown="0" outline="0">
        <left/>
        <right style="thin">
          <color indexed="64"/>
        </right>
        <top/>
        <bottom/>
      </border>
    </dxf>
    <dxf>
      <alignment horizontal="center" vertical="bottom" textRotation="0" wrapText="0" indent="0" justifyLastLine="0" shrinkToFit="0" readingOrder="0"/>
      <border diagonalUp="0" diagonalDown="0">
        <left/>
        <right style="thin">
          <color indexed="64"/>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style="thin">
          <color indexed="64"/>
        </left>
        <right/>
        <top/>
        <bottom/>
      </border>
    </dxf>
    <dxf>
      <alignment horizontal="center" vertical="bottom" textRotation="0" wrapText="0" indent="0" justifyLastLine="0" shrinkToFit="0" readingOrder="0"/>
      <border diagonalUp="0" diagonalDown="0">
        <left style="thin">
          <color indexed="64"/>
        </left>
        <right/>
        <top/>
        <bottom/>
        <vertical/>
        <horizontal/>
      </border>
    </dxf>
    <dxf>
      <numFmt numFmtId="1" formatCode="0"/>
      <alignment horizontal="center" vertical="bottom" textRotation="0" wrapText="0" indent="0" justifyLastLine="0" shrinkToFit="0" readingOrder="0"/>
    </dxf>
    <dxf>
      <numFmt numFmtId="167" formatCode="h:m"/>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172" formatCode="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167" formatCode="h:m"/>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77" formatCode="m/d/yyyy"/>
      <alignment horizontal="center" vertical="bottom" textRotation="0" wrapText="0" indent="0" justifyLastLine="0" shrinkToFit="0" readingOrder="0"/>
    </dxf>
    <dxf>
      <alignment horizontal="general"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alignment horizontal="center"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border diagonalUp="0" diagonalDown="0" outline="0">
        <left/>
        <right style="thin">
          <color indexed="64"/>
        </right>
        <top/>
        <bottom/>
      </border>
    </dxf>
    <dxf>
      <alignment horizontal="center" vertical="bottom" textRotation="0" wrapText="0" indent="0" justifyLastLine="0" shrinkToFit="0" readingOrder="0"/>
      <border diagonalUp="0" diagonalDown="0">
        <left/>
        <right style="thin">
          <color indexed="64"/>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left" vertical="bottom" textRotation="0" wrapText="0" indent="0" justifyLastLine="0" shrinkToFit="0" readingOrder="0"/>
    </dxf>
    <dxf>
      <numFmt numFmtId="30" formatCode="@"/>
      <alignment horizontal="left"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1" formatCode="0"/>
      <alignment horizontal="center" vertical="bottom" textRotation="0" wrapText="0" indent="0" justifyLastLine="0" shrinkToFit="0" readingOrder="0"/>
      <border diagonalUp="0" diagonalDown="0" outline="0">
        <left/>
        <right style="thin">
          <color indexed="64"/>
        </right>
        <top/>
        <bottom/>
      </border>
    </dxf>
    <dxf>
      <alignment horizontal="center" vertical="bottom" textRotation="0" wrapText="0" indent="0" justifyLastLine="0" shrinkToFit="0" readingOrder="0"/>
      <border diagonalUp="0" diagonalDown="0">
        <left/>
        <right style="thin">
          <color indexed="64"/>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thin">
          <color indexed="64"/>
        </right>
        <top/>
        <bottom/>
      </border>
    </dxf>
    <dxf>
      <alignment horizontal="center" vertical="bottom" textRotation="0" wrapText="0" indent="0" justifyLastLine="0" shrinkToFit="0" readingOrder="0"/>
      <border diagonalUp="0" diagonalDown="0">
        <left/>
        <right style="thin">
          <color indexed="64"/>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numFmt numFmtId="176" formatCode="#,##0.0"/>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77" formatCode="m/d/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alignment horizontal="center"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border diagonalUp="0" diagonalDown="0">
        <left/>
        <right style="thin">
          <color indexed="64"/>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thin">
          <color indexed="64"/>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indexed="64"/>
        </left>
        <right/>
        <top/>
        <bottom/>
        <vertical/>
        <horizontal/>
      </border>
    </dxf>
    <dxf>
      <numFmt numFmtId="167" formatCode="h:m"/>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77" formatCode="m/d/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alignment horizontal="center"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border diagonalUp="0" diagonalDown="0">
        <left/>
        <right style="thin">
          <color indexed="64"/>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indexed="64"/>
        </left>
        <right/>
        <top/>
        <bottom/>
        <vertical/>
        <horizontal/>
      </border>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thin">
          <color indexed="64"/>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indexed="64"/>
        </left>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77" formatCode="m/d/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alignment horizontal="center"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border diagonalUp="0" diagonalDown="0" outline="0">
        <left/>
        <right style="thin">
          <color indexed="64"/>
        </right>
        <top/>
        <bottom/>
      </border>
    </dxf>
    <dxf>
      <alignment horizontal="center" vertical="bottom" textRotation="0" wrapText="0" indent="0" justifyLastLine="0" shrinkToFit="0" readingOrder="0"/>
      <border diagonalUp="0" diagonalDown="0">
        <left/>
        <right style="thin">
          <color indexed="64"/>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style="thin">
          <color indexed="64"/>
        </left>
        <right/>
        <top/>
        <bottom/>
      </border>
    </dxf>
    <dxf>
      <alignment horizontal="center" vertical="bottom" textRotation="0" wrapText="0" indent="0" justifyLastLine="0" shrinkToFit="0" readingOrder="0"/>
      <border diagonalUp="0" diagonalDown="0">
        <left style="thin">
          <color indexed="64"/>
        </left>
        <right/>
        <top/>
        <bottom/>
        <vertical/>
        <horizontal/>
      </border>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thin">
          <color indexed="64"/>
        </right>
        <top/>
        <bottom/>
      </border>
    </dxf>
    <dxf>
      <alignment horizontal="center" vertical="bottom" textRotation="0" wrapText="0" indent="0" justifyLastLine="0" shrinkToFit="0" readingOrder="0"/>
      <border diagonalUp="0" diagonalDown="0">
        <left/>
        <right style="thin">
          <color indexed="64"/>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style="thin">
          <color indexed="64"/>
        </left>
        <right/>
        <top/>
        <bottom/>
      </border>
    </dxf>
    <dxf>
      <alignment horizontal="center" vertical="bottom" textRotation="0" wrapText="0" indent="0" justifyLastLine="0" shrinkToFit="0" readingOrder="0"/>
      <border diagonalUp="0" diagonalDown="0">
        <left style="thin">
          <color indexed="64"/>
        </left>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77" formatCode="m/d/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alignment horizontal="center"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thin">
          <color indexed="64"/>
        </right>
        <top/>
        <bottom/>
      </border>
    </dxf>
    <dxf>
      <alignment horizontal="center" vertical="bottom" textRotation="0" wrapText="0" indent="0" justifyLastLine="0" shrinkToFit="0" readingOrder="0"/>
      <border diagonalUp="0" diagonalDown="0">
        <left/>
        <right style="thin">
          <color indexed="64"/>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style="thin">
          <color indexed="64"/>
        </left>
        <right/>
        <top/>
        <bottom/>
      </border>
    </dxf>
    <dxf>
      <alignment horizontal="center" vertical="bottom" textRotation="0" wrapText="0" indent="0" justifyLastLine="0" shrinkToFit="0" readingOrder="0"/>
      <border diagonalUp="0" diagonalDown="0">
        <left style="thin">
          <color indexed="64"/>
        </left>
        <right/>
        <top/>
        <bottom/>
        <vertical/>
        <horizontal/>
      </border>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thin">
          <color indexed="64"/>
        </right>
        <top/>
        <bottom/>
      </border>
    </dxf>
    <dxf>
      <alignment horizontal="center" vertical="bottom" textRotation="0" wrapText="0" indent="0" justifyLastLine="0" shrinkToFit="0" readingOrder="0"/>
      <border diagonalUp="0" diagonalDown="0">
        <left/>
        <right style="thin">
          <color indexed="64"/>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style="thin">
          <color indexed="64"/>
        </left>
        <right/>
        <top/>
        <bottom/>
      </border>
    </dxf>
    <dxf>
      <alignment horizontal="center" vertical="bottom" textRotation="0" wrapText="0" indent="0" justifyLastLine="0" shrinkToFit="0" readingOrder="0"/>
      <border diagonalUp="0" diagonalDown="0">
        <left style="thin">
          <color indexed="64"/>
        </left>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77" formatCode="m/d/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style="thin">
          <color indexed="64"/>
        </left>
        <right/>
        <top/>
        <bottom/>
      </border>
    </dxf>
    <dxf>
      <alignment horizontal="center" vertical="bottom" textRotation="0" wrapText="0" indent="0" justifyLastLine="0" shrinkToFit="0" readingOrder="0"/>
      <border diagonalUp="0" diagonalDown="0">
        <left style="thin">
          <color indexed="64"/>
        </left>
        <right/>
        <top/>
        <bottom/>
        <vertical/>
        <horizontal/>
      </border>
    </dxf>
    <dxf>
      <alignment horizontal="left" vertical="bottom" textRotation="0" wrapText="0" indent="0" justifyLastLine="0" shrinkToFit="0" readingOrder="0"/>
    </dxf>
    <dxf>
      <numFmt numFmtId="30" formatCode="@"/>
      <alignment horizontal="left"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thin">
          <color indexed="64"/>
        </right>
        <top/>
        <bottom/>
      </border>
    </dxf>
    <dxf>
      <alignment horizontal="center" vertical="bottom" textRotation="0" wrapText="0" indent="0" justifyLastLine="0" shrinkToFit="0" readingOrder="0"/>
      <border diagonalUp="0" diagonalDown="0">
        <left/>
        <right style="thin">
          <color indexed="64"/>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style="thin">
          <color indexed="64"/>
        </left>
        <right/>
        <top/>
        <bottom/>
      </border>
    </dxf>
    <dxf>
      <alignment horizontal="center" vertical="bottom" textRotation="0" wrapText="0" indent="0" justifyLastLine="0" shrinkToFit="0" readingOrder="0"/>
      <border diagonalUp="0" diagonalDown="0">
        <left style="thin">
          <color indexed="64"/>
        </left>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77" formatCode="m/d/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style="medium">
          <color indexed="64"/>
        </left>
        <right/>
        <top/>
        <bottom/>
      </border>
    </dxf>
    <dxf>
      <alignment horizontal="center" vertical="bottom" textRotation="0" wrapText="0" indent="0" justifyLastLine="0" shrinkToFit="0" readingOrder="0"/>
      <border diagonalUp="0" diagonalDown="0">
        <left style="medium">
          <color indexed="64"/>
        </left>
        <right/>
        <top/>
        <bottom/>
        <vertical/>
        <horizontal/>
      </border>
    </dxf>
    <dxf>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alignment horizontal="center" vertical="bottom" textRotation="0" wrapText="0" indent="0" justifyLastLine="0" shrinkToFit="0" readingOrder="0"/>
    </dxf>
    <dxf>
      <alignment horizontal="center" vertical="bottom" textRotation="0" wrapText="0" indent="0" justifyLastLine="0" shrinkToFit="0" readingOrder="0"/>
    </dxf>
    <dxf>
      <numFmt numFmtId="167" formatCode="h:m"/>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77" formatCode="m/d/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customXml" Target="../customXml/item7.xml"/><Relationship Id="rId68" Type="http://schemas.openxmlformats.org/officeDocument/2006/relationships/customXml" Target="../customXml/item12.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sheetMetadata" Target="metadata.xml"/><Relationship Id="rId58" Type="http://schemas.openxmlformats.org/officeDocument/2006/relationships/customXml" Target="../customXml/item2.xml"/><Relationship Id="rId74" Type="http://schemas.openxmlformats.org/officeDocument/2006/relationships/customXml" Target="../customXml/item18.xml"/><Relationship Id="rId79" Type="http://schemas.openxmlformats.org/officeDocument/2006/relationships/customXml" Target="../customXml/item23.xml"/><Relationship Id="rId5" Type="http://schemas.openxmlformats.org/officeDocument/2006/relationships/worksheet" Target="worksheets/sheet5.xml"/><Relationship Id="rId61" Type="http://schemas.openxmlformats.org/officeDocument/2006/relationships/customXml" Target="../customXml/item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64" Type="http://schemas.openxmlformats.org/officeDocument/2006/relationships/customXml" Target="../customXml/item8.xml"/><Relationship Id="rId69" Type="http://schemas.openxmlformats.org/officeDocument/2006/relationships/customXml" Target="../customXml/item13.xml"/><Relationship Id="rId77" Type="http://schemas.openxmlformats.org/officeDocument/2006/relationships/customXml" Target="../customXml/item21.xml"/><Relationship Id="rId8" Type="http://schemas.openxmlformats.org/officeDocument/2006/relationships/worksheet" Target="worksheets/sheet8.xml"/><Relationship Id="rId51" Type="http://schemas.openxmlformats.org/officeDocument/2006/relationships/styles" Target="styles.xml"/><Relationship Id="rId72" Type="http://schemas.openxmlformats.org/officeDocument/2006/relationships/customXml" Target="../customXml/item16.xml"/><Relationship Id="rId80"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3.xml"/><Relationship Id="rId67" Type="http://schemas.openxmlformats.org/officeDocument/2006/relationships/customXml" Target="../customXml/item1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owerPivotData" Target="model/item.data"/><Relationship Id="rId62" Type="http://schemas.openxmlformats.org/officeDocument/2006/relationships/customXml" Target="../customXml/item6.xml"/><Relationship Id="rId70" Type="http://schemas.openxmlformats.org/officeDocument/2006/relationships/customXml" Target="../customXml/item14.xml"/><Relationship Id="rId75"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60" Type="http://schemas.openxmlformats.org/officeDocument/2006/relationships/customXml" Target="../customXml/item4.xml"/><Relationship Id="rId65" Type="http://schemas.openxmlformats.org/officeDocument/2006/relationships/customXml" Target="../customXml/item9.xml"/><Relationship Id="rId73" Type="http://schemas.openxmlformats.org/officeDocument/2006/relationships/customXml" Target="../customXml/item17.xml"/><Relationship Id="rId78" Type="http://schemas.openxmlformats.org/officeDocument/2006/relationships/customXml" Target="../customXml/item22.xml"/><Relationship Id="rId81"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connections" Target="connections.xml"/><Relationship Id="rId55" Type="http://schemas.microsoft.com/office/2017/10/relationships/person" Target="persons/person.xml"/><Relationship Id="rId76" Type="http://schemas.openxmlformats.org/officeDocument/2006/relationships/customXml" Target="../customXml/item20.xml"/><Relationship Id="rId7" Type="http://schemas.openxmlformats.org/officeDocument/2006/relationships/worksheet" Target="worksheets/sheet7.xml"/><Relationship Id="rId71" Type="http://schemas.openxmlformats.org/officeDocument/2006/relationships/customXml" Target="../customXml/item15.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customXml" Target="../customXml/item10.xml"/></Relationships>
</file>

<file path=xl/charts/_rels/chart18.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Umístění </a:t>
            </a:r>
            <a:r>
              <a:rPr lang="cs-CZ"/>
              <a:t>v</a:t>
            </a:r>
            <a:r>
              <a:rPr lang="cs-CZ" baseline="0"/>
              <a:t> tabulce extraligy</a:t>
            </a:r>
            <a:endParaRPr lang="en-US"/>
          </a:p>
        </c:rich>
      </c:tx>
      <c:overlay val="0"/>
    </c:title>
    <c:autoTitleDeleted val="0"/>
    <c:plotArea>
      <c:layout/>
      <c:scatterChart>
        <c:scatterStyle val="smoothMarker"/>
        <c:varyColors val="0"/>
        <c:ser>
          <c:idx val="0"/>
          <c:order val="0"/>
          <c:tx>
            <c:strRef>
              <c:f>'Výsledky a statistiky 18-19'!$M$2</c:f>
              <c:strCache>
                <c:ptCount val="1"/>
                <c:pt idx="0">
                  <c:v>Umístění LIT</c:v>
                </c:pt>
              </c:strCache>
            </c:strRef>
          </c:tx>
          <c:marker>
            <c:symbol val="none"/>
          </c:marker>
          <c:xVal>
            <c:numRef>
              <c:f>'Výsledky a statistiky 18-19'!$B$3:$B$60</c:f>
              <c:numCache>
                <c:formatCode>General</c:formatCode>
                <c:ptCount val="5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numCache>
            </c:numRef>
          </c:xVal>
          <c:yVal>
            <c:numRef>
              <c:f>'Výsledky a statistiky 18-19'!$M$3:$M$60</c:f>
              <c:numCache>
                <c:formatCode>General</c:formatCode>
                <c:ptCount val="58"/>
                <c:pt idx="0">
                  <c:v>5</c:v>
                </c:pt>
                <c:pt idx="1">
                  <c:v>1</c:v>
                </c:pt>
                <c:pt idx="2">
                  <c:v>1</c:v>
                </c:pt>
                <c:pt idx="3">
                  <c:v>1</c:v>
                </c:pt>
                <c:pt idx="4">
                  <c:v>1</c:v>
                </c:pt>
                <c:pt idx="5">
                  <c:v>1</c:v>
                </c:pt>
                <c:pt idx="6">
                  <c:v>2</c:v>
                </c:pt>
                <c:pt idx="7">
                  <c:v>1</c:v>
                </c:pt>
                <c:pt idx="8">
                  <c:v>2</c:v>
                </c:pt>
                <c:pt idx="9">
                  <c:v>4</c:v>
                </c:pt>
                <c:pt idx="10">
                  <c:v>5</c:v>
                </c:pt>
                <c:pt idx="11">
                  <c:v>6</c:v>
                </c:pt>
                <c:pt idx="12">
                  <c:v>5</c:v>
                </c:pt>
                <c:pt idx="13">
                  <c:v>3</c:v>
                </c:pt>
                <c:pt idx="14">
                  <c:v>4</c:v>
                </c:pt>
                <c:pt idx="15">
                  <c:v>5</c:v>
                </c:pt>
                <c:pt idx="16">
                  <c:v>7</c:v>
                </c:pt>
                <c:pt idx="17">
                  <c:v>7</c:v>
                </c:pt>
                <c:pt idx="18">
                  <c:v>6</c:v>
                </c:pt>
                <c:pt idx="19">
                  <c:v>7</c:v>
                </c:pt>
                <c:pt idx="20">
                  <c:v>7</c:v>
                </c:pt>
                <c:pt idx="21">
                  <c:v>8</c:v>
                </c:pt>
                <c:pt idx="22">
                  <c:v>9</c:v>
                </c:pt>
                <c:pt idx="23">
                  <c:v>10</c:v>
                </c:pt>
                <c:pt idx="24">
                  <c:v>11</c:v>
                </c:pt>
                <c:pt idx="25">
                  <c:v>10</c:v>
                </c:pt>
                <c:pt idx="26">
                  <c:v>10</c:v>
                </c:pt>
                <c:pt idx="27">
                  <c:v>9</c:v>
                </c:pt>
                <c:pt idx="28">
                  <c:v>8</c:v>
                </c:pt>
                <c:pt idx="29">
                  <c:v>9</c:v>
                </c:pt>
                <c:pt idx="30">
                  <c:v>7</c:v>
                </c:pt>
                <c:pt idx="31">
                  <c:v>8</c:v>
                </c:pt>
                <c:pt idx="32">
                  <c:v>10</c:v>
                </c:pt>
                <c:pt idx="33">
                  <c:v>10</c:v>
                </c:pt>
                <c:pt idx="34">
                  <c:v>10</c:v>
                </c:pt>
                <c:pt idx="35">
                  <c:v>10</c:v>
                </c:pt>
                <c:pt idx="36">
                  <c:v>11</c:v>
                </c:pt>
                <c:pt idx="37">
                  <c:v>11</c:v>
                </c:pt>
                <c:pt idx="38">
                  <c:v>10</c:v>
                </c:pt>
                <c:pt idx="39">
                  <c:v>10</c:v>
                </c:pt>
                <c:pt idx="40">
                  <c:v>10</c:v>
                </c:pt>
                <c:pt idx="41">
                  <c:v>10</c:v>
                </c:pt>
                <c:pt idx="42">
                  <c:v>10</c:v>
                </c:pt>
                <c:pt idx="43">
                  <c:v>10</c:v>
                </c:pt>
                <c:pt idx="44">
                  <c:v>10</c:v>
                </c:pt>
                <c:pt idx="45">
                  <c:v>11</c:v>
                </c:pt>
                <c:pt idx="46">
                  <c:v>11</c:v>
                </c:pt>
                <c:pt idx="47">
                  <c:v>11</c:v>
                </c:pt>
                <c:pt idx="48">
                  <c:v>11</c:v>
                </c:pt>
                <c:pt idx="49">
                  <c:v>11</c:v>
                </c:pt>
                <c:pt idx="50">
                  <c:v>11</c:v>
                </c:pt>
                <c:pt idx="51">
                  <c:v>11</c:v>
                </c:pt>
                <c:pt idx="52">
                  <c:v>11</c:v>
                </c:pt>
                <c:pt idx="53">
                  <c:v>11</c:v>
                </c:pt>
                <c:pt idx="54">
                  <c:v>11</c:v>
                </c:pt>
                <c:pt idx="55">
                  <c:v>11</c:v>
                </c:pt>
                <c:pt idx="56">
                  <c:v>11</c:v>
                </c:pt>
                <c:pt idx="57">
                  <c:v>11</c:v>
                </c:pt>
              </c:numCache>
            </c:numRef>
          </c:yVal>
          <c:smooth val="1"/>
          <c:extLst>
            <c:ext xmlns:c16="http://schemas.microsoft.com/office/drawing/2014/chart" uri="{C3380CC4-5D6E-409C-BE32-E72D297353CC}">
              <c16:uniqueId val="{00000000-0F32-447D-AC6F-33C3986DF465}"/>
            </c:ext>
          </c:extLst>
        </c:ser>
        <c:dLbls>
          <c:showLegendKey val="0"/>
          <c:showVal val="0"/>
          <c:showCatName val="0"/>
          <c:showSerName val="0"/>
          <c:showPercent val="0"/>
          <c:showBubbleSize val="0"/>
        </c:dLbls>
        <c:axId val="103016704"/>
        <c:axId val="103039744"/>
      </c:scatterChart>
      <c:valAx>
        <c:axId val="103016704"/>
        <c:scaling>
          <c:orientation val="minMax"/>
          <c:max val="58"/>
          <c:min val="1"/>
        </c:scaling>
        <c:delete val="0"/>
        <c:axPos val="t"/>
        <c:majorGridlines/>
        <c:title>
          <c:tx>
            <c:rich>
              <a:bodyPr/>
              <a:lstStyle/>
              <a:p>
                <a:pPr>
                  <a:defRPr sz="1200"/>
                </a:pPr>
                <a:r>
                  <a:rPr lang="en-US" sz="1200"/>
                  <a:t>Počet odehraných zápasů</a:t>
                </a:r>
              </a:p>
            </c:rich>
          </c:tx>
          <c:overlay val="0"/>
        </c:title>
        <c:numFmt formatCode="General" sourceLinked="1"/>
        <c:majorTickMark val="out"/>
        <c:minorTickMark val="none"/>
        <c:tickLblPos val="nextTo"/>
        <c:txPr>
          <a:bodyPr/>
          <a:lstStyle/>
          <a:p>
            <a:pPr>
              <a:defRPr sz="1200"/>
            </a:pPr>
            <a:endParaRPr lang="cs-CZ"/>
          </a:p>
        </c:txPr>
        <c:crossAx val="103039744"/>
        <c:crosses val="autoZero"/>
        <c:crossBetween val="midCat"/>
        <c:majorUnit val="1"/>
      </c:valAx>
      <c:valAx>
        <c:axId val="103039744"/>
        <c:scaling>
          <c:orientation val="maxMin"/>
          <c:max val="14"/>
          <c:min val="1"/>
        </c:scaling>
        <c:delete val="0"/>
        <c:axPos val="l"/>
        <c:majorGridlines>
          <c:spPr>
            <a:ln>
              <a:solidFill>
                <a:schemeClr val="tx1"/>
              </a:solidFill>
            </a:ln>
          </c:spPr>
        </c:majorGridlines>
        <c:title>
          <c:tx>
            <c:rich>
              <a:bodyPr rot="-5400000" vert="horz"/>
              <a:lstStyle/>
              <a:p>
                <a:pPr>
                  <a:defRPr sz="1200">
                    <a:solidFill>
                      <a:srgbClr val="0070C0"/>
                    </a:solidFill>
                  </a:defRPr>
                </a:pPr>
                <a:r>
                  <a:rPr lang="en-US" sz="1200">
                    <a:solidFill>
                      <a:srgbClr val="0070C0"/>
                    </a:solidFill>
                  </a:rPr>
                  <a:t>Umístění</a:t>
                </a:r>
              </a:p>
            </c:rich>
          </c:tx>
          <c:overlay val="0"/>
        </c:title>
        <c:numFmt formatCode="General" sourceLinked="1"/>
        <c:majorTickMark val="out"/>
        <c:minorTickMark val="none"/>
        <c:tickLblPos val="nextTo"/>
        <c:txPr>
          <a:bodyPr/>
          <a:lstStyle/>
          <a:p>
            <a:pPr>
              <a:defRPr sz="1200" b="1">
                <a:solidFill>
                  <a:srgbClr val="0070C0"/>
                </a:solidFill>
              </a:defRPr>
            </a:pPr>
            <a:endParaRPr lang="cs-CZ"/>
          </a:p>
        </c:txPr>
        <c:crossAx val="103016704"/>
        <c:crosses val="autoZero"/>
        <c:crossBetween val="midCat"/>
        <c:majorUnit val="1"/>
      </c:valAx>
    </c:plotArea>
    <c:legend>
      <c:legendPos val="b"/>
      <c:overlay val="0"/>
      <c:txPr>
        <a:bodyPr/>
        <a:lstStyle/>
        <a:p>
          <a:pPr>
            <a:defRPr sz="1200"/>
          </a:pPr>
          <a:endParaRPr lang="cs-CZ"/>
        </a:p>
      </c:txPr>
    </c:legend>
    <c:plotVisOnly val="1"/>
    <c:dispBlanksAs val="gap"/>
    <c:showDLblsOverMax val="0"/>
  </c:chart>
  <c:printSettings>
    <c:headerFooter/>
    <c:pageMargins b="0.78740157499999996" l="0.70000000000000062" r="0.70000000000000062" t="0.7874015749999999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smoothMarker"/>
        <c:varyColors val="0"/>
        <c:ser>
          <c:idx val="1"/>
          <c:order val="0"/>
          <c:tx>
            <c:strRef>
              <c:f>'Výsledky a statistiky 18-19'!$N$2</c:f>
              <c:strCache>
                <c:ptCount val="1"/>
                <c:pt idx="0">
                  <c:v>Tabulka pravdy</c:v>
                </c:pt>
              </c:strCache>
            </c:strRef>
          </c:tx>
          <c:marker>
            <c:symbol val="none"/>
          </c:marker>
          <c:xVal>
            <c:numRef>
              <c:f>'Výsledky a statistiky 18-19'!$B$3:$B$54</c:f>
              <c:numCache>
                <c:formatCode>General</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xVal>
          <c:yVal>
            <c:numRef>
              <c:f>'Výsledky a statistiky 18-19'!$N$3:$N$60</c:f>
              <c:numCache>
                <c:formatCode>General</c:formatCode>
                <c:ptCount val="58"/>
                <c:pt idx="0">
                  <c:v>3</c:v>
                </c:pt>
                <c:pt idx="1">
                  <c:v>3</c:v>
                </c:pt>
                <c:pt idx="2">
                  <c:v>6</c:v>
                </c:pt>
                <c:pt idx="3">
                  <c:v>6</c:v>
                </c:pt>
                <c:pt idx="4">
                  <c:v>8</c:v>
                </c:pt>
                <c:pt idx="5">
                  <c:v>8</c:v>
                </c:pt>
                <c:pt idx="6">
                  <c:v>5</c:v>
                </c:pt>
                <c:pt idx="7">
                  <c:v>5</c:v>
                </c:pt>
                <c:pt idx="8">
                  <c:v>5</c:v>
                </c:pt>
                <c:pt idx="9">
                  <c:v>5</c:v>
                </c:pt>
                <c:pt idx="10">
                  <c:v>2</c:v>
                </c:pt>
                <c:pt idx="11">
                  <c:v>2</c:v>
                </c:pt>
                <c:pt idx="12">
                  <c:v>5</c:v>
                </c:pt>
                <c:pt idx="13">
                  <c:v>5</c:v>
                </c:pt>
                <c:pt idx="14">
                  <c:v>2</c:v>
                </c:pt>
                <c:pt idx="15">
                  <c:v>2</c:v>
                </c:pt>
                <c:pt idx="16">
                  <c:v>-1</c:v>
                </c:pt>
                <c:pt idx="17">
                  <c:v>1</c:v>
                </c:pt>
                <c:pt idx="18">
                  <c:v>1</c:v>
                </c:pt>
                <c:pt idx="19">
                  <c:v>1</c:v>
                </c:pt>
                <c:pt idx="20">
                  <c:v>1</c:v>
                </c:pt>
                <c:pt idx="21">
                  <c:v>1</c:v>
                </c:pt>
                <c:pt idx="22">
                  <c:v>-2</c:v>
                </c:pt>
                <c:pt idx="23">
                  <c:v>-2</c:v>
                </c:pt>
                <c:pt idx="24">
                  <c:v>-4</c:v>
                </c:pt>
                <c:pt idx="25">
                  <c:v>-1</c:v>
                </c:pt>
                <c:pt idx="26">
                  <c:v>-1</c:v>
                </c:pt>
                <c:pt idx="27">
                  <c:v>-1</c:v>
                </c:pt>
                <c:pt idx="28">
                  <c:v>2</c:v>
                </c:pt>
                <c:pt idx="29">
                  <c:v>-1</c:v>
                </c:pt>
                <c:pt idx="30">
                  <c:v>2</c:v>
                </c:pt>
                <c:pt idx="31">
                  <c:v>-1</c:v>
                </c:pt>
                <c:pt idx="32">
                  <c:v>-1</c:v>
                </c:pt>
                <c:pt idx="33">
                  <c:v>-4</c:v>
                </c:pt>
                <c:pt idx="34">
                  <c:v>-1</c:v>
                </c:pt>
                <c:pt idx="35">
                  <c:v>2</c:v>
                </c:pt>
                <c:pt idx="36">
                  <c:v>-1</c:v>
                </c:pt>
                <c:pt idx="37">
                  <c:v>-1</c:v>
                </c:pt>
                <c:pt idx="38">
                  <c:v>-1</c:v>
                </c:pt>
                <c:pt idx="39">
                  <c:v>-4</c:v>
                </c:pt>
                <c:pt idx="40">
                  <c:v>-2</c:v>
                </c:pt>
                <c:pt idx="41">
                  <c:v>-2</c:v>
                </c:pt>
                <c:pt idx="42">
                  <c:v>-2</c:v>
                </c:pt>
                <c:pt idx="43">
                  <c:v>-3</c:v>
                </c:pt>
                <c:pt idx="44">
                  <c:v>-1</c:v>
                </c:pt>
                <c:pt idx="45">
                  <c:v>-4</c:v>
                </c:pt>
                <c:pt idx="46">
                  <c:v>-4</c:v>
                </c:pt>
                <c:pt idx="47">
                  <c:v>-7</c:v>
                </c:pt>
                <c:pt idx="48">
                  <c:v>-7</c:v>
                </c:pt>
                <c:pt idx="49">
                  <c:v>-7</c:v>
                </c:pt>
                <c:pt idx="50">
                  <c:v>-7</c:v>
                </c:pt>
                <c:pt idx="51">
                  <c:v>-7</c:v>
                </c:pt>
                <c:pt idx="52">
                  <c:v>-7</c:v>
                </c:pt>
                <c:pt idx="53">
                  <c:v>-4</c:v>
                </c:pt>
                <c:pt idx="54">
                  <c:v>-7</c:v>
                </c:pt>
                <c:pt idx="55">
                  <c:v>-5</c:v>
                </c:pt>
                <c:pt idx="56">
                  <c:v>-2</c:v>
                </c:pt>
                <c:pt idx="57">
                  <c:v>-2</c:v>
                </c:pt>
              </c:numCache>
            </c:numRef>
          </c:yVal>
          <c:smooth val="1"/>
          <c:extLst>
            <c:ext xmlns:c16="http://schemas.microsoft.com/office/drawing/2014/chart" uri="{C3380CC4-5D6E-409C-BE32-E72D297353CC}">
              <c16:uniqueId val="{00000000-2C8D-4561-934F-DB6806499AAF}"/>
            </c:ext>
          </c:extLst>
        </c:ser>
        <c:dLbls>
          <c:showLegendKey val="0"/>
          <c:showVal val="0"/>
          <c:showCatName val="0"/>
          <c:showSerName val="0"/>
          <c:showPercent val="0"/>
          <c:showBubbleSize val="0"/>
        </c:dLbls>
        <c:axId val="103023360"/>
        <c:axId val="103025280"/>
      </c:scatterChart>
      <c:valAx>
        <c:axId val="103023360"/>
        <c:scaling>
          <c:orientation val="minMax"/>
          <c:max val="58"/>
          <c:min val="1"/>
        </c:scaling>
        <c:delete val="0"/>
        <c:axPos val="b"/>
        <c:majorGridlines/>
        <c:title>
          <c:tx>
            <c:rich>
              <a:bodyPr/>
              <a:lstStyle/>
              <a:p>
                <a:pPr>
                  <a:defRPr sz="1200"/>
                </a:pPr>
                <a:r>
                  <a:rPr lang="en-US" sz="1200"/>
                  <a:t>Počet odehraných zápasů</a:t>
                </a:r>
              </a:p>
            </c:rich>
          </c:tx>
          <c:overlay val="0"/>
        </c:title>
        <c:numFmt formatCode="General" sourceLinked="1"/>
        <c:majorTickMark val="out"/>
        <c:minorTickMark val="none"/>
        <c:tickLblPos val="nextTo"/>
        <c:txPr>
          <a:bodyPr/>
          <a:lstStyle/>
          <a:p>
            <a:pPr>
              <a:defRPr sz="1200"/>
            </a:pPr>
            <a:endParaRPr lang="cs-CZ"/>
          </a:p>
        </c:txPr>
        <c:crossAx val="103025280"/>
        <c:crosses val="autoZero"/>
        <c:crossBetween val="midCat"/>
        <c:majorUnit val="1"/>
      </c:valAx>
      <c:valAx>
        <c:axId val="103025280"/>
        <c:scaling>
          <c:orientation val="minMax"/>
        </c:scaling>
        <c:delete val="0"/>
        <c:axPos val="l"/>
        <c:majorGridlines>
          <c:spPr>
            <a:ln>
              <a:solidFill>
                <a:schemeClr val="accent1"/>
              </a:solidFill>
            </a:ln>
          </c:spPr>
        </c:majorGridlines>
        <c:title>
          <c:tx>
            <c:rich>
              <a:bodyPr rot="-5400000" vert="horz"/>
              <a:lstStyle/>
              <a:p>
                <a:pPr>
                  <a:defRPr sz="1200"/>
                </a:pPr>
                <a:r>
                  <a:rPr lang="cs-CZ" sz="1200"/>
                  <a:t>T</a:t>
                </a:r>
                <a:r>
                  <a:rPr lang="en-US" sz="1200"/>
                  <a:t>abulka pravdy</a:t>
                </a:r>
              </a:p>
            </c:rich>
          </c:tx>
          <c:overlay val="0"/>
        </c:title>
        <c:numFmt formatCode="General" sourceLinked="1"/>
        <c:majorTickMark val="out"/>
        <c:minorTickMark val="none"/>
        <c:tickLblPos val="nextTo"/>
        <c:txPr>
          <a:bodyPr/>
          <a:lstStyle/>
          <a:p>
            <a:pPr>
              <a:defRPr sz="1200"/>
            </a:pPr>
            <a:endParaRPr lang="cs-CZ"/>
          </a:p>
        </c:txPr>
        <c:crossAx val="103023360"/>
        <c:crosses val="autoZero"/>
        <c:crossBetween val="midCat"/>
      </c:valAx>
    </c:plotArea>
    <c:plotVisOnly val="1"/>
    <c:dispBlanksAs val="gap"/>
    <c:showDLblsOverMax val="0"/>
  </c:chart>
  <c:printSettings>
    <c:headerFooter/>
    <c:pageMargins b="0.78740157499999996" l="0.70000000000000062" r="0.70000000000000062" t="0.78740157499999996"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cs-CZ"/>
              <a:t>Získané body</a:t>
            </a:r>
            <a:endParaRPr lang="en-US"/>
          </a:p>
        </c:rich>
      </c:tx>
      <c:overlay val="0"/>
    </c:title>
    <c:autoTitleDeleted val="0"/>
    <c:plotArea>
      <c:layout/>
      <c:scatterChart>
        <c:scatterStyle val="smoothMarker"/>
        <c:varyColors val="0"/>
        <c:ser>
          <c:idx val="2"/>
          <c:order val="0"/>
          <c:tx>
            <c:strRef>
              <c:f>'Výsledky a statistiky 18-19'!$O$2</c:f>
              <c:strCache>
                <c:ptCount val="1"/>
                <c:pt idx="0">
                  <c:v>Bodů celkově</c:v>
                </c:pt>
              </c:strCache>
            </c:strRef>
          </c:tx>
          <c:marker>
            <c:symbol val="none"/>
          </c:marker>
          <c:xVal>
            <c:numRef>
              <c:f>'Výsledky a statistiky 18-19'!$B$3:$B$60</c:f>
              <c:numCache>
                <c:formatCode>General</c:formatCode>
                <c:ptCount val="5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numCache>
            </c:numRef>
          </c:xVal>
          <c:yVal>
            <c:numRef>
              <c:f>'Výsledky a statistiky 18-19'!$O$3:$O$60</c:f>
              <c:numCache>
                <c:formatCode>General</c:formatCode>
                <c:ptCount val="58"/>
                <c:pt idx="0">
                  <c:v>3</c:v>
                </c:pt>
                <c:pt idx="1">
                  <c:v>6</c:v>
                </c:pt>
                <c:pt idx="2">
                  <c:v>9</c:v>
                </c:pt>
                <c:pt idx="3">
                  <c:v>12</c:v>
                </c:pt>
                <c:pt idx="4">
                  <c:v>14</c:v>
                </c:pt>
                <c:pt idx="5">
                  <c:v>17</c:v>
                </c:pt>
                <c:pt idx="6">
                  <c:v>17</c:v>
                </c:pt>
                <c:pt idx="7">
                  <c:v>20</c:v>
                </c:pt>
                <c:pt idx="8">
                  <c:v>20</c:v>
                </c:pt>
                <c:pt idx="9">
                  <c:v>20</c:v>
                </c:pt>
                <c:pt idx="10">
                  <c:v>20</c:v>
                </c:pt>
                <c:pt idx="11">
                  <c:v>20</c:v>
                </c:pt>
                <c:pt idx="12">
                  <c:v>23</c:v>
                </c:pt>
                <c:pt idx="13">
                  <c:v>26</c:v>
                </c:pt>
                <c:pt idx="14">
                  <c:v>26</c:v>
                </c:pt>
                <c:pt idx="15">
                  <c:v>26</c:v>
                </c:pt>
                <c:pt idx="16">
                  <c:v>26</c:v>
                </c:pt>
                <c:pt idx="17">
                  <c:v>28</c:v>
                </c:pt>
                <c:pt idx="18">
                  <c:v>31</c:v>
                </c:pt>
                <c:pt idx="19">
                  <c:v>31</c:v>
                </c:pt>
                <c:pt idx="20">
                  <c:v>31</c:v>
                </c:pt>
                <c:pt idx="21">
                  <c:v>31</c:v>
                </c:pt>
                <c:pt idx="22">
                  <c:v>31</c:v>
                </c:pt>
                <c:pt idx="23">
                  <c:v>34</c:v>
                </c:pt>
                <c:pt idx="24">
                  <c:v>35</c:v>
                </c:pt>
                <c:pt idx="25">
                  <c:v>38</c:v>
                </c:pt>
                <c:pt idx="26">
                  <c:v>38</c:v>
                </c:pt>
                <c:pt idx="27">
                  <c:v>41</c:v>
                </c:pt>
                <c:pt idx="28">
                  <c:v>44</c:v>
                </c:pt>
                <c:pt idx="29">
                  <c:v>44</c:v>
                </c:pt>
                <c:pt idx="30">
                  <c:v>47</c:v>
                </c:pt>
                <c:pt idx="31">
                  <c:v>47</c:v>
                </c:pt>
                <c:pt idx="32">
                  <c:v>47</c:v>
                </c:pt>
                <c:pt idx="33">
                  <c:v>47</c:v>
                </c:pt>
                <c:pt idx="34">
                  <c:v>50</c:v>
                </c:pt>
                <c:pt idx="35">
                  <c:v>53</c:v>
                </c:pt>
                <c:pt idx="36">
                  <c:v>53</c:v>
                </c:pt>
                <c:pt idx="37">
                  <c:v>53</c:v>
                </c:pt>
                <c:pt idx="38">
                  <c:v>56</c:v>
                </c:pt>
                <c:pt idx="39">
                  <c:v>56</c:v>
                </c:pt>
                <c:pt idx="40">
                  <c:v>58</c:v>
                </c:pt>
                <c:pt idx="41">
                  <c:v>61</c:v>
                </c:pt>
                <c:pt idx="42">
                  <c:v>61</c:v>
                </c:pt>
                <c:pt idx="43">
                  <c:v>63</c:v>
                </c:pt>
                <c:pt idx="44">
                  <c:v>65</c:v>
                </c:pt>
                <c:pt idx="45">
                  <c:v>65</c:v>
                </c:pt>
                <c:pt idx="46">
                  <c:v>65</c:v>
                </c:pt>
                <c:pt idx="47">
                  <c:v>65</c:v>
                </c:pt>
                <c:pt idx="48">
                  <c:v>68</c:v>
                </c:pt>
                <c:pt idx="49">
                  <c:v>68</c:v>
                </c:pt>
                <c:pt idx="50">
                  <c:v>71</c:v>
                </c:pt>
                <c:pt idx="51">
                  <c:v>71</c:v>
                </c:pt>
                <c:pt idx="52">
                  <c:v>74</c:v>
                </c:pt>
                <c:pt idx="53">
                  <c:v>77</c:v>
                </c:pt>
                <c:pt idx="54">
                  <c:v>77</c:v>
                </c:pt>
                <c:pt idx="55">
                  <c:v>79</c:v>
                </c:pt>
                <c:pt idx="56">
                  <c:v>82</c:v>
                </c:pt>
                <c:pt idx="57">
                  <c:v>85</c:v>
                </c:pt>
              </c:numCache>
            </c:numRef>
          </c:yVal>
          <c:smooth val="1"/>
          <c:extLst>
            <c:ext xmlns:c16="http://schemas.microsoft.com/office/drawing/2014/chart" uri="{C3380CC4-5D6E-409C-BE32-E72D297353CC}">
              <c16:uniqueId val="{00000000-07CD-4E3F-93CC-AABC84554CAF}"/>
            </c:ext>
          </c:extLst>
        </c:ser>
        <c:dLbls>
          <c:showLegendKey val="0"/>
          <c:showVal val="0"/>
          <c:showCatName val="0"/>
          <c:showSerName val="0"/>
          <c:showPercent val="0"/>
          <c:showBubbleSize val="0"/>
        </c:dLbls>
        <c:axId val="103078144"/>
        <c:axId val="103702912"/>
      </c:scatterChart>
      <c:valAx>
        <c:axId val="103078144"/>
        <c:scaling>
          <c:orientation val="minMax"/>
          <c:max val="58"/>
          <c:min val="1"/>
        </c:scaling>
        <c:delete val="0"/>
        <c:axPos val="b"/>
        <c:majorGridlines/>
        <c:title>
          <c:tx>
            <c:rich>
              <a:bodyPr/>
              <a:lstStyle/>
              <a:p>
                <a:pPr>
                  <a:defRPr sz="1200"/>
                </a:pPr>
                <a:r>
                  <a:rPr lang="en-US" sz="1200"/>
                  <a:t>Počet odehraných zápasů</a:t>
                </a:r>
              </a:p>
            </c:rich>
          </c:tx>
          <c:overlay val="0"/>
        </c:title>
        <c:numFmt formatCode="General" sourceLinked="1"/>
        <c:majorTickMark val="out"/>
        <c:minorTickMark val="none"/>
        <c:tickLblPos val="nextTo"/>
        <c:txPr>
          <a:bodyPr/>
          <a:lstStyle/>
          <a:p>
            <a:pPr>
              <a:defRPr sz="1200"/>
            </a:pPr>
            <a:endParaRPr lang="cs-CZ"/>
          </a:p>
        </c:txPr>
        <c:crossAx val="103702912"/>
        <c:crosses val="autoZero"/>
        <c:crossBetween val="midCat"/>
        <c:majorUnit val="1"/>
      </c:valAx>
      <c:valAx>
        <c:axId val="103702912"/>
        <c:scaling>
          <c:orientation val="minMax"/>
          <c:max val="90"/>
          <c:min val="0"/>
        </c:scaling>
        <c:delete val="0"/>
        <c:axPos val="l"/>
        <c:majorGridlines>
          <c:spPr>
            <a:ln>
              <a:solidFill>
                <a:schemeClr val="tx1"/>
              </a:solidFill>
            </a:ln>
          </c:spPr>
        </c:majorGridlines>
        <c:title>
          <c:tx>
            <c:rich>
              <a:bodyPr rot="-5400000" vert="horz"/>
              <a:lstStyle/>
              <a:p>
                <a:pPr>
                  <a:defRPr sz="1200">
                    <a:solidFill>
                      <a:srgbClr val="00B050"/>
                    </a:solidFill>
                  </a:defRPr>
                </a:pPr>
                <a:r>
                  <a:rPr lang="cs-CZ" sz="1200">
                    <a:solidFill>
                      <a:srgbClr val="00B050"/>
                    </a:solidFill>
                  </a:rPr>
                  <a:t>Body</a:t>
                </a:r>
                <a:endParaRPr lang="en-US" sz="1200">
                  <a:solidFill>
                    <a:srgbClr val="00B050"/>
                  </a:solidFill>
                </a:endParaRPr>
              </a:p>
            </c:rich>
          </c:tx>
          <c:overlay val="0"/>
        </c:title>
        <c:numFmt formatCode="General" sourceLinked="1"/>
        <c:majorTickMark val="out"/>
        <c:minorTickMark val="none"/>
        <c:tickLblPos val="nextTo"/>
        <c:txPr>
          <a:bodyPr/>
          <a:lstStyle/>
          <a:p>
            <a:pPr>
              <a:defRPr sz="1200" b="1">
                <a:solidFill>
                  <a:srgbClr val="00B050"/>
                </a:solidFill>
              </a:defRPr>
            </a:pPr>
            <a:endParaRPr lang="cs-CZ"/>
          </a:p>
        </c:txPr>
        <c:crossAx val="103078144"/>
        <c:crosses val="autoZero"/>
        <c:crossBetween val="midCat"/>
        <c:majorUnit val="5"/>
      </c:valAx>
    </c:plotArea>
    <c:plotVisOnly val="1"/>
    <c:dispBlanksAs val="gap"/>
    <c:showDLblsOverMax val="0"/>
  </c:chart>
  <c:printSettings>
    <c:headerFooter/>
    <c:pageMargins b="0.78740157499999996" l="0.70000000000000062" r="0.70000000000000062" t="0.78740157499999996"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smoothMarker"/>
        <c:varyColors val="0"/>
        <c:ser>
          <c:idx val="1"/>
          <c:order val="0"/>
          <c:tx>
            <c:strRef>
              <c:f>'Výsledky a statistiky 19-20'!$N$2</c:f>
              <c:strCache>
                <c:ptCount val="1"/>
                <c:pt idx="0">
                  <c:v>Tabulka pravdy</c:v>
                </c:pt>
              </c:strCache>
            </c:strRef>
          </c:tx>
          <c:marker>
            <c:symbol val="none"/>
          </c:marker>
          <c:xVal>
            <c:numRef>
              <c:f>'Výsledky a statistiky 19-20'!$B$3:$B$54</c:f>
              <c:numCache>
                <c:formatCode>General</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xVal>
          <c:yVal>
            <c:numRef>
              <c:f>'Výsledky a statistiky 19-20'!$N$3:$N$54</c:f>
              <c:numCache>
                <c:formatCode>General</c:formatCode>
                <c:ptCount val="52"/>
                <c:pt idx="0">
                  <c:v>0</c:v>
                </c:pt>
                <c:pt idx="1">
                  <c:v>0</c:v>
                </c:pt>
                <c:pt idx="2">
                  <c:v>-3</c:v>
                </c:pt>
                <c:pt idx="3">
                  <c:v>-3</c:v>
                </c:pt>
                <c:pt idx="4">
                  <c:v>-6</c:v>
                </c:pt>
                <c:pt idx="5">
                  <c:v>-6</c:v>
                </c:pt>
                <c:pt idx="6">
                  <c:v>-6</c:v>
                </c:pt>
                <c:pt idx="7">
                  <c:v>-5</c:v>
                </c:pt>
                <c:pt idx="8">
                  <c:v>-5</c:v>
                </c:pt>
                <c:pt idx="9">
                  <c:v>-4</c:v>
                </c:pt>
                <c:pt idx="10">
                  <c:v>-4</c:v>
                </c:pt>
                <c:pt idx="11">
                  <c:v>-7</c:v>
                </c:pt>
                <c:pt idx="12">
                  <c:v>-5</c:v>
                </c:pt>
                <c:pt idx="13">
                  <c:v>-4</c:v>
                </c:pt>
                <c:pt idx="14">
                  <c:v>-7</c:v>
                </c:pt>
                <c:pt idx="15">
                  <c:v>-4</c:v>
                </c:pt>
                <c:pt idx="16">
                  <c:v>-4</c:v>
                </c:pt>
                <c:pt idx="17">
                  <c:v>-4</c:v>
                </c:pt>
                <c:pt idx="18">
                  <c:v>-6</c:v>
                </c:pt>
                <c:pt idx="19">
                  <c:v>-9</c:v>
                </c:pt>
                <c:pt idx="20">
                  <c:v>-9</c:v>
                </c:pt>
                <c:pt idx="21">
                  <c:v>-9</c:v>
                </c:pt>
                <c:pt idx="22">
                  <c:v>-9</c:v>
                </c:pt>
                <c:pt idx="23">
                  <c:v>-9</c:v>
                </c:pt>
                <c:pt idx="24">
                  <c:v>-6</c:v>
                </c:pt>
                <c:pt idx="25">
                  <c:v>-6</c:v>
                </c:pt>
                <c:pt idx="26">
                  <c:v>-6</c:v>
                </c:pt>
                <c:pt idx="27">
                  <c:v>-6</c:v>
                </c:pt>
                <c:pt idx="28">
                  <c:v>-6</c:v>
                </c:pt>
                <c:pt idx="29">
                  <c:v>-7</c:v>
                </c:pt>
                <c:pt idx="30">
                  <c:v>-10</c:v>
                </c:pt>
                <c:pt idx="31">
                  <c:v>-10</c:v>
                </c:pt>
                <c:pt idx="32">
                  <c:v>-13</c:v>
                </c:pt>
                <c:pt idx="33">
                  <c:v>-12</c:v>
                </c:pt>
                <c:pt idx="34">
                  <c:v>-15</c:v>
                </c:pt>
                <c:pt idx="35">
                  <c:v>-15</c:v>
                </c:pt>
                <c:pt idx="36">
                  <c:v>-18</c:v>
                </c:pt>
                <c:pt idx="37">
                  <c:v>-15</c:v>
                </c:pt>
                <c:pt idx="38">
                  <c:v>-14</c:v>
                </c:pt>
                <c:pt idx="39">
                  <c:v>-14</c:v>
                </c:pt>
                <c:pt idx="40">
                  <c:v>-11</c:v>
                </c:pt>
                <c:pt idx="41">
                  <c:v>-14</c:v>
                </c:pt>
                <c:pt idx="42">
                  <c:v>-13</c:v>
                </c:pt>
                <c:pt idx="43">
                  <c:v>-15</c:v>
                </c:pt>
                <c:pt idx="44">
                  <c:v>-15</c:v>
                </c:pt>
                <c:pt idx="45">
                  <c:v>-13</c:v>
                </c:pt>
                <c:pt idx="46">
                  <c:v>-13</c:v>
                </c:pt>
                <c:pt idx="47">
                  <c:v>-16</c:v>
                </c:pt>
                <c:pt idx="48">
                  <c:v>-15</c:v>
                </c:pt>
                <c:pt idx="49">
                  <c:v>-15</c:v>
                </c:pt>
                <c:pt idx="50">
                  <c:v>-15</c:v>
                </c:pt>
                <c:pt idx="51">
                  <c:v>-15</c:v>
                </c:pt>
              </c:numCache>
            </c:numRef>
          </c:yVal>
          <c:smooth val="1"/>
          <c:extLst>
            <c:ext xmlns:c16="http://schemas.microsoft.com/office/drawing/2014/chart" uri="{C3380CC4-5D6E-409C-BE32-E72D297353CC}">
              <c16:uniqueId val="{00000000-63F0-4E4B-ABDD-293EAB3C4F52}"/>
            </c:ext>
          </c:extLst>
        </c:ser>
        <c:dLbls>
          <c:showLegendKey val="0"/>
          <c:showVal val="0"/>
          <c:showCatName val="0"/>
          <c:showSerName val="0"/>
          <c:showPercent val="0"/>
          <c:showBubbleSize val="0"/>
        </c:dLbls>
        <c:axId val="103981440"/>
        <c:axId val="103983360"/>
      </c:scatterChart>
      <c:valAx>
        <c:axId val="103981440"/>
        <c:scaling>
          <c:orientation val="minMax"/>
          <c:max val="52"/>
          <c:min val="1"/>
        </c:scaling>
        <c:delete val="0"/>
        <c:axPos val="b"/>
        <c:majorGridlines/>
        <c:title>
          <c:tx>
            <c:rich>
              <a:bodyPr/>
              <a:lstStyle/>
              <a:p>
                <a:pPr>
                  <a:defRPr sz="1200"/>
                </a:pPr>
                <a:r>
                  <a:rPr lang="en-US" sz="1200"/>
                  <a:t>Počet odehraných zápasů</a:t>
                </a:r>
              </a:p>
            </c:rich>
          </c:tx>
          <c:overlay val="0"/>
        </c:title>
        <c:numFmt formatCode="General" sourceLinked="1"/>
        <c:majorTickMark val="out"/>
        <c:minorTickMark val="none"/>
        <c:tickLblPos val="nextTo"/>
        <c:txPr>
          <a:bodyPr/>
          <a:lstStyle/>
          <a:p>
            <a:pPr>
              <a:defRPr sz="1200"/>
            </a:pPr>
            <a:endParaRPr lang="cs-CZ"/>
          </a:p>
        </c:txPr>
        <c:crossAx val="103983360"/>
        <c:crosses val="autoZero"/>
        <c:crossBetween val="midCat"/>
        <c:majorUnit val="1"/>
      </c:valAx>
      <c:valAx>
        <c:axId val="103983360"/>
        <c:scaling>
          <c:orientation val="minMax"/>
        </c:scaling>
        <c:delete val="0"/>
        <c:axPos val="l"/>
        <c:majorGridlines>
          <c:spPr>
            <a:ln>
              <a:solidFill>
                <a:schemeClr val="accent1"/>
              </a:solidFill>
            </a:ln>
          </c:spPr>
        </c:majorGridlines>
        <c:title>
          <c:tx>
            <c:rich>
              <a:bodyPr rot="-5400000" vert="horz"/>
              <a:lstStyle/>
              <a:p>
                <a:pPr>
                  <a:defRPr sz="1200"/>
                </a:pPr>
                <a:r>
                  <a:rPr lang="cs-CZ" sz="1200"/>
                  <a:t>T</a:t>
                </a:r>
                <a:r>
                  <a:rPr lang="en-US" sz="1200"/>
                  <a:t>abulka pravdy</a:t>
                </a:r>
              </a:p>
            </c:rich>
          </c:tx>
          <c:overlay val="0"/>
        </c:title>
        <c:numFmt formatCode="General" sourceLinked="1"/>
        <c:majorTickMark val="out"/>
        <c:minorTickMark val="none"/>
        <c:tickLblPos val="nextTo"/>
        <c:txPr>
          <a:bodyPr/>
          <a:lstStyle/>
          <a:p>
            <a:pPr>
              <a:defRPr sz="1200"/>
            </a:pPr>
            <a:endParaRPr lang="cs-CZ"/>
          </a:p>
        </c:txPr>
        <c:crossAx val="103981440"/>
        <c:crosses val="autoZero"/>
        <c:crossBetween val="midCat"/>
        <c:majorUnit val="3"/>
      </c:valAx>
    </c:plotArea>
    <c:plotVisOnly val="1"/>
    <c:dispBlanksAs val="gap"/>
    <c:showDLblsOverMax val="0"/>
  </c:chart>
  <c:printSettings>
    <c:headerFooter/>
    <c:pageMargins b="0.78740157499999996" l="0.70000000000000062" r="0.70000000000000062" t="0.78740157499999996"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cs-CZ"/>
              <a:t>Získané body</a:t>
            </a:r>
            <a:endParaRPr lang="en-US"/>
          </a:p>
        </c:rich>
      </c:tx>
      <c:overlay val="0"/>
    </c:title>
    <c:autoTitleDeleted val="0"/>
    <c:plotArea>
      <c:layout/>
      <c:scatterChart>
        <c:scatterStyle val="smoothMarker"/>
        <c:varyColors val="0"/>
        <c:ser>
          <c:idx val="2"/>
          <c:order val="0"/>
          <c:tx>
            <c:strRef>
              <c:f>'Výsledky a statistiky 19-20'!$O$2</c:f>
              <c:strCache>
                <c:ptCount val="1"/>
                <c:pt idx="0">
                  <c:v>Bodů celkově</c:v>
                </c:pt>
              </c:strCache>
            </c:strRef>
          </c:tx>
          <c:marker>
            <c:symbol val="none"/>
          </c:marker>
          <c:xVal>
            <c:numRef>
              <c:f>'Výsledky a statistiky 19-20'!$B$3:$B$54</c:f>
              <c:numCache>
                <c:formatCode>General</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xVal>
          <c:yVal>
            <c:numRef>
              <c:f>'Výsledky a statistiky 19-20'!$O$3:$O$54</c:f>
              <c:numCache>
                <c:formatCode>General</c:formatCode>
                <c:ptCount val="52"/>
                <c:pt idx="0">
                  <c:v>3</c:v>
                </c:pt>
                <c:pt idx="1">
                  <c:v>3</c:v>
                </c:pt>
                <c:pt idx="2">
                  <c:v>3</c:v>
                </c:pt>
                <c:pt idx="3">
                  <c:v>3</c:v>
                </c:pt>
                <c:pt idx="4">
                  <c:v>3</c:v>
                </c:pt>
                <c:pt idx="5">
                  <c:v>3</c:v>
                </c:pt>
                <c:pt idx="6">
                  <c:v>6</c:v>
                </c:pt>
                <c:pt idx="7">
                  <c:v>7</c:v>
                </c:pt>
                <c:pt idx="8">
                  <c:v>10</c:v>
                </c:pt>
                <c:pt idx="9">
                  <c:v>11</c:v>
                </c:pt>
                <c:pt idx="10">
                  <c:v>11</c:v>
                </c:pt>
                <c:pt idx="11">
                  <c:v>11</c:v>
                </c:pt>
                <c:pt idx="12">
                  <c:v>13</c:v>
                </c:pt>
                <c:pt idx="13">
                  <c:v>14</c:v>
                </c:pt>
                <c:pt idx="14">
                  <c:v>14</c:v>
                </c:pt>
                <c:pt idx="15">
                  <c:v>17</c:v>
                </c:pt>
                <c:pt idx="16">
                  <c:v>17</c:v>
                </c:pt>
                <c:pt idx="17">
                  <c:v>17</c:v>
                </c:pt>
                <c:pt idx="18">
                  <c:v>18</c:v>
                </c:pt>
                <c:pt idx="19">
                  <c:v>18</c:v>
                </c:pt>
                <c:pt idx="20">
                  <c:v>18</c:v>
                </c:pt>
                <c:pt idx="21">
                  <c:v>21</c:v>
                </c:pt>
                <c:pt idx="22">
                  <c:v>21</c:v>
                </c:pt>
                <c:pt idx="23">
                  <c:v>24</c:v>
                </c:pt>
                <c:pt idx="24">
                  <c:v>27</c:v>
                </c:pt>
                <c:pt idx="25">
                  <c:v>27</c:v>
                </c:pt>
                <c:pt idx="26">
                  <c:v>30</c:v>
                </c:pt>
                <c:pt idx="27">
                  <c:v>33</c:v>
                </c:pt>
                <c:pt idx="28">
                  <c:v>33</c:v>
                </c:pt>
                <c:pt idx="29">
                  <c:v>35</c:v>
                </c:pt>
                <c:pt idx="30">
                  <c:v>35</c:v>
                </c:pt>
                <c:pt idx="31">
                  <c:v>35</c:v>
                </c:pt>
                <c:pt idx="32">
                  <c:v>35</c:v>
                </c:pt>
                <c:pt idx="33">
                  <c:v>36</c:v>
                </c:pt>
                <c:pt idx="34">
                  <c:v>36</c:v>
                </c:pt>
                <c:pt idx="35">
                  <c:v>36</c:v>
                </c:pt>
                <c:pt idx="36">
                  <c:v>36</c:v>
                </c:pt>
                <c:pt idx="37">
                  <c:v>39</c:v>
                </c:pt>
                <c:pt idx="38">
                  <c:v>40</c:v>
                </c:pt>
                <c:pt idx="39">
                  <c:v>43</c:v>
                </c:pt>
                <c:pt idx="40">
                  <c:v>46</c:v>
                </c:pt>
                <c:pt idx="41">
                  <c:v>46</c:v>
                </c:pt>
                <c:pt idx="42">
                  <c:v>47</c:v>
                </c:pt>
                <c:pt idx="43">
                  <c:v>48</c:v>
                </c:pt>
                <c:pt idx="44">
                  <c:v>51</c:v>
                </c:pt>
                <c:pt idx="45">
                  <c:v>53</c:v>
                </c:pt>
                <c:pt idx="46">
                  <c:v>56</c:v>
                </c:pt>
                <c:pt idx="47">
                  <c:v>56</c:v>
                </c:pt>
                <c:pt idx="48">
                  <c:v>57</c:v>
                </c:pt>
                <c:pt idx="49">
                  <c:v>60</c:v>
                </c:pt>
                <c:pt idx="50">
                  <c:v>60</c:v>
                </c:pt>
                <c:pt idx="51">
                  <c:v>63</c:v>
                </c:pt>
              </c:numCache>
            </c:numRef>
          </c:yVal>
          <c:smooth val="1"/>
          <c:extLst>
            <c:ext xmlns:c16="http://schemas.microsoft.com/office/drawing/2014/chart" uri="{C3380CC4-5D6E-409C-BE32-E72D297353CC}">
              <c16:uniqueId val="{00000000-FE25-443B-A520-81B9E3956A69}"/>
            </c:ext>
          </c:extLst>
        </c:ser>
        <c:dLbls>
          <c:showLegendKey val="0"/>
          <c:showVal val="0"/>
          <c:showCatName val="0"/>
          <c:showSerName val="0"/>
          <c:showPercent val="0"/>
          <c:showBubbleSize val="0"/>
        </c:dLbls>
        <c:axId val="103999360"/>
        <c:axId val="104701952"/>
      </c:scatterChart>
      <c:valAx>
        <c:axId val="103999360"/>
        <c:scaling>
          <c:orientation val="minMax"/>
          <c:max val="52"/>
          <c:min val="1"/>
        </c:scaling>
        <c:delete val="0"/>
        <c:axPos val="b"/>
        <c:majorGridlines/>
        <c:title>
          <c:tx>
            <c:rich>
              <a:bodyPr/>
              <a:lstStyle/>
              <a:p>
                <a:pPr>
                  <a:defRPr sz="1200"/>
                </a:pPr>
                <a:r>
                  <a:rPr lang="en-US" sz="1200"/>
                  <a:t>Počet odehraných zápasů</a:t>
                </a:r>
              </a:p>
            </c:rich>
          </c:tx>
          <c:overlay val="0"/>
        </c:title>
        <c:numFmt formatCode="General" sourceLinked="1"/>
        <c:majorTickMark val="out"/>
        <c:minorTickMark val="none"/>
        <c:tickLblPos val="nextTo"/>
        <c:txPr>
          <a:bodyPr/>
          <a:lstStyle/>
          <a:p>
            <a:pPr>
              <a:defRPr sz="1200"/>
            </a:pPr>
            <a:endParaRPr lang="cs-CZ"/>
          </a:p>
        </c:txPr>
        <c:crossAx val="104701952"/>
        <c:crosses val="autoZero"/>
        <c:crossBetween val="midCat"/>
        <c:majorUnit val="1"/>
      </c:valAx>
      <c:valAx>
        <c:axId val="104701952"/>
        <c:scaling>
          <c:orientation val="minMax"/>
          <c:max val="65"/>
          <c:min val="0"/>
        </c:scaling>
        <c:delete val="0"/>
        <c:axPos val="l"/>
        <c:majorGridlines>
          <c:spPr>
            <a:ln>
              <a:solidFill>
                <a:schemeClr val="tx1"/>
              </a:solidFill>
            </a:ln>
          </c:spPr>
        </c:majorGridlines>
        <c:title>
          <c:tx>
            <c:rich>
              <a:bodyPr rot="-5400000" vert="horz"/>
              <a:lstStyle/>
              <a:p>
                <a:pPr>
                  <a:defRPr sz="1200">
                    <a:solidFill>
                      <a:srgbClr val="00B050"/>
                    </a:solidFill>
                  </a:defRPr>
                </a:pPr>
                <a:r>
                  <a:rPr lang="cs-CZ" sz="1200">
                    <a:solidFill>
                      <a:srgbClr val="00B050"/>
                    </a:solidFill>
                  </a:rPr>
                  <a:t>Body</a:t>
                </a:r>
                <a:endParaRPr lang="en-US" sz="1200">
                  <a:solidFill>
                    <a:srgbClr val="00B050"/>
                  </a:solidFill>
                </a:endParaRPr>
              </a:p>
            </c:rich>
          </c:tx>
          <c:overlay val="0"/>
        </c:title>
        <c:numFmt formatCode="General" sourceLinked="1"/>
        <c:majorTickMark val="out"/>
        <c:minorTickMark val="none"/>
        <c:tickLblPos val="nextTo"/>
        <c:txPr>
          <a:bodyPr/>
          <a:lstStyle/>
          <a:p>
            <a:pPr>
              <a:defRPr sz="1200" b="1">
                <a:solidFill>
                  <a:srgbClr val="00B050"/>
                </a:solidFill>
              </a:defRPr>
            </a:pPr>
            <a:endParaRPr lang="cs-CZ"/>
          </a:p>
        </c:txPr>
        <c:crossAx val="103999360"/>
        <c:crosses val="autoZero"/>
        <c:crossBetween val="midCat"/>
        <c:majorUnit val="5"/>
      </c:valAx>
    </c:plotArea>
    <c:plotVisOnly val="1"/>
    <c:dispBlanksAs val="gap"/>
    <c:showDLblsOverMax val="0"/>
  </c:chart>
  <c:printSettings>
    <c:headerFooter/>
    <c:pageMargins b="0.78740157499999996" l="0.70000000000000062" r="0.70000000000000062" t="0.7874015749999999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smoothMarker"/>
        <c:varyColors val="0"/>
        <c:ser>
          <c:idx val="1"/>
          <c:order val="0"/>
          <c:tx>
            <c:strRef>
              <c:f>'Výsledky a statistiky 20-21'!$N$2</c:f>
              <c:strCache>
                <c:ptCount val="1"/>
                <c:pt idx="0">
                  <c:v>Tabulka pravdy</c:v>
                </c:pt>
              </c:strCache>
            </c:strRef>
          </c:tx>
          <c:marker>
            <c:symbol val="none"/>
          </c:marker>
          <c:xVal>
            <c:numRef>
              <c:f>'Výsledky a statistiky 20-21'!$B$3:$B$57</c:f>
              <c:numCache>
                <c:formatCode>General</c:formatCode>
                <c:ptCount val="5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numCache>
            </c:numRef>
          </c:xVal>
          <c:yVal>
            <c:numRef>
              <c:f>'Výsledky a statistiky 20-21'!$N$3:$N$57</c:f>
              <c:numCache>
                <c:formatCode>General</c:formatCode>
                <c:ptCount val="55"/>
                <c:pt idx="0">
                  <c:v>-3</c:v>
                </c:pt>
                <c:pt idx="1">
                  <c:v>-6</c:v>
                </c:pt>
                <c:pt idx="2">
                  <c:v>-9</c:v>
                </c:pt>
                <c:pt idx="3">
                  <c:v>-12</c:v>
                </c:pt>
                <c:pt idx="4">
                  <c:v>-9</c:v>
                </c:pt>
                <c:pt idx="5">
                  <c:v>-8</c:v>
                </c:pt>
                <c:pt idx="6">
                  <c:v>-11</c:v>
                </c:pt>
                <c:pt idx="7">
                  <c:v>-11</c:v>
                </c:pt>
                <c:pt idx="8">
                  <c:v>-9</c:v>
                </c:pt>
                <c:pt idx="9">
                  <c:v>-9</c:v>
                </c:pt>
                <c:pt idx="10">
                  <c:v>-10</c:v>
                </c:pt>
                <c:pt idx="11">
                  <c:v>-10</c:v>
                </c:pt>
                <c:pt idx="12">
                  <c:v>-8</c:v>
                </c:pt>
                <c:pt idx="13">
                  <c:v>-11</c:v>
                </c:pt>
                <c:pt idx="14">
                  <c:v>-11</c:v>
                </c:pt>
                <c:pt idx="15">
                  <c:v>-11</c:v>
                </c:pt>
                <c:pt idx="16">
                  <c:v>-12</c:v>
                </c:pt>
                <c:pt idx="17">
                  <c:v>-9</c:v>
                </c:pt>
                <c:pt idx="18">
                  <c:v>-9</c:v>
                </c:pt>
                <c:pt idx="19">
                  <c:v>-11</c:v>
                </c:pt>
                <c:pt idx="20">
                  <c:v>-13</c:v>
                </c:pt>
                <c:pt idx="21">
                  <c:v>-14</c:v>
                </c:pt>
                <c:pt idx="22">
                  <c:v>-14</c:v>
                </c:pt>
                <c:pt idx="23">
                  <c:v>-17</c:v>
                </c:pt>
                <c:pt idx="24">
                  <c:v>-15</c:v>
                </c:pt>
                <c:pt idx="25">
                  <c:v>-16</c:v>
                </c:pt>
                <c:pt idx="26">
                  <c:v>-13</c:v>
                </c:pt>
                <c:pt idx="27">
                  <c:v>-13</c:v>
                </c:pt>
                <c:pt idx="28">
                  <c:v>-13</c:v>
                </c:pt>
                <c:pt idx="29">
                  <c:v>-13</c:v>
                </c:pt>
                <c:pt idx="30">
                  <c:v>-16</c:v>
                </c:pt>
                <c:pt idx="31">
                  <c:v>-13</c:v>
                </c:pt>
                <c:pt idx="32">
                  <c:v>-16</c:v>
                </c:pt>
                <c:pt idx="33">
                  <c:v>-13</c:v>
                </c:pt>
                <c:pt idx="34">
                  <c:v>-13</c:v>
                </c:pt>
                <c:pt idx="35">
                  <c:v>-13</c:v>
                </c:pt>
                <c:pt idx="36">
                  <c:v>-13</c:v>
                </c:pt>
                <c:pt idx="37">
                  <c:v>-10</c:v>
                </c:pt>
                <c:pt idx="38">
                  <c:v>-13</c:v>
                </c:pt>
                <c:pt idx="39">
                  <c:v>-13</c:v>
                </c:pt>
                <c:pt idx="40">
                  <c:v>-14</c:v>
                </c:pt>
                <c:pt idx="41">
                  <c:v>-13</c:v>
                </c:pt>
                <c:pt idx="42">
                  <c:v>-15</c:v>
                </c:pt>
                <c:pt idx="43">
                  <c:v>-15</c:v>
                </c:pt>
                <c:pt idx="44">
                  <c:v>-18</c:v>
                </c:pt>
                <c:pt idx="45">
                  <c:v>-15</c:v>
                </c:pt>
                <c:pt idx="46">
                  <c:v>-12</c:v>
                </c:pt>
                <c:pt idx="47">
                  <c:v>-9</c:v>
                </c:pt>
                <c:pt idx="48">
                  <c:v>-9</c:v>
                </c:pt>
                <c:pt idx="49">
                  <c:v>-6</c:v>
                </c:pt>
                <c:pt idx="50">
                  <c:v>-6</c:v>
                </c:pt>
                <c:pt idx="51">
                  <c:v>-6</c:v>
                </c:pt>
              </c:numCache>
            </c:numRef>
          </c:yVal>
          <c:smooth val="1"/>
          <c:extLst>
            <c:ext xmlns:c16="http://schemas.microsoft.com/office/drawing/2014/chart" uri="{C3380CC4-5D6E-409C-BE32-E72D297353CC}">
              <c16:uniqueId val="{00000000-9ECF-4323-B831-5F43C1323103}"/>
            </c:ext>
          </c:extLst>
        </c:ser>
        <c:dLbls>
          <c:showLegendKey val="0"/>
          <c:showVal val="0"/>
          <c:showCatName val="0"/>
          <c:showSerName val="0"/>
          <c:showPercent val="0"/>
          <c:showBubbleSize val="0"/>
        </c:dLbls>
        <c:axId val="105078784"/>
        <c:axId val="105080704"/>
      </c:scatterChart>
      <c:valAx>
        <c:axId val="105078784"/>
        <c:scaling>
          <c:orientation val="minMax"/>
          <c:max val="52"/>
          <c:min val="1"/>
        </c:scaling>
        <c:delete val="0"/>
        <c:axPos val="b"/>
        <c:majorGridlines/>
        <c:title>
          <c:tx>
            <c:rich>
              <a:bodyPr/>
              <a:lstStyle/>
              <a:p>
                <a:pPr>
                  <a:defRPr sz="1200"/>
                </a:pPr>
                <a:r>
                  <a:rPr lang="en-US" sz="1200"/>
                  <a:t>Počet odehraných zápasů</a:t>
                </a:r>
              </a:p>
            </c:rich>
          </c:tx>
          <c:overlay val="0"/>
        </c:title>
        <c:numFmt formatCode="General" sourceLinked="1"/>
        <c:majorTickMark val="out"/>
        <c:minorTickMark val="none"/>
        <c:tickLblPos val="nextTo"/>
        <c:txPr>
          <a:bodyPr/>
          <a:lstStyle/>
          <a:p>
            <a:pPr>
              <a:defRPr sz="1200"/>
            </a:pPr>
            <a:endParaRPr lang="cs-CZ"/>
          </a:p>
        </c:txPr>
        <c:crossAx val="105080704"/>
        <c:crosses val="autoZero"/>
        <c:crossBetween val="midCat"/>
        <c:majorUnit val="1"/>
      </c:valAx>
      <c:valAx>
        <c:axId val="105080704"/>
        <c:scaling>
          <c:orientation val="minMax"/>
        </c:scaling>
        <c:delete val="0"/>
        <c:axPos val="l"/>
        <c:majorGridlines>
          <c:spPr>
            <a:ln>
              <a:solidFill>
                <a:schemeClr val="accent1"/>
              </a:solidFill>
            </a:ln>
          </c:spPr>
        </c:majorGridlines>
        <c:title>
          <c:tx>
            <c:rich>
              <a:bodyPr rot="-5400000" vert="horz"/>
              <a:lstStyle/>
              <a:p>
                <a:pPr>
                  <a:defRPr sz="1200"/>
                </a:pPr>
                <a:r>
                  <a:rPr lang="cs-CZ" sz="1200"/>
                  <a:t>T</a:t>
                </a:r>
                <a:r>
                  <a:rPr lang="en-US" sz="1200"/>
                  <a:t>abulka pravdy</a:t>
                </a:r>
              </a:p>
            </c:rich>
          </c:tx>
          <c:overlay val="0"/>
        </c:title>
        <c:numFmt formatCode="General" sourceLinked="1"/>
        <c:majorTickMark val="out"/>
        <c:minorTickMark val="none"/>
        <c:tickLblPos val="nextTo"/>
        <c:txPr>
          <a:bodyPr/>
          <a:lstStyle/>
          <a:p>
            <a:pPr>
              <a:defRPr sz="1200"/>
            </a:pPr>
            <a:endParaRPr lang="cs-CZ"/>
          </a:p>
        </c:txPr>
        <c:crossAx val="105078784"/>
        <c:crosses val="autoZero"/>
        <c:crossBetween val="midCat"/>
        <c:majorUnit val="3"/>
      </c:valAx>
    </c:plotArea>
    <c:plotVisOnly val="1"/>
    <c:dispBlanksAs val="gap"/>
    <c:showDLblsOverMax val="0"/>
  </c:chart>
  <c:printSettings>
    <c:headerFooter/>
    <c:pageMargins b="0.78740157499999996" l="0.70000000000000062" r="0.70000000000000062" t="0.78740157499999996"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cs-CZ"/>
              <a:t>Získané body</a:t>
            </a:r>
            <a:endParaRPr lang="en-US"/>
          </a:p>
        </c:rich>
      </c:tx>
      <c:overlay val="0"/>
    </c:title>
    <c:autoTitleDeleted val="0"/>
    <c:plotArea>
      <c:layout/>
      <c:scatterChart>
        <c:scatterStyle val="smoothMarker"/>
        <c:varyColors val="0"/>
        <c:ser>
          <c:idx val="2"/>
          <c:order val="0"/>
          <c:tx>
            <c:strRef>
              <c:f>'Výsledky a statistiky 20-21'!$O$2</c:f>
              <c:strCache>
                <c:ptCount val="1"/>
                <c:pt idx="0">
                  <c:v>Bodů celkově</c:v>
                </c:pt>
              </c:strCache>
            </c:strRef>
          </c:tx>
          <c:marker>
            <c:symbol val="none"/>
          </c:marker>
          <c:xVal>
            <c:numRef>
              <c:f>'Výsledky a statistiky 20-21'!$B$3:$B$57</c:f>
              <c:numCache>
                <c:formatCode>General</c:formatCode>
                <c:ptCount val="5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numCache>
            </c:numRef>
          </c:xVal>
          <c:yVal>
            <c:numRef>
              <c:f>'Výsledky a statistiky 20-21'!$O$3:$O$57</c:f>
              <c:numCache>
                <c:formatCode>General</c:formatCode>
                <c:ptCount val="55"/>
                <c:pt idx="0">
                  <c:v>0</c:v>
                </c:pt>
                <c:pt idx="1">
                  <c:v>0</c:v>
                </c:pt>
                <c:pt idx="2">
                  <c:v>0</c:v>
                </c:pt>
                <c:pt idx="3">
                  <c:v>0</c:v>
                </c:pt>
                <c:pt idx="4">
                  <c:v>3</c:v>
                </c:pt>
                <c:pt idx="5">
                  <c:v>4</c:v>
                </c:pt>
                <c:pt idx="6">
                  <c:v>4</c:v>
                </c:pt>
                <c:pt idx="7">
                  <c:v>7</c:v>
                </c:pt>
                <c:pt idx="8">
                  <c:v>9</c:v>
                </c:pt>
                <c:pt idx="9">
                  <c:v>9</c:v>
                </c:pt>
                <c:pt idx="10">
                  <c:v>11</c:v>
                </c:pt>
                <c:pt idx="11">
                  <c:v>11</c:v>
                </c:pt>
                <c:pt idx="12">
                  <c:v>13</c:v>
                </c:pt>
                <c:pt idx="13">
                  <c:v>13</c:v>
                </c:pt>
                <c:pt idx="14">
                  <c:v>13</c:v>
                </c:pt>
                <c:pt idx="15">
                  <c:v>16</c:v>
                </c:pt>
                <c:pt idx="16">
                  <c:v>18</c:v>
                </c:pt>
                <c:pt idx="17">
                  <c:v>21</c:v>
                </c:pt>
                <c:pt idx="18">
                  <c:v>21</c:v>
                </c:pt>
                <c:pt idx="19">
                  <c:v>22</c:v>
                </c:pt>
                <c:pt idx="20">
                  <c:v>23</c:v>
                </c:pt>
                <c:pt idx="21">
                  <c:v>25</c:v>
                </c:pt>
                <c:pt idx="22">
                  <c:v>25</c:v>
                </c:pt>
                <c:pt idx="23">
                  <c:v>25</c:v>
                </c:pt>
                <c:pt idx="24">
                  <c:v>27</c:v>
                </c:pt>
                <c:pt idx="25">
                  <c:v>29</c:v>
                </c:pt>
                <c:pt idx="26">
                  <c:v>32</c:v>
                </c:pt>
                <c:pt idx="27">
                  <c:v>32</c:v>
                </c:pt>
                <c:pt idx="28">
                  <c:v>35</c:v>
                </c:pt>
                <c:pt idx="29">
                  <c:v>35</c:v>
                </c:pt>
                <c:pt idx="30">
                  <c:v>35</c:v>
                </c:pt>
                <c:pt idx="31">
                  <c:v>38</c:v>
                </c:pt>
                <c:pt idx="32">
                  <c:v>38</c:v>
                </c:pt>
                <c:pt idx="33">
                  <c:v>41</c:v>
                </c:pt>
                <c:pt idx="34">
                  <c:v>44</c:v>
                </c:pt>
                <c:pt idx="35">
                  <c:v>47</c:v>
                </c:pt>
                <c:pt idx="36">
                  <c:v>47</c:v>
                </c:pt>
                <c:pt idx="37">
                  <c:v>50</c:v>
                </c:pt>
                <c:pt idx="38">
                  <c:v>50</c:v>
                </c:pt>
                <c:pt idx="39">
                  <c:v>50</c:v>
                </c:pt>
                <c:pt idx="40">
                  <c:v>52</c:v>
                </c:pt>
                <c:pt idx="41">
                  <c:v>53</c:v>
                </c:pt>
                <c:pt idx="42">
                  <c:v>54</c:v>
                </c:pt>
                <c:pt idx="43">
                  <c:v>54</c:v>
                </c:pt>
                <c:pt idx="44">
                  <c:v>54</c:v>
                </c:pt>
                <c:pt idx="45">
                  <c:v>57</c:v>
                </c:pt>
                <c:pt idx="46">
                  <c:v>60</c:v>
                </c:pt>
                <c:pt idx="47">
                  <c:v>63</c:v>
                </c:pt>
                <c:pt idx="48">
                  <c:v>66</c:v>
                </c:pt>
                <c:pt idx="49">
                  <c:v>69</c:v>
                </c:pt>
                <c:pt idx="50">
                  <c:v>72</c:v>
                </c:pt>
                <c:pt idx="51">
                  <c:v>72</c:v>
                </c:pt>
              </c:numCache>
            </c:numRef>
          </c:yVal>
          <c:smooth val="1"/>
          <c:extLst>
            <c:ext xmlns:c16="http://schemas.microsoft.com/office/drawing/2014/chart" uri="{C3380CC4-5D6E-409C-BE32-E72D297353CC}">
              <c16:uniqueId val="{00000000-0907-4264-A1C7-88C82660B657}"/>
            </c:ext>
          </c:extLst>
        </c:ser>
        <c:dLbls>
          <c:showLegendKey val="0"/>
          <c:showVal val="0"/>
          <c:showCatName val="0"/>
          <c:showSerName val="0"/>
          <c:showPercent val="0"/>
          <c:showBubbleSize val="0"/>
        </c:dLbls>
        <c:axId val="105121280"/>
        <c:axId val="105123200"/>
      </c:scatterChart>
      <c:valAx>
        <c:axId val="105121280"/>
        <c:scaling>
          <c:orientation val="minMax"/>
          <c:max val="52"/>
          <c:min val="1"/>
        </c:scaling>
        <c:delete val="0"/>
        <c:axPos val="b"/>
        <c:majorGridlines/>
        <c:title>
          <c:tx>
            <c:rich>
              <a:bodyPr/>
              <a:lstStyle/>
              <a:p>
                <a:pPr>
                  <a:defRPr sz="1200"/>
                </a:pPr>
                <a:r>
                  <a:rPr lang="en-US" sz="1200"/>
                  <a:t>Počet odehraných zápasů</a:t>
                </a:r>
              </a:p>
            </c:rich>
          </c:tx>
          <c:overlay val="0"/>
        </c:title>
        <c:numFmt formatCode="General" sourceLinked="1"/>
        <c:majorTickMark val="out"/>
        <c:minorTickMark val="none"/>
        <c:tickLblPos val="nextTo"/>
        <c:txPr>
          <a:bodyPr/>
          <a:lstStyle/>
          <a:p>
            <a:pPr>
              <a:defRPr sz="1200"/>
            </a:pPr>
            <a:endParaRPr lang="cs-CZ"/>
          </a:p>
        </c:txPr>
        <c:crossAx val="105123200"/>
        <c:crosses val="autoZero"/>
        <c:crossBetween val="midCat"/>
        <c:majorUnit val="1"/>
      </c:valAx>
      <c:valAx>
        <c:axId val="105123200"/>
        <c:scaling>
          <c:orientation val="minMax"/>
          <c:max val="80"/>
          <c:min val="0"/>
        </c:scaling>
        <c:delete val="0"/>
        <c:axPos val="l"/>
        <c:majorGridlines>
          <c:spPr>
            <a:ln>
              <a:solidFill>
                <a:schemeClr val="tx1"/>
              </a:solidFill>
            </a:ln>
          </c:spPr>
        </c:majorGridlines>
        <c:title>
          <c:tx>
            <c:rich>
              <a:bodyPr rot="-5400000" vert="horz"/>
              <a:lstStyle/>
              <a:p>
                <a:pPr>
                  <a:defRPr sz="1200">
                    <a:solidFill>
                      <a:srgbClr val="00B050"/>
                    </a:solidFill>
                  </a:defRPr>
                </a:pPr>
                <a:r>
                  <a:rPr lang="cs-CZ" sz="1200">
                    <a:solidFill>
                      <a:srgbClr val="00B050"/>
                    </a:solidFill>
                  </a:rPr>
                  <a:t>Body</a:t>
                </a:r>
                <a:endParaRPr lang="en-US" sz="1200">
                  <a:solidFill>
                    <a:srgbClr val="00B050"/>
                  </a:solidFill>
                </a:endParaRPr>
              </a:p>
            </c:rich>
          </c:tx>
          <c:overlay val="0"/>
        </c:title>
        <c:numFmt formatCode="General" sourceLinked="1"/>
        <c:majorTickMark val="out"/>
        <c:minorTickMark val="none"/>
        <c:tickLblPos val="nextTo"/>
        <c:txPr>
          <a:bodyPr/>
          <a:lstStyle/>
          <a:p>
            <a:pPr>
              <a:defRPr sz="1200" b="1">
                <a:solidFill>
                  <a:srgbClr val="00B050"/>
                </a:solidFill>
              </a:defRPr>
            </a:pPr>
            <a:endParaRPr lang="cs-CZ"/>
          </a:p>
        </c:txPr>
        <c:crossAx val="105121280"/>
        <c:crosses val="autoZero"/>
        <c:crossBetween val="midCat"/>
        <c:majorUnit val="5"/>
      </c:valAx>
    </c:plotArea>
    <c:plotVisOnly val="1"/>
    <c:dispBlanksAs val="gap"/>
    <c:showDLblsOverMax val="0"/>
  </c:chart>
  <c:printSettings>
    <c:headerFooter/>
    <c:pageMargins b="0.78740157499999996" l="0.70000000000000062" r="0.70000000000000062" t="0.78740157499999996"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smoothMarker"/>
        <c:varyColors val="0"/>
        <c:ser>
          <c:idx val="1"/>
          <c:order val="0"/>
          <c:tx>
            <c:strRef>
              <c:f>'Výsledky a statistiky 21-22'!$N$2</c:f>
              <c:strCache>
                <c:ptCount val="1"/>
                <c:pt idx="0">
                  <c:v>Tabulka pravdy</c:v>
                </c:pt>
              </c:strCache>
            </c:strRef>
          </c:tx>
          <c:marker>
            <c:symbol val="none"/>
          </c:marker>
          <c:xVal>
            <c:numRef>
              <c:f>'Výsledky a statistiky 21-22'!$B$3:$B$60</c:f>
              <c:numCache>
                <c:formatCode>General</c:formatCode>
                <c:ptCount val="5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numCache>
            </c:numRef>
          </c:xVal>
          <c:yVal>
            <c:numRef>
              <c:f>'Výsledky a statistiky 21-22'!$N$3:$N$60</c:f>
              <c:numCache>
                <c:formatCode>General</c:formatCode>
                <c:ptCount val="58"/>
                <c:pt idx="0">
                  <c:v>3</c:v>
                </c:pt>
                <c:pt idx="1">
                  <c:v>2</c:v>
                </c:pt>
                <c:pt idx="2">
                  <c:v>3</c:v>
                </c:pt>
                <c:pt idx="3">
                  <c:v>3</c:v>
                </c:pt>
                <c:pt idx="4">
                  <c:v>0</c:v>
                </c:pt>
                <c:pt idx="5">
                  <c:v>0</c:v>
                </c:pt>
                <c:pt idx="6">
                  <c:v>-3</c:v>
                </c:pt>
                <c:pt idx="7">
                  <c:v>-2</c:v>
                </c:pt>
                <c:pt idx="8">
                  <c:v>-5</c:v>
                </c:pt>
                <c:pt idx="9">
                  <c:v>-2</c:v>
                </c:pt>
                <c:pt idx="10">
                  <c:v>1</c:v>
                </c:pt>
                <c:pt idx="11">
                  <c:v>-2</c:v>
                </c:pt>
                <c:pt idx="12">
                  <c:v>-2</c:v>
                </c:pt>
                <c:pt idx="13">
                  <c:v>-2</c:v>
                </c:pt>
                <c:pt idx="14">
                  <c:v>-2</c:v>
                </c:pt>
                <c:pt idx="15">
                  <c:v>-2</c:v>
                </c:pt>
                <c:pt idx="16">
                  <c:v>-5</c:v>
                </c:pt>
                <c:pt idx="17">
                  <c:v>-5</c:v>
                </c:pt>
                <c:pt idx="18">
                  <c:v>-5</c:v>
                </c:pt>
                <c:pt idx="19">
                  <c:v>-5</c:v>
                </c:pt>
                <c:pt idx="20">
                  <c:v>-2</c:v>
                </c:pt>
                <c:pt idx="21">
                  <c:v>-2</c:v>
                </c:pt>
                <c:pt idx="22">
                  <c:v>-2</c:v>
                </c:pt>
                <c:pt idx="23">
                  <c:v>-2</c:v>
                </c:pt>
                <c:pt idx="24">
                  <c:v>-4</c:v>
                </c:pt>
                <c:pt idx="25">
                  <c:v>-4</c:v>
                </c:pt>
                <c:pt idx="26">
                  <c:v>-7</c:v>
                </c:pt>
                <c:pt idx="27">
                  <c:v>-4</c:v>
                </c:pt>
                <c:pt idx="28">
                  <c:v>-4</c:v>
                </c:pt>
                <c:pt idx="29">
                  <c:v>-4</c:v>
                </c:pt>
                <c:pt idx="30">
                  <c:v>-4</c:v>
                </c:pt>
                <c:pt idx="31">
                  <c:v>-3</c:v>
                </c:pt>
                <c:pt idx="32">
                  <c:v>-6</c:v>
                </c:pt>
                <c:pt idx="33">
                  <c:v>-3</c:v>
                </c:pt>
                <c:pt idx="34">
                  <c:v>-4</c:v>
                </c:pt>
                <c:pt idx="35">
                  <c:v>-4</c:v>
                </c:pt>
                <c:pt idx="36">
                  <c:v>-6</c:v>
                </c:pt>
                <c:pt idx="37">
                  <c:v>-3</c:v>
                </c:pt>
                <c:pt idx="38">
                  <c:v>-3</c:v>
                </c:pt>
                <c:pt idx="39">
                  <c:v>-5</c:v>
                </c:pt>
                <c:pt idx="40">
                  <c:v>-8</c:v>
                </c:pt>
                <c:pt idx="41">
                  <c:v>-11</c:v>
                </c:pt>
                <c:pt idx="42">
                  <c:v>-10</c:v>
                </c:pt>
                <c:pt idx="43">
                  <c:v>-11</c:v>
                </c:pt>
                <c:pt idx="44">
                  <c:v>-11</c:v>
                </c:pt>
                <c:pt idx="45">
                  <c:v>-14</c:v>
                </c:pt>
                <c:pt idx="46">
                  <c:v>-17</c:v>
                </c:pt>
                <c:pt idx="47">
                  <c:v>-16</c:v>
                </c:pt>
                <c:pt idx="48">
                  <c:v>-16</c:v>
                </c:pt>
                <c:pt idx="49">
                  <c:v>-13</c:v>
                </c:pt>
                <c:pt idx="50">
                  <c:v>-10</c:v>
                </c:pt>
                <c:pt idx="51">
                  <c:v>-10</c:v>
                </c:pt>
                <c:pt idx="52">
                  <c:v>-11</c:v>
                </c:pt>
                <c:pt idx="53">
                  <c:v>-11</c:v>
                </c:pt>
                <c:pt idx="54">
                  <c:v>-14</c:v>
                </c:pt>
                <c:pt idx="55">
                  <c:v>-14</c:v>
                </c:pt>
              </c:numCache>
            </c:numRef>
          </c:yVal>
          <c:smooth val="1"/>
          <c:extLst>
            <c:ext xmlns:c16="http://schemas.microsoft.com/office/drawing/2014/chart" uri="{C3380CC4-5D6E-409C-BE32-E72D297353CC}">
              <c16:uniqueId val="{00000000-4999-42ED-9BBF-A8BDB71B7E7D}"/>
            </c:ext>
          </c:extLst>
        </c:ser>
        <c:dLbls>
          <c:showLegendKey val="0"/>
          <c:showVal val="0"/>
          <c:showCatName val="0"/>
          <c:showSerName val="0"/>
          <c:showPercent val="0"/>
          <c:showBubbleSize val="0"/>
        </c:dLbls>
        <c:axId val="105078784"/>
        <c:axId val="105080704"/>
      </c:scatterChart>
      <c:valAx>
        <c:axId val="105078784"/>
        <c:scaling>
          <c:orientation val="minMax"/>
          <c:max val="56"/>
          <c:min val="1"/>
        </c:scaling>
        <c:delete val="0"/>
        <c:axPos val="b"/>
        <c:majorGridlines/>
        <c:title>
          <c:tx>
            <c:rich>
              <a:bodyPr/>
              <a:lstStyle/>
              <a:p>
                <a:pPr>
                  <a:defRPr sz="1200"/>
                </a:pPr>
                <a:r>
                  <a:rPr lang="en-US" sz="1200"/>
                  <a:t>Počet odehraných zápasů</a:t>
                </a:r>
              </a:p>
            </c:rich>
          </c:tx>
          <c:overlay val="0"/>
        </c:title>
        <c:numFmt formatCode="General" sourceLinked="1"/>
        <c:majorTickMark val="out"/>
        <c:minorTickMark val="none"/>
        <c:tickLblPos val="nextTo"/>
        <c:txPr>
          <a:bodyPr/>
          <a:lstStyle/>
          <a:p>
            <a:pPr>
              <a:defRPr sz="1200"/>
            </a:pPr>
            <a:endParaRPr lang="cs-CZ"/>
          </a:p>
        </c:txPr>
        <c:crossAx val="105080704"/>
        <c:crosses val="autoZero"/>
        <c:crossBetween val="midCat"/>
        <c:majorUnit val="1"/>
      </c:valAx>
      <c:valAx>
        <c:axId val="105080704"/>
        <c:scaling>
          <c:orientation val="minMax"/>
        </c:scaling>
        <c:delete val="0"/>
        <c:axPos val="l"/>
        <c:majorGridlines>
          <c:spPr>
            <a:ln>
              <a:solidFill>
                <a:schemeClr val="accent1"/>
              </a:solidFill>
            </a:ln>
          </c:spPr>
        </c:majorGridlines>
        <c:title>
          <c:tx>
            <c:rich>
              <a:bodyPr rot="-5400000" vert="horz"/>
              <a:lstStyle/>
              <a:p>
                <a:pPr>
                  <a:defRPr sz="1200"/>
                </a:pPr>
                <a:r>
                  <a:rPr lang="cs-CZ" sz="1200"/>
                  <a:t>T</a:t>
                </a:r>
                <a:r>
                  <a:rPr lang="en-US" sz="1200"/>
                  <a:t>abulka pravdy</a:t>
                </a:r>
              </a:p>
            </c:rich>
          </c:tx>
          <c:overlay val="0"/>
        </c:title>
        <c:numFmt formatCode="General" sourceLinked="1"/>
        <c:majorTickMark val="out"/>
        <c:minorTickMark val="none"/>
        <c:tickLblPos val="nextTo"/>
        <c:txPr>
          <a:bodyPr/>
          <a:lstStyle/>
          <a:p>
            <a:pPr>
              <a:defRPr sz="1200"/>
            </a:pPr>
            <a:endParaRPr lang="cs-CZ"/>
          </a:p>
        </c:txPr>
        <c:crossAx val="105078784"/>
        <c:crosses val="autoZero"/>
        <c:crossBetween val="midCat"/>
        <c:majorUnit val="3"/>
      </c:valAx>
    </c:plotArea>
    <c:plotVisOnly val="1"/>
    <c:dispBlanksAs val="gap"/>
    <c:showDLblsOverMax val="0"/>
  </c:chart>
  <c:printSettings>
    <c:headerFooter/>
    <c:pageMargins b="0.78740157499999996" l="0.70000000000000062" r="0.70000000000000062" t="0.78740157499999996"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cs-CZ"/>
              <a:t>Získané body</a:t>
            </a:r>
            <a:endParaRPr lang="en-US"/>
          </a:p>
        </c:rich>
      </c:tx>
      <c:overlay val="0"/>
    </c:title>
    <c:autoTitleDeleted val="0"/>
    <c:plotArea>
      <c:layout/>
      <c:scatterChart>
        <c:scatterStyle val="smoothMarker"/>
        <c:varyColors val="0"/>
        <c:ser>
          <c:idx val="2"/>
          <c:order val="0"/>
          <c:tx>
            <c:strRef>
              <c:f>'Výsledky a statistiky 21-22'!$O$2</c:f>
              <c:strCache>
                <c:ptCount val="1"/>
                <c:pt idx="0">
                  <c:v>Bodů celkově</c:v>
                </c:pt>
              </c:strCache>
            </c:strRef>
          </c:tx>
          <c:marker>
            <c:symbol val="none"/>
          </c:marker>
          <c:xVal>
            <c:numRef>
              <c:f>'Výsledky a statistiky 21-22'!$B$3:$B$60</c:f>
              <c:numCache>
                <c:formatCode>General</c:formatCode>
                <c:ptCount val="5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numCache>
            </c:numRef>
          </c:xVal>
          <c:yVal>
            <c:numRef>
              <c:f>'Výsledky a statistiky 21-22'!$O$3:$O$60</c:f>
              <c:numCache>
                <c:formatCode>General</c:formatCode>
                <c:ptCount val="58"/>
                <c:pt idx="0">
                  <c:v>3</c:v>
                </c:pt>
                <c:pt idx="1">
                  <c:v>5</c:v>
                </c:pt>
                <c:pt idx="2">
                  <c:v>6</c:v>
                </c:pt>
                <c:pt idx="3">
                  <c:v>6</c:v>
                </c:pt>
                <c:pt idx="4">
                  <c:v>6</c:v>
                </c:pt>
                <c:pt idx="5">
                  <c:v>6</c:v>
                </c:pt>
                <c:pt idx="6">
                  <c:v>6</c:v>
                </c:pt>
                <c:pt idx="7">
                  <c:v>7</c:v>
                </c:pt>
                <c:pt idx="8">
                  <c:v>7</c:v>
                </c:pt>
                <c:pt idx="9">
                  <c:v>10</c:v>
                </c:pt>
                <c:pt idx="10">
                  <c:v>13</c:v>
                </c:pt>
                <c:pt idx="11">
                  <c:v>13</c:v>
                </c:pt>
                <c:pt idx="12">
                  <c:v>13</c:v>
                </c:pt>
                <c:pt idx="13">
                  <c:v>16</c:v>
                </c:pt>
                <c:pt idx="14">
                  <c:v>19</c:v>
                </c:pt>
                <c:pt idx="15">
                  <c:v>19</c:v>
                </c:pt>
                <c:pt idx="16">
                  <c:v>19</c:v>
                </c:pt>
                <c:pt idx="17">
                  <c:v>22</c:v>
                </c:pt>
                <c:pt idx="18">
                  <c:v>22</c:v>
                </c:pt>
                <c:pt idx="19">
                  <c:v>25</c:v>
                </c:pt>
                <c:pt idx="20">
                  <c:v>28</c:v>
                </c:pt>
                <c:pt idx="21">
                  <c:v>31</c:v>
                </c:pt>
                <c:pt idx="22">
                  <c:v>31</c:v>
                </c:pt>
                <c:pt idx="23">
                  <c:v>34</c:v>
                </c:pt>
                <c:pt idx="24">
                  <c:v>35</c:v>
                </c:pt>
                <c:pt idx="25">
                  <c:v>35</c:v>
                </c:pt>
                <c:pt idx="26">
                  <c:v>35</c:v>
                </c:pt>
                <c:pt idx="27">
                  <c:v>38</c:v>
                </c:pt>
                <c:pt idx="28">
                  <c:v>38</c:v>
                </c:pt>
                <c:pt idx="29">
                  <c:v>41</c:v>
                </c:pt>
                <c:pt idx="30">
                  <c:v>41</c:v>
                </c:pt>
                <c:pt idx="31">
                  <c:v>42</c:v>
                </c:pt>
                <c:pt idx="32">
                  <c:v>42</c:v>
                </c:pt>
                <c:pt idx="33">
                  <c:v>45</c:v>
                </c:pt>
                <c:pt idx="34">
                  <c:v>47</c:v>
                </c:pt>
                <c:pt idx="35">
                  <c:v>47</c:v>
                </c:pt>
                <c:pt idx="36">
                  <c:v>48</c:v>
                </c:pt>
                <c:pt idx="37">
                  <c:v>51</c:v>
                </c:pt>
                <c:pt idx="38">
                  <c:v>51</c:v>
                </c:pt>
                <c:pt idx="39">
                  <c:v>52</c:v>
                </c:pt>
                <c:pt idx="40">
                  <c:v>52</c:v>
                </c:pt>
                <c:pt idx="41">
                  <c:v>52</c:v>
                </c:pt>
                <c:pt idx="42">
                  <c:v>53</c:v>
                </c:pt>
                <c:pt idx="43">
                  <c:v>55</c:v>
                </c:pt>
                <c:pt idx="44">
                  <c:v>55</c:v>
                </c:pt>
                <c:pt idx="45">
                  <c:v>55</c:v>
                </c:pt>
                <c:pt idx="46">
                  <c:v>55</c:v>
                </c:pt>
                <c:pt idx="47">
                  <c:v>56</c:v>
                </c:pt>
                <c:pt idx="48">
                  <c:v>59</c:v>
                </c:pt>
                <c:pt idx="49">
                  <c:v>62</c:v>
                </c:pt>
                <c:pt idx="50">
                  <c:v>65</c:v>
                </c:pt>
                <c:pt idx="51">
                  <c:v>68</c:v>
                </c:pt>
                <c:pt idx="52">
                  <c:v>70</c:v>
                </c:pt>
                <c:pt idx="53">
                  <c:v>70</c:v>
                </c:pt>
                <c:pt idx="54">
                  <c:v>70</c:v>
                </c:pt>
                <c:pt idx="55">
                  <c:v>70</c:v>
                </c:pt>
              </c:numCache>
            </c:numRef>
          </c:yVal>
          <c:smooth val="1"/>
          <c:extLst>
            <c:ext xmlns:c16="http://schemas.microsoft.com/office/drawing/2014/chart" uri="{C3380CC4-5D6E-409C-BE32-E72D297353CC}">
              <c16:uniqueId val="{00000000-437F-4B1F-8A52-5F840EA0FF85}"/>
            </c:ext>
          </c:extLst>
        </c:ser>
        <c:dLbls>
          <c:showLegendKey val="0"/>
          <c:showVal val="0"/>
          <c:showCatName val="0"/>
          <c:showSerName val="0"/>
          <c:showPercent val="0"/>
          <c:showBubbleSize val="0"/>
        </c:dLbls>
        <c:axId val="105121280"/>
        <c:axId val="105123200"/>
      </c:scatterChart>
      <c:valAx>
        <c:axId val="105121280"/>
        <c:scaling>
          <c:orientation val="minMax"/>
          <c:max val="56"/>
          <c:min val="1"/>
        </c:scaling>
        <c:delete val="0"/>
        <c:axPos val="b"/>
        <c:majorGridlines/>
        <c:title>
          <c:tx>
            <c:rich>
              <a:bodyPr/>
              <a:lstStyle/>
              <a:p>
                <a:pPr>
                  <a:defRPr sz="1200"/>
                </a:pPr>
                <a:r>
                  <a:rPr lang="en-US" sz="1200"/>
                  <a:t>Počet odehraných zápasů</a:t>
                </a:r>
              </a:p>
            </c:rich>
          </c:tx>
          <c:overlay val="0"/>
        </c:title>
        <c:numFmt formatCode="General" sourceLinked="1"/>
        <c:majorTickMark val="out"/>
        <c:minorTickMark val="none"/>
        <c:tickLblPos val="nextTo"/>
        <c:txPr>
          <a:bodyPr/>
          <a:lstStyle/>
          <a:p>
            <a:pPr>
              <a:defRPr sz="1200"/>
            </a:pPr>
            <a:endParaRPr lang="cs-CZ"/>
          </a:p>
        </c:txPr>
        <c:crossAx val="105123200"/>
        <c:crosses val="autoZero"/>
        <c:crossBetween val="midCat"/>
        <c:majorUnit val="1"/>
      </c:valAx>
      <c:valAx>
        <c:axId val="105123200"/>
        <c:scaling>
          <c:orientation val="minMax"/>
          <c:max val="80"/>
          <c:min val="0"/>
        </c:scaling>
        <c:delete val="0"/>
        <c:axPos val="l"/>
        <c:majorGridlines>
          <c:spPr>
            <a:ln>
              <a:solidFill>
                <a:schemeClr val="tx1"/>
              </a:solidFill>
            </a:ln>
          </c:spPr>
        </c:majorGridlines>
        <c:title>
          <c:tx>
            <c:rich>
              <a:bodyPr rot="-5400000" vert="horz"/>
              <a:lstStyle/>
              <a:p>
                <a:pPr>
                  <a:defRPr sz="1200">
                    <a:solidFill>
                      <a:srgbClr val="00B050"/>
                    </a:solidFill>
                  </a:defRPr>
                </a:pPr>
                <a:r>
                  <a:rPr lang="cs-CZ" sz="1200">
                    <a:solidFill>
                      <a:srgbClr val="00B050"/>
                    </a:solidFill>
                  </a:rPr>
                  <a:t>Body</a:t>
                </a:r>
                <a:endParaRPr lang="en-US" sz="1200">
                  <a:solidFill>
                    <a:srgbClr val="00B050"/>
                  </a:solidFill>
                </a:endParaRPr>
              </a:p>
            </c:rich>
          </c:tx>
          <c:overlay val="0"/>
        </c:title>
        <c:numFmt formatCode="General" sourceLinked="1"/>
        <c:majorTickMark val="out"/>
        <c:minorTickMark val="none"/>
        <c:tickLblPos val="nextTo"/>
        <c:txPr>
          <a:bodyPr/>
          <a:lstStyle/>
          <a:p>
            <a:pPr>
              <a:defRPr sz="1200" b="1">
                <a:solidFill>
                  <a:srgbClr val="00B050"/>
                </a:solidFill>
              </a:defRPr>
            </a:pPr>
            <a:endParaRPr lang="cs-CZ"/>
          </a:p>
        </c:txPr>
        <c:crossAx val="105121280"/>
        <c:crosses val="autoZero"/>
        <c:crossBetween val="midCat"/>
        <c:majorUnit val="5"/>
      </c:valAx>
    </c:plotArea>
    <c:plotVisOnly val="1"/>
    <c:dispBlanksAs val="gap"/>
    <c:showDLblsOverMax val="0"/>
  </c:chart>
  <c:printSettings>
    <c:headerFooter/>
    <c:pageMargins b="0.78740157499999996" l="0.70000000000000062" r="0.70000000000000062" t="0.78740157499999996"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smoothMarker"/>
        <c:varyColors val="0"/>
        <c:ser>
          <c:idx val="1"/>
          <c:order val="0"/>
          <c:tx>
            <c:strRef>
              <c:f>'Výsledky a statistiky 22-23'!$N$2</c:f>
              <c:strCache>
                <c:ptCount val="1"/>
                <c:pt idx="0">
                  <c:v>Tabulka pravdy</c:v>
                </c:pt>
              </c:strCache>
            </c:strRef>
          </c:tx>
          <c:marker>
            <c:symbol val="none"/>
          </c:marker>
          <c:xVal>
            <c:numRef>
              <c:f>'Výsledky a statistiky 22-23'!$B$3:$B$55</c:f>
              <c:numCache>
                <c:formatCode>General</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xVal>
          <c:yVal>
            <c:numRef>
              <c:f>'Výsledky a statistiky 22-23'!$N$3:$N$55</c:f>
              <c:numCache>
                <c:formatCode>General</c:formatCode>
                <c:ptCount val="53"/>
                <c:pt idx="0">
                  <c:v>-3</c:v>
                </c:pt>
                <c:pt idx="1">
                  <c:v>-3</c:v>
                </c:pt>
                <c:pt idx="2">
                  <c:v>-3</c:v>
                </c:pt>
                <c:pt idx="3">
                  <c:v>-5</c:v>
                </c:pt>
                <c:pt idx="4">
                  <c:v>-7</c:v>
                </c:pt>
                <c:pt idx="5">
                  <c:v>-7</c:v>
                </c:pt>
                <c:pt idx="6">
                  <c:v>-4</c:v>
                </c:pt>
                <c:pt idx="7">
                  <c:v>-4</c:v>
                </c:pt>
                <c:pt idx="8">
                  <c:v>-4</c:v>
                </c:pt>
                <c:pt idx="9">
                  <c:v>-7</c:v>
                </c:pt>
                <c:pt idx="10">
                  <c:v>-7</c:v>
                </c:pt>
                <c:pt idx="11">
                  <c:v>-9</c:v>
                </c:pt>
                <c:pt idx="12">
                  <c:v>-9</c:v>
                </c:pt>
                <c:pt idx="13">
                  <c:v>-9</c:v>
                </c:pt>
                <c:pt idx="14">
                  <c:v>-9</c:v>
                </c:pt>
                <c:pt idx="15">
                  <c:v>-7</c:v>
                </c:pt>
                <c:pt idx="16">
                  <c:v>-7</c:v>
                </c:pt>
                <c:pt idx="17">
                  <c:v>-6</c:v>
                </c:pt>
                <c:pt idx="18">
                  <c:v>-6</c:v>
                </c:pt>
                <c:pt idx="19">
                  <c:v>-6</c:v>
                </c:pt>
                <c:pt idx="20">
                  <c:v>-6</c:v>
                </c:pt>
                <c:pt idx="21">
                  <c:v>-8</c:v>
                </c:pt>
                <c:pt idx="22">
                  <c:v>-8</c:v>
                </c:pt>
                <c:pt idx="23">
                  <c:v>-11</c:v>
                </c:pt>
                <c:pt idx="24">
                  <c:v>-11</c:v>
                </c:pt>
                <c:pt idx="25">
                  <c:v>-11</c:v>
                </c:pt>
                <c:pt idx="26">
                  <c:v>-11</c:v>
                </c:pt>
                <c:pt idx="27">
                  <c:v>-11</c:v>
                </c:pt>
                <c:pt idx="28">
                  <c:v>-12</c:v>
                </c:pt>
                <c:pt idx="29">
                  <c:v>-9</c:v>
                </c:pt>
                <c:pt idx="30">
                  <c:v>-12</c:v>
                </c:pt>
                <c:pt idx="31">
                  <c:v>-12</c:v>
                </c:pt>
                <c:pt idx="32">
                  <c:v>-14</c:v>
                </c:pt>
                <c:pt idx="33">
                  <c:v>-14</c:v>
                </c:pt>
                <c:pt idx="34">
                  <c:v>-13</c:v>
                </c:pt>
                <c:pt idx="35">
                  <c:v>-13</c:v>
                </c:pt>
                <c:pt idx="36">
                  <c:v>-13</c:v>
                </c:pt>
                <c:pt idx="37">
                  <c:v>-16</c:v>
                </c:pt>
                <c:pt idx="38">
                  <c:v>-13</c:v>
                </c:pt>
                <c:pt idx="39">
                  <c:v>-11</c:v>
                </c:pt>
                <c:pt idx="40">
                  <c:v>-11</c:v>
                </c:pt>
                <c:pt idx="41">
                  <c:v>-11</c:v>
                </c:pt>
                <c:pt idx="42">
                  <c:v>-12</c:v>
                </c:pt>
                <c:pt idx="43">
                  <c:v>-12</c:v>
                </c:pt>
                <c:pt idx="44">
                  <c:v>-14</c:v>
                </c:pt>
                <c:pt idx="45">
                  <c:v>-14</c:v>
                </c:pt>
                <c:pt idx="46">
                  <c:v>-15</c:v>
                </c:pt>
                <c:pt idx="47">
                  <c:v>-16</c:v>
                </c:pt>
                <c:pt idx="48">
                  <c:v>-13</c:v>
                </c:pt>
                <c:pt idx="49">
                  <c:v>-13</c:v>
                </c:pt>
                <c:pt idx="50">
                  <c:v>-11</c:v>
                </c:pt>
                <c:pt idx="51">
                  <c:v>-11</c:v>
                </c:pt>
              </c:numCache>
            </c:numRef>
          </c:yVal>
          <c:smooth val="1"/>
          <c:extLst>
            <c:ext xmlns:c16="http://schemas.microsoft.com/office/drawing/2014/chart" uri="{C3380CC4-5D6E-409C-BE32-E72D297353CC}">
              <c16:uniqueId val="{00000000-78E9-4F72-AB58-0C11DE21FB4C}"/>
            </c:ext>
          </c:extLst>
        </c:ser>
        <c:dLbls>
          <c:showLegendKey val="0"/>
          <c:showVal val="0"/>
          <c:showCatName val="0"/>
          <c:showSerName val="0"/>
          <c:showPercent val="0"/>
          <c:showBubbleSize val="0"/>
        </c:dLbls>
        <c:axId val="105078784"/>
        <c:axId val="105080704"/>
      </c:scatterChart>
      <c:valAx>
        <c:axId val="105078784"/>
        <c:scaling>
          <c:orientation val="minMax"/>
          <c:max val="52"/>
          <c:min val="1"/>
        </c:scaling>
        <c:delete val="0"/>
        <c:axPos val="b"/>
        <c:majorGridlines/>
        <c:title>
          <c:tx>
            <c:rich>
              <a:bodyPr/>
              <a:lstStyle/>
              <a:p>
                <a:pPr>
                  <a:defRPr sz="1200"/>
                </a:pPr>
                <a:r>
                  <a:rPr lang="en-US" sz="1200"/>
                  <a:t>Počet odehraných zápasů</a:t>
                </a:r>
              </a:p>
            </c:rich>
          </c:tx>
          <c:overlay val="0"/>
        </c:title>
        <c:numFmt formatCode="General" sourceLinked="1"/>
        <c:majorTickMark val="out"/>
        <c:minorTickMark val="none"/>
        <c:tickLblPos val="nextTo"/>
        <c:txPr>
          <a:bodyPr/>
          <a:lstStyle/>
          <a:p>
            <a:pPr>
              <a:defRPr sz="1200"/>
            </a:pPr>
            <a:endParaRPr lang="cs-CZ"/>
          </a:p>
        </c:txPr>
        <c:crossAx val="105080704"/>
        <c:crosses val="autoZero"/>
        <c:crossBetween val="midCat"/>
        <c:majorUnit val="1"/>
      </c:valAx>
      <c:valAx>
        <c:axId val="105080704"/>
        <c:scaling>
          <c:orientation val="minMax"/>
        </c:scaling>
        <c:delete val="0"/>
        <c:axPos val="l"/>
        <c:majorGridlines>
          <c:spPr>
            <a:ln>
              <a:solidFill>
                <a:schemeClr val="accent1"/>
              </a:solidFill>
            </a:ln>
          </c:spPr>
        </c:majorGridlines>
        <c:title>
          <c:tx>
            <c:rich>
              <a:bodyPr rot="-5400000" vert="horz"/>
              <a:lstStyle/>
              <a:p>
                <a:pPr>
                  <a:defRPr sz="1200"/>
                </a:pPr>
                <a:r>
                  <a:rPr lang="cs-CZ" sz="1200"/>
                  <a:t>T</a:t>
                </a:r>
                <a:r>
                  <a:rPr lang="en-US" sz="1200"/>
                  <a:t>abulka pravdy</a:t>
                </a:r>
              </a:p>
            </c:rich>
          </c:tx>
          <c:overlay val="0"/>
        </c:title>
        <c:numFmt formatCode="General" sourceLinked="1"/>
        <c:majorTickMark val="out"/>
        <c:minorTickMark val="none"/>
        <c:tickLblPos val="nextTo"/>
        <c:txPr>
          <a:bodyPr/>
          <a:lstStyle/>
          <a:p>
            <a:pPr>
              <a:defRPr sz="1200"/>
            </a:pPr>
            <a:endParaRPr lang="cs-CZ"/>
          </a:p>
        </c:txPr>
        <c:crossAx val="105078784"/>
        <c:crosses val="autoZero"/>
        <c:crossBetween val="midCat"/>
        <c:majorUnit val="3"/>
      </c:valAx>
    </c:plotArea>
    <c:plotVisOnly val="1"/>
    <c:dispBlanksAs val="gap"/>
    <c:showDLblsOverMax val="0"/>
  </c:chart>
  <c:printSettings>
    <c:headerFooter/>
    <c:pageMargins b="0.78740157499999996" l="0.70000000000000062" r="0.70000000000000062" t="0.78740157499999996"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cs-CZ"/>
              <a:t>Získané body</a:t>
            </a:r>
            <a:endParaRPr lang="en-US"/>
          </a:p>
        </c:rich>
      </c:tx>
      <c:overlay val="0"/>
    </c:title>
    <c:autoTitleDeleted val="0"/>
    <c:plotArea>
      <c:layout/>
      <c:scatterChart>
        <c:scatterStyle val="smoothMarker"/>
        <c:varyColors val="0"/>
        <c:ser>
          <c:idx val="2"/>
          <c:order val="0"/>
          <c:tx>
            <c:strRef>
              <c:f>'Výsledky a statistiky 22-23'!$O$2</c:f>
              <c:strCache>
                <c:ptCount val="1"/>
                <c:pt idx="0">
                  <c:v>Bodů celkově</c:v>
                </c:pt>
              </c:strCache>
            </c:strRef>
          </c:tx>
          <c:marker>
            <c:symbol val="none"/>
          </c:marker>
          <c:xVal>
            <c:numRef>
              <c:f>'Výsledky a statistiky 22-23'!$B$3:$B$55</c:f>
              <c:numCache>
                <c:formatCode>General</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xVal>
          <c:yVal>
            <c:numRef>
              <c:f>'Výsledky a statistiky 22-23'!$O$3:$O$54</c:f>
              <c:numCache>
                <c:formatCode>General</c:formatCode>
                <c:ptCount val="52"/>
                <c:pt idx="0">
                  <c:v>0</c:v>
                </c:pt>
                <c:pt idx="1">
                  <c:v>0</c:v>
                </c:pt>
                <c:pt idx="2">
                  <c:v>0</c:v>
                </c:pt>
                <c:pt idx="3">
                  <c:v>1</c:v>
                </c:pt>
                <c:pt idx="4">
                  <c:v>2</c:v>
                </c:pt>
                <c:pt idx="5">
                  <c:v>5</c:v>
                </c:pt>
                <c:pt idx="6">
                  <c:v>8</c:v>
                </c:pt>
                <c:pt idx="7">
                  <c:v>8</c:v>
                </c:pt>
                <c:pt idx="8">
                  <c:v>8</c:v>
                </c:pt>
                <c:pt idx="9">
                  <c:v>8</c:v>
                </c:pt>
                <c:pt idx="10">
                  <c:v>8</c:v>
                </c:pt>
                <c:pt idx="11">
                  <c:v>9</c:v>
                </c:pt>
                <c:pt idx="12">
                  <c:v>9</c:v>
                </c:pt>
                <c:pt idx="13">
                  <c:v>9</c:v>
                </c:pt>
                <c:pt idx="14">
                  <c:v>12</c:v>
                </c:pt>
                <c:pt idx="15">
                  <c:v>14</c:v>
                </c:pt>
                <c:pt idx="16">
                  <c:v>17</c:v>
                </c:pt>
                <c:pt idx="17">
                  <c:v>18</c:v>
                </c:pt>
                <c:pt idx="18">
                  <c:v>21</c:v>
                </c:pt>
                <c:pt idx="19">
                  <c:v>21</c:v>
                </c:pt>
                <c:pt idx="20">
                  <c:v>24</c:v>
                </c:pt>
                <c:pt idx="21">
                  <c:v>25</c:v>
                </c:pt>
                <c:pt idx="22">
                  <c:v>25</c:v>
                </c:pt>
                <c:pt idx="23">
                  <c:v>25</c:v>
                </c:pt>
                <c:pt idx="24">
                  <c:v>28</c:v>
                </c:pt>
                <c:pt idx="25">
                  <c:v>28</c:v>
                </c:pt>
                <c:pt idx="26">
                  <c:v>31</c:v>
                </c:pt>
                <c:pt idx="27">
                  <c:v>34</c:v>
                </c:pt>
                <c:pt idx="28">
                  <c:v>36</c:v>
                </c:pt>
                <c:pt idx="29">
                  <c:v>39</c:v>
                </c:pt>
                <c:pt idx="30">
                  <c:v>39</c:v>
                </c:pt>
                <c:pt idx="31">
                  <c:v>39</c:v>
                </c:pt>
                <c:pt idx="32">
                  <c:v>40</c:v>
                </c:pt>
                <c:pt idx="33">
                  <c:v>40</c:v>
                </c:pt>
                <c:pt idx="34">
                  <c:v>41</c:v>
                </c:pt>
                <c:pt idx="35">
                  <c:v>44</c:v>
                </c:pt>
                <c:pt idx="36">
                  <c:v>44</c:v>
                </c:pt>
                <c:pt idx="37">
                  <c:v>44</c:v>
                </c:pt>
                <c:pt idx="38">
                  <c:v>47</c:v>
                </c:pt>
                <c:pt idx="39">
                  <c:v>49</c:v>
                </c:pt>
                <c:pt idx="40">
                  <c:v>49</c:v>
                </c:pt>
                <c:pt idx="41">
                  <c:v>49</c:v>
                </c:pt>
                <c:pt idx="42">
                  <c:v>51</c:v>
                </c:pt>
                <c:pt idx="43">
                  <c:v>51</c:v>
                </c:pt>
                <c:pt idx="44">
                  <c:v>52</c:v>
                </c:pt>
                <c:pt idx="45">
                  <c:v>52</c:v>
                </c:pt>
                <c:pt idx="46">
                  <c:v>54</c:v>
                </c:pt>
                <c:pt idx="47">
                  <c:v>56</c:v>
                </c:pt>
                <c:pt idx="48">
                  <c:v>59</c:v>
                </c:pt>
                <c:pt idx="49">
                  <c:v>62</c:v>
                </c:pt>
                <c:pt idx="50">
                  <c:v>64</c:v>
                </c:pt>
                <c:pt idx="51">
                  <c:v>67</c:v>
                </c:pt>
              </c:numCache>
            </c:numRef>
          </c:yVal>
          <c:smooth val="1"/>
          <c:extLst>
            <c:ext xmlns:c16="http://schemas.microsoft.com/office/drawing/2014/chart" uri="{C3380CC4-5D6E-409C-BE32-E72D297353CC}">
              <c16:uniqueId val="{00000000-4EBE-4E48-AD7F-BA300A3A710C}"/>
            </c:ext>
          </c:extLst>
        </c:ser>
        <c:dLbls>
          <c:showLegendKey val="0"/>
          <c:showVal val="0"/>
          <c:showCatName val="0"/>
          <c:showSerName val="0"/>
          <c:showPercent val="0"/>
          <c:showBubbleSize val="0"/>
        </c:dLbls>
        <c:axId val="105121280"/>
        <c:axId val="105123200"/>
      </c:scatterChart>
      <c:valAx>
        <c:axId val="105121280"/>
        <c:scaling>
          <c:orientation val="minMax"/>
          <c:max val="52"/>
          <c:min val="1"/>
        </c:scaling>
        <c:delete val="0"/>
        <c:axPos val="b"/>
        <c:majorGridlines/>
        <c:title>
          <c:tx>
            <c:rich>
              <a:bodyPr/>
              <a:lstStyle/>
              <a:p>
                <a:pPr>
                  <a:defRPr sz="1200"/>
                </a:pPr>
                <a:r>
                  <a:rPr lang="en-US" sz="1200"/>
                  <a:t>Počet odehraných zápasů</a:t>
                </a:r>
              </a:p>
            </c:rich>
          </c:tx>
          <c:overlay val="0"/>
        </c:title>
        <c:numFmt formatCode="General" sourceLinked="1"/>
        <c:majorTickMark val="out"/>
        <c:minorTickMark val="none"/>
        <c:tickLblPos val="nextTo"/>
        <c:txPr>
          <a:bodyPr/>
          <a:lstStyle/>
          <a:p>
            <a:pPr>
              <a:defRPr sz="1200"/>
            </a:pPr>
            <a:endParaRPr lang="cs-CZ"/>
          </a:p>
        </c:txPr>
        <c:crossAx val="105123200"/>
        <c:crosses val="autoZero"/>
        <c:crossBetween val="midCat"/>
        <c:majorUnit val="1"/>
      </c:valAx>
      <c:valAx>
        <c:axId val="105123200"/>
        <c:scaling>
          <c:orientation val="minMax"/>
          <c:max val="80"/>
          <c:min val="0"/>
        </c:scaling>
        <c:delete val="0"/>
        <c:axPos val="l"/>
        <c:majorGridlines>
          <c:spPr>
            <a:ln>
              <a:solidFill>
                <a:schemeClr val="tx1"/>
              </a:solidFill>
            </a:ln>
          </c:spPr>
        </c:majorGridlines>
        <c:title>
          <c:tx>
            <c:rich>
              <a:bodyPr rot="-5400000" vert="horz"/>
              <a:lstStyle/>
              <a:p>
                <a:pPr>
                  <a:defRPr sz="1200">
                    <a:solidFill>
                      <a:srgbClr val="00B050"/>
                    </a:solidFill>
                  </a:defRPr>
                </a:pPr>
                <a:r>
                  <a:rPr lang="cs-CZ" sz="1200">
                    <a:solidFill>
                      <a:srgbClr val="00B050"/>
                    </a:solidFill>
                  </a:rPr>
                  <a:t>Body</a:t>
                </a:r>
                <a:endParaRPr lang="en-US" sz="1200">
                  <a:solidFill>
                    <a:srgbClr val="00B050"/>
                  </a:solidFill>
                </a:endParaRPr>
              </a:p>
            </c:rich>
          </c:tx>
          <c:overlay val="0"/>
        </c:title>
        <c:numFmt formatCode="General" sourceLinked="1"/>
        <c:majorTickMark val="out"/>
        <c:minorTickMark val="none"/>
        <c:tickLblPos val="nextTo"/>
        <c:txPr>
          <a:bodyPr/>
          <a:lstStyle/>
          <a:p>
            <a:pPr>
              <a:defRPr sz="1200" b="1">
                <a:solidFill>
                  <a:srgbClr val="00B050"/>
                </a:solidFill>
              </a:defRPr>
            </a:pPr>
            <a:endParaRPr lang="cs-CZ"/>
          </a:p>
        </c:txPr>
        <c:crossAx val="105121280"/>
        <c:crosses val="autoZero"/>
        <c:crossBetween val="midCat"/>
        <c:majorUnit val="5"/>
      </c:valAx>
    </c:plotArea>
    <c:plotVisOnly val="1"/>
    <c:dispBlanksAs val="gap"/>
    <c:showDLblsOverMax val="0"/>
  </c:chart>
  <c:printSettings>
    <c:headerFooter/>
    <c:pageMargins b="0.78740157499999996" l="0.70000000000000062" r="0.70000000000000062" t="0.78740157499999996"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smoothMarker"/>
        <c:varyColors val="0"/>
        <c:ser>
          <c:idx val="1"/>
          <c:order val="0"/>
          <c:tx>
            <c:strRef>
              <c:f>'Výsledky a statistiky 23-24'!$N$2</c:f>
              <c:strCache>
                <c:ptCount val="1"/>
                <c:pt idx="0">
                  <c:v>Tabulka pravdy</c:v>
                </c:pt>
              </c:strCache>
            </c:strRef>
          </c:tx>
          <c:marker>
            <c:symbol val="none"/>
          </c:marker>
          <c:xVal>
            <c:numRef>
              <c:f>'Výsledky a statistiky 23-24'!$B$3:$B$55</c:f>
              <c:numCache>
                <c:formatCode>General</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xVal>
          <c:yVal>
            <c:numRef>
              <c:f>'Výsledky a statistiky 23-24'!$N$3:$N$55</c:f>
              <c:numCache>
                <c:formatCode>General</c:formatCode>
                <c:ptCount val="53"/>
                <c:pt idx="0">
                  <c:v>0</c:v>
                </c:pt>
                <c:pt idx="1">
                  <c:v>0</c:v>
                </c:pt>
                <c:pt idx="2">
                  <c:v>3</c:v>
                </c:pt>
                <c:pt idx="3">
                  <c:v>3</c:v>
                </c:pt>
                <c:pt idx="4">
                  <c:v>5</c:v>
                </c:pt>
                <c:pt idx="5">
                  <c:v>5</c:v>
                </c:pt>
                <c:pt idx="6">
                  <c:v>5</c:v>
                </c:pt>
                <c:pt idx="7">
                  <c:v>8</c:v>
                </c:pt>
                <c:pt idx="8">
                  <c:v>8</c:v>
                </c:pt>
                <c:pt idx="9">
                  <c:v>8</c:v>
                </c:pt>
                <c:pt idx="10">
                  <c:v>7</c:v>
                </c:pt>
                <c:pt idx="11">
                  <c:v>7</c:v>
                </c:pt>
                <c:pt idx="12">
                  <c:v>7</c:v>
                </c:pt>
                <c:pt idx="13">
                  <c:v>7</c:v>
                </c:pt>
                <c:pt idx="14">
                  <c:v>7</c:v>
                </c:pt>
                <c:pt idx="15">
                  <c:v>7</c:v>
                </c:pt>
                <c:pt idx="16">
                  <c:v>7</c:v>
                </c:pt>
                <c:pt idx="17">
                  <c:v>4</c:v>
                </c:pt>
                <c:pt idx="18">
                  <c:v>4</c:v>
                </c:pt>
                <c:pt idx="19">
                  <c:v>6</c:v>
                </c:pt>
                <c:pt idx="20">
                  <c:v>6</c:v>
                </c:pt>
                <c:pt idx="21">
                  <c:v>6</c:v>
                </c:pt>
                <c:pt idx="22">
                  <c:v>6</c:v>
                </c:pt>
                <c:pt idx="23">
                  <c:v>6</c:v>
                </c:pt>
                <c:pt idx="24">
                  <c:v>6</c:v>
                </c:pt>
                <c:pt idx="25">
                  <c:v>4</c:v>
                </c:pt>
                <c:pt idx="26">
                  <c:v>7</c:v>
                </c:pt>
                <c:pt idx="27">
                  <c:v>5</c:v>
                </c:pt>
                <c:pt idx="28">
                  <c:v>5</c:v>
                </c:pt>
                <c:pt idx="29">
                  <c:v>8</c:v>
                </c:pt>
                <c:pt idx="30">
                  <c:v>8</c:v>
                </c:pt>
                <c:pt idx="31">
                  <c:v>5</c:v>
                </c:pt>
                <c:pt idx="32">
                  <c:v>5</c:v>
                </c:pt>
                <c:pt idx="33">
                  <c:v>6</c:v>
                </c:pt>
                <c:pt idx="34">
                  <c:v>5</c:v>
                </c:pt>
                <c:pt idx="35">
                  <c:v>5</c:v>
                </c:pt>
                <c:pt idx="36">
                  <c:v>5</c:v>
                </c:pt>
                <c:pt idx="37">
                  <c:v>5</c:v>
                </c:pt>
                <c:pt idx="38">
                  <c:v>5</c:v>
                </c:pt>
                <c:pt idx="39">
                  <c:v>5</c:v>
                </c:pt>
                <c:pt idx="40">
                  <c:v>2</c:v>
                </c:pt>
                <c:pt idx="41">
                  <c:v>5</c:v>
                </c:pt>
                <c:pt idx="42">
                  <c:v>2</c:v>
                </c:pt>
                <c:pt idx="43">
                  <c:v>2</c:v>
                </c:pt>
                <c:pt idx="44">
                  <c:v>0</c:v>
                </c:pt>
                <c:pt idx="45">
                  <c:v>3</c:v>
                </c:pt>
                <c:pt idx="46">
                  <c:v>3</c:v>
                </c:pt>
                <c:pt idx="47">
                  <c:v>6</c:v>
                </c:pt>
                <c:pt idx="48">
                  <c:v>3</c:v>
                </c:pt>
                <c:pt idx="49">
                  <c:v>3</c:v>
                </c:pt>
                <c:pt idx="50">
                  <c:v>3</c:v>
                </c:pt>
                <c:pt idx="51">
                  <c:v>5</c:v>
                </c:pt>
              </c:numCache>
            </c:numRef>
          </c:yVal>
          <c:smooth val="1"/>
          <c:extLst>
            <c:ext xmlns:c16="http://schemas.microsoft.com/office/drawing/2014/chart" uri="{C3380CC4-5D6E-409C-BE32-E72D297353CC}">
              <c16:uniqueId val="{00000000-E589-4673-B0A8-2136EE442929}"/>
            </c:ext>
          </c:extLst>
        </c:ser>
        <c:dLbls>
          <c:showLegendKey val="0"/>
          <c:showVal val="0"/>
          <c:showCatName val="0"/>
          <c:showSerName val="0"/>
          <c:showPercent val="0"/>
          <c:showBubbleSize val="0"/>
        </c:dLbls>
        <c:axId val="105078784"/>
        <c:axId val="105080704"/>
      </c:scatterChart>
      <c:valAx>
        <c:axId val="105078784"/>
        <c:scaling>
          <c:orientation val="minMax"/>
          <c:max val="52"/>
          <c:min val="1"/>
        </c:scaling>
        <c:delete val="0"/>
        <c:axPos val="b"/>
        <c:majorGridlines/>
        <c:title>
          <c:tx>
            <c:rich>
              <a:bodyPr/>
              <a:lstStyle/>
              <a:p>
                <a:pPr>
                  <a:defRPr sz="1200"/>
                </a:pPr>
                <a:r>
                  <a:rPr lang="en-US" sz="1200"/>
                  <a:t>Počet odehraných zápasů</a:t>
                </a:r>
              </a:p>
            </c:rich>
          </c:tx>
          <c:overlay val="0"/>
        </c:title>
        <c:numFmt formatCode="General" sourceLinked="1"/>
        <c:majorTickMark val="out"/>
        <c:minorTickMark val="none"/>
        <c:tickLblPos val="nextTo"/>
        <c:txPr>
          <a:bodyPr/>
          <a:lstStyle/>
          <a:p>
            <a:pPr>
              <a:defRPr sz="1200"/>
            </a:pPr>
            <a:endParaRPr lang="cs-CZ"/>
          </a:p>
        </c:txPr>
        <c:crossAx val="105080704"/>
        <c:crosses val="autoZero"/>
        <c:crossBetween val="midCat"/>
        <c:majorUnit val="1"/>
      </c:valAx>
      <c:valAx>
        <c:axId val="105080704"/>
        <c:scaling>
          <c:orientation val="minMax"/>
        </c:scaling>
        <c:delete val="0"/>
        <c:axPos val="l"/>
        <c:majorGridlines>
          <c:spPr>
            <a:ln>
              <a:solidFill>
                <a:schemeClr val="accent1"/>
              </a:solidFill>
            </a:ln>
          </c:spPr>
        </c:majorGridlines>
        <c:title>
          <c:tx>
            <c:rich>
              <a:bodyPr rot="-5400000" vert="horz"/>
              <a:lstStyle/>
              <a:p>
                <a:pPr>
                  <a:defRPr sz="1200"/>
                </a:pPr>
                <a:r>
                  <a:rPr lang="cs-CZ" sz="1200"/>
                  <a:t>T</a:t>
                </a:r>
                <a:r>
                  <a:rPr lang="en-US" sz="1200"/>
                  <a:t>abulka pravdy</a:t>
                </a:r>
              </a:p>
            </c:rich>
          </c:tx>
          <c:overlay val="0"/>
        </c:title>
        <c:numFmt formatCode="General" sourceLinked="1"/>
        <c:majorTickMark val="out"/>
        <c:minorTickMark val="none"/>
        <c:tickLblPos val="nextTo"/>
        <c:txPr>
          <a:bodyPr/>
          <a:lstStyle/>
          <a:p>
            <a:pPr>
              <a:defRPr sz="1200"/>
            </a:pPr>
            <a:endParaRPr lang="cs-CZ"/>
          </a:p>
        </c:txPr>
        <c:crossAx val="105078784"/>
        <c:crosses val="autoZero"/>
        <c:crossBetween val="midCat"/>
        <c:majorUnit val="3"/>
      </c:valAx>
    </c:plotArea>
    <c:plotVisOnly val="1"/>
    <c:dispBlanksAs val="gap"/>
    <c:showDLblsOverMax val="0"/>
  </c:chart>
  <c:printSettings>
    <c:headerFooter/>
    <c:pageMargins b="0.78740157499999996" l="0.70000000000000062" r="0.70000000000000062" t="0.78740157499999996"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cs-CZ"/>
              <a:t>Získané body</a:t>
            </a:r>
            <a:endParaRPr lang="en-US"/>
          </a:p>
        </c:rich>
      </c:tx>
      <c:overlay val="0"/>
    </c:title>
    <c:autoTitleDeleted val="0"/>
    <c:plotArea>
      <c:layout/>
      <c:scatterChart>
        <c:scatterStyle val="smoothMarker"/>
        <c:varyColors val="0"/>
        <c:ser>
          <c:idx val="2"/>
          <c:order val="0"/>
          <c:tx>
            <c:strRef>
              <c:f>'Výsledky a statistiky 23-24'!$O$2</c:f>
              <c:strCache>
                <c:ptCount val="1"/>
                <c:pt idx="0">
                  <c:v>Bodů celkově</c:v>
                </c:pt>
              </c:strCache>
            </c:strRef>
          </c:tx>
          <c:marker>
            <c:symbol val="none"/>
          </c:marker>
          <c:xVal>
            <c:numRef>
              <c:f>'Výsledky a statistiky 23-24'!$B$3:$B$55</c:f>
              <c:numCache>
                <c:formatCode>General</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xVal>
          <c:yVal>
            <c:numRef>
              <c:f>'Výsledky a statistiky 23-24'!$O$3:$O$54</c:f>
              <c:numCache>
                <c:formatCode>General</c:formatCode>
                <c:ptCount val="52"/>
                <c:pt idx="0">
                  <c:v>0</c:v>
                </c:pt>
                <c:pt idx="1">
                  <c:v>3</c:v>
                </c:pt>
                <c:pt idx="2">
                  <c:v>6</c:v>
                </c:pt>
                <c:pt idx="3">
                  <c:v>9</c:v>
                </c:pt>
                <c:pt idx="4">
                  <c:v>11</c:v>
                </c:pt>
                <c:pt idx="5">
                  <c:v>14</c:v>
                </c:pt>
                <c:pt idx="6">
                  <c:v>17</c:v>
                </c:pt>
                <c:pt idx="7">
                  <c:v>20</c:v>
                </c:pt>
                <c:pt idx="8">
                  <c:v>23</c:v>
                </c:pt>
                <c:pt idx="9">
                  <c:v>26</c:v>
                </c:pt>
                <c:pt idx="10">
                  <c:v>28</c:v>
                </c:pt>
                <c:pt idx="11">
                  <c:v>31</c:v>
                </c:pt>
                <c:pt idx="12">
                  <c:v>31</c:v>
                </c:pt>
                <c:pt idx="13">
                  <c:v>34</c:v>
                </c:pt>
                <c:pt idx="14">
                  <c:v>34</c:v>
                </c:pt>
                <c:pt idx="15">
                  <c:v>37</c:v>
                </c:pt>
                <c:pt idx="16">
                  <c:v>37</c:v>
                </c:pt>
                <c:pt idx="17">
                  <c:v>37</c:v>
                </c:pt>
                <c:pt idx="18">
                  <c:v>37</c:v>
                </c:pt>
                <c:pt idx="19">
                  <c:v>39</c:v>
                </c:pt>
                <c:pt idx="20">
                  <c:v>42</c:v>
                </c:pt>
                <c:pt idx="21">
                  <c:v>42</c:v>
                </c:pt>
                <c:pt idx="22">
                  <c:v>42</c:v>
                </c:pt>
                <c:pt idx="23">
                  <c:v>42</c:v>
                </c:pt>
                <c:pt idx="24">
                  <c:v>42</c:v>
                </c:pt>
                <c:pt idx="25">
                  <c:v>43</c:v>
                </c:pt>
                <c:pt idx="26">
                  <c:v>46</c:v>
                </c:pt>
                <c:pt idx="27">
                  <c:v>47</c:v>
                </c:pt>
                <c:pt idx="28">
                  <c:v>50</c:v>
                </c:pt>
                <c:pt idx="29">
                  <c:v>53</c:v>
                </c:pt>
                <c:pt idx="30">
                  <c:v>56</c:v>
                </c:pt>
                <c:pt idx="31">
                  <c:v>56</c:v>
                </c:pt>
                <c:pt idx="32">
                  <c:v>59</c:v>
                </c:pt>
                <c:pt idx="33">
                  <c:v>60</c:v>
                </c:pt>
                <c:pt idx="34">
                  <c:v>62</c:v>
                </c:pt>
                <c:pt idx="35">
                  <c:v>62</c:v>
                </c:pt>
                <c:pt idx="36">
                  <c:v>62</c:v>
                </c:pt>
                <c:pt idx="37">
                  <c:v>65</c:v>
                </c:pt>
                <c:pt idx="38">
                  <c:v>65</c:v>
                </c:pt>
                <c:pt idx="39">
                  <c:v>68</c:v>
                </c:pt>
                <c:pt idx="40">
                  <c:v>68</c:v>
                </c:pt>
                <c:pt idx="41">
                  <c:v>71</c:v>
                </c:pt>
                <c:pt idx="42">
                  <c:v>71</c:v>
                </c:pt>
                <c:pt idx="43">
                  <c:v>71</c:v>
                </c:pt>
                <c:pt idx="44">
                  <c:v>72</c:v>
                </c:pt>
                <c:pt idx="45">
                  <c:v>75</c:v>
                </c:pt>
                <c:pt idx="46">
                  <c:v>75</c:v>
                </c:pt>
                <c:pt idx="47">
                  <c:v>78</c:v>
                </c:pt>
                <c:pt idx="48">
                  <c:v>78</c:v>
                </c:pt>
                <c:pt idx="49">
                  <c:v>78</c:v>
                </c:pt>
                <c:pt idx="50">
                  <c:v>81</c:v>
                </c:pt>
                <c:pt idx="51">
                  <c:v>83</c:v>
                </c:pt>
              </c:numCache>
            </c:numRef>
          </c:yVal>
          <c:smooth val="1"/>
          <c:extLst>
            <c:ext xmlns:c16="http://schemas.microsoft.com/office/drawing/2014/chart" uri="{C3380CC4-5D6E-409C-BE32-E72D297353CC}">
              <c16:uniqueId val="{00000000-3F44-4137-927F-F9F9DE7F53A2}"/>
            </c:ext>
          </c:extLst>
        </c:ser>
        <c:dLbls>
          <c:showLegendKey val="0"/>
          <c:showVal val="0"/>
          <c:showCatName val="0"/>
          <c:showSerName val="0"/>
          <c:showPercent val="0"/>
          <c:showBubbleSize val="0"/>
        </c:dLbls>
        <c:axId val="105121280"/>
        <c:axId val="105123200"/>
      </c:scatterChart>
      <c:valAx>
        <c:axId val="105121280"/>
        <c:scaling>
          <c:orientation val="minMax"/>
          <c:max val="52"/>
          <c:min val="1"/>
        </c:scaling>
        <c:delete val="0"/>
        <c:axPos val="b"/>
        <c:majorGridlines/>
        <c:title>
          <c:tx>
            <c:rich>
              <a:bodyPr/>
              <a:lstStyle/>
              <a:p>
                <a:pPr>
                  <a:defRPr sz="1200"/>
                </a:pPr>
                <a:r>
                  <a:rPr lang="en-US" sz="1200"/>
                  <a:t>Počet odehraných zápasů</a:t>
                </a:r>
              </a:p>
            </c:rich>
          </c:tx>
          <c:overlay val="0"/>
        </c:title>
        <c:numFmt formatCode="General" sourceLinked="1"/>
        <c:majorTickMark val="out"/>
        <c:minorTickMark val="none"/>
        <c:tickLblPos val="nextTo"/>
        <c:txPr>
          <a:bodyPr/>
          <a:lstStyle/>
          <a:p>
            <a:pPr>
              <a:defRPr sz="1200"/>
            </a:pPr>
            <a:endParaRPr lang="cs-CZ"/>
          </a:p>
        </c:txPr>
        <c:crossAx val="105123200"/>
        <c:crosses val="autoZero"/>
        <c:crossBetween val="midCat"/>
        <c:majorUnit val="1"/>
      </c:valAx>
      <c:valAx>
        <c:axId val="105123200"/>
        <c:scaling>
          <c:orientation val="minMax"/>
          <c:max val="80"/>
          <c:min val="0"/>
        </c:scaling>
        <c:delete val="0"/>
        <c:axPos val="l"/>
        <c:majorGridlines>
          <c:spPr>
            <a:ln>
              <a:solidFill>
                <a:schemeClr val="tx1"/>
              </a:solidFill>
            </a:ln>
          </c:spPr>
        </c:majorGridlines>
        <c:title>
          <c:tx>
            <c:rich>
              <a:bodyPr rot="-5400000" vert="horz"/>
              <a:lstStyle/>
              <a:p>
                <a:pPr>
                  <a:defRPr sz="1200">
                    <a:solidFill>
                      <a:srgbClr val="00B050"/>
                    </a:solidFill>
                  </a:defRPr>
                </a:pPr>
                <a:r>
                  <a:rPr lang="cs-CZ" sz="1200">
                    <a:solidFill>
                      <a:srgbClr val="00B050"/>
                    </a:solidFill>
                  </a:rPr>
                  <a:t>Body</a:t>
                </a:r>
                <a:endParaRPr lang="en-US" sz="1200">
                  <a:solidFill>
                    <a:srgbClr val="00B050"/>
                  </a:solidFill>
                </a:endParaRPr>
              </a:p>
            </c:rich>
          </c:tx>
          <c:overlay val="0"/>
        </c:title>
        <c:numFmt formatCode="General" sourceLinked="1"/>
        <c:majorTickMark val="out"/>
        <c:minorTickMark val="none"/>
        <c:tickLblPos val="nextTo"/>
        <c:txPr>
          <a:bodyPr/>
          <a:lstStyle/>
          <a:p>
            <a:pPr>
              <a:defRPr sz="1200" b="1">
                <a:solidFill>
                  <a:srgbClr val="00B050"/>
                </a:solidFill>
              </a:defRPr>
            </a:pPr>
            <a:endParaRPr lang="cs-CZ"/>
          </a:p>
        </c:txPr>
        <c:crossAx val="105121280"/>
        <c:crosses val="autoZero"/>
        <c:crossBetween val="midCat"/>
        <c:majorUnit val="5"/>
      </c:valAx>
    </c:plotArea>
    <c:plotVisOnly val="1"/>
    <c:dispBlanksAs val="gap"/>
    <c:showDLblsOverMax val="0"/>
  </c:chart>
  <c:printSettings>
    <c:headerFooter/>
    <c:pageMargins b="0.78740157499999996" l="0.70000000000000062" r="0.70000000000000062" t="0.78740157499999996"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smoothMarker"/>
        <c:varyColors val="0"/>
        <c:ser>
          <c:idx val="1"/>
          <c:order val="0"/>
          <c:tx>
            <c:strRef>
              <c:f>'Výsledky a statistiky 24-25'!$N$2</c:f>
              <c:strCache>
                <c:ptCount val="1"/>
                <c:pt idx="0">
                  <c:v>Tabulka pravdy</c:v>
                </c:pt>
              </c:strCache>
            </c:strRef>
          </c:tx>
          <c:marker>
            <c:symbol val="none"/>
          </c:marker>
          <c:xVal>
            <c:numRef>
              <c:f>'Výsledky a statistiky 24-25'!$B$3:$B$55</c:f>
              <c:numCache>
                <c:formatCode>General</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xVal>
          <c:yVal>
            <c:numRef>
              <c:f>'Výsledky a statistiky 24-25'!$N$3:$N$55</c:f>
              <c:numCache>
                <c:formatCode>General</c:formatCode>
                <c:ptCount val="53"/>
                <c:pt idx="0">
                  <c:v>0</c:v>
                </c:pt>
                <c:pt idx="1">
                  <c:v>3</c:v>
                </c:pt>
                <c:pt idx="2">
                  <c:v>3</c:v>
                </c:pt>
                <c:pt idx="3">
                  <c:v>6</c:v>
                </c:pt>
                <c:pt idx="4">
                  <c:v>6</c:v>
                </c:pt>
                <c:pt idx="5">
                  <c:v>9</c:v>
                </c:pt>
                <c:pt idx="6">
                  <c:v>9</c:v>
                </c:pt>
                <c:pt idx="7">
                  <c:v>9</c:v>
                </c:pt>
                <c:pt idx="8">
                  <c:v>10</c:v>
                </c:pt>
                <c:pt idx="9">
                  <c:v>7</c:v>
                </c:pt>
                <c:pt idx="10">
                  <c:v>4</c:v>
                </c:pt>
                <c:pt idx="11">
                  <c:v>4</c:v>
                </c:pt>
                <c:pt idx="12">
                  <c:v>5</c:v>
                </c:pt>
                <c:pt idx="13">
                  <c:v>5</c:v>
                </c:pt>
                <c:pt idx="14">
                  <c:v>5</c:v>
                </c:pt>
                <c:pt idx="15">
                  <c:v>8</c:v>
                </c:pt>
                <c:pt idx="16">
                  <c:v>8</c:v>
                </c:pt>
                <c:pt idx="17">
                  <c:v>8</c:v>
                </c:pt>
                <c:pt idx="18">
                  <c:v>8</c:v>
                </c:pt>
                <c:pt idx="19">
                  <c:v>11</c:v>
                </c:pt>
                <c:pt idx="20">
                  <c:v>11</c:v>
                </c:pt>
                <c:pt idx="21">
                  <c:v>11</c:v>
                </c:pt>
                <c:pt idx="22">
                  <c:v>8</c:v>
                </c:pt>
                <c:pt idx="23">
                  <c:v>8</c:v>
                </c:pt>
                <c:pt idx="24">
                  <c:v>11</c:v>
                </c:pt>
                <c:pt idx="25">
                  <c:v>14</c:v>
                </c:pt>
                <c:pt idx="26">
                  <c:v>11</c:v>
                </c:pt>
                <c:pt idx="27">
                  <c:v>14</c:v>
                </c:pt>
                <c:pt idx="28">
                  <c:v>14</c:v>
                </c:pt>
                <c:pt idx="29">
                  <c:v>17</c:v>
                </c:pt>
                <c:pt idx="30">
                  <c:v>17</c:v>
                </c:pt>
                <c:pt idx="31">
                  <c:v>17</c:v>
                </c:pt>
                <c:pt idx="32">
                  <c:v>14</c:v>
                </c:pt>
                <c:pt idx="33">
                  <c:v>11</c:v>
                </c:pt>
                <c:pt idx="34">
                  <c:v>11</c:v>
                </c:pt>
                <c:pt idx="35">
                  <c:v>11</c:v>
                </c:pt>
                <c:pt idx="36">
                  <c:v>14</c:v>
                </c:pt>
                <c:pt idx="37">
                  <c:v>14</c:v>
                </c:pt>
                <c:pt idx="38">
                  <c:v>11</c:v>
                </c:pt>
                <c:pt idx="39">
                  <c:v>12</c:v>
                </c:pt>
                <c:pt idx="40">
                  <c:v>9</c:v>
                </c:pt>
                <c:pt idx="41">
                  <c:v>9</c:v>
                </c:pt>
                <c:pt idx="42">
                  <c:v>9</c:v>
                </c:pt>
                <c:pt idx="43">
                  <c:v>9</c:v>
                </c:pt>
                <c:pt idx="44">
                  <c:v>6</c:v>
                </c:pt>
                <c:pt idx="45">
                  <c:v>6</c:v>
                </c:pt>
                <c:pt idx="46">
                  <c:v>3</c:v>
                </c:pt>
                <c:pt idx="47">
                  <c:v>3</c:v>
                </c:pt>
                <c:pt idx="48">
                  <c:v>3</c:v>
                </c:pt>
                <c:pt idx="49">
                  <c:v>5</c:v>
                </c:pt>
                <c:pt idx="50">
                  <c:v>5</c:v>
                </c:pt>
                <c:pt idx="51">
                  <c:v>2</c:v>
                </c:pt>
              </c:numCache>
            </c:numRef>
          </c:yVal>
          <c:smooth val="1"/>
          <c:extLst>
            <c:ext xmlns:c16="http://schemas.microsoft.com/office/drawing/2014/chart" uri="{C3380CC4-5D6E-409C-BE32-E72D297353CC}">
              <c16:uniqueId val="{00000000-4D29-4312-A691-D1290828E46A}"/>
            </c:ext>
          </c:extLst>
        </c:ser>
        <c:dLbls>
          <c:showLegendKey val="0"/>
          <c:showVal val="0"/>
          <c:showCatName val="0"/>
          <c:showSerName val="0"/>
          <c:showPercent val="0"/>
          <c:showBubbleSize val="0"/>
        </c:dLbls>
        <c:axId val="105078784"/>
        <c:axId val="105080704"/>
      </c:scatterChart>
      <c:valAx>
        <c:axId val="105078784"/>
        <c:scaling>
          <c:orientation val="minMax"/>
          <c:max val="52"/>
          <c:min val="1"/>
        </c:scaling>
        <c:delete val="0"/>
        <c:axPos val="b"/>
        <c:majorGridlines/>
        <c:title>
          <c:tx>
            <c:rich>
              <a:bodyPr/>
              <a:lstStyle/>
              <a:p>
                <a:pPr>
                  <a:defRPr sz="1200"/>
                </a:pPr>
                <a:r>
                  <a:rPr lang="en-US" sz="1200"/>
                  <a:t>Počet odehraných zápasů</a:t>
                </a:r>
              </a:p>
            </c:rich>
          </c:tx>
          <c:overlay val="0"/>
        </c:title>
        <c:numFmt formatCode="General" sourceLinked="1"/>
        <c:majorTickMark val="out"/>
        <c:minorTickMark val="none"/>
        <c:tickLblPos val="nextTo"/>
        <c:txPr>
          <a:bodyPr/>
          <a:lstStyle/>
          <a:p>
            <a:pPr>
              <a:defRPr sz="1200"/>
            </a:pPr>
            <a:endParaRPr lang="cs-CZ"/>
          </a:p>
        </c:txPr>
        <c:crossAx val="105080704"/>
        <c:crosses val="autoZero"/>
        <c:crossBetween val="midCat"/>
        <c:majorUnit val="1"/>
      </c:valAx>
      <c:valAx>
        <c:axId val="105080704"/>
        <c:scaling>
          <c:orientation val="minMax"/>
        </c:scaling>
        <c:delete val="0"/>
        <c:axPos val="l"/>
        <c:majorGridlines>
          <c:spPr>
            <a:ln>
              <a:solidFill>
                <a:schemeClr val="accent1"/>
              </a:solidFill>
            </a:ln>
          </c:spPr>
        </c:majorGridlines>
        <c:title>
          <c:tx>
            <c:rich>
              <a:bodyPr rot="-5400000" vert="horz"/>
              <a:lstStyle/>
              <a:p>
                <a:pPr>
                  <a:defRPr sz="1200"/>
                </a:pPr>
                <a:r>
                  <a:rPr lang="cs-CZ" sz="1200"/>
                  <a:t>T</a:t>
                </a:r>
                <a:r>
                  <a:rPr lang="en-US" sz="1200"/>
                  <a:t>abulka pravdy</a:t>
                </a:r>
              </a:p>
            </c:rich>
          </c:tx>
          <c:overlay val="0"/>
        </c:title>
        <c:numFmt formatCode="General" sourceLinked="1"/>
        <c:majorTickMark val="out"/>
        <c:minorTickMark val="none"/>
        <c:tickLblPos val="nextTo"/>
        <c:txPr>
          <a:bodyPr/>
          <a:lstStyle/>
          <a:p>
            <a:pPr>
              <a:defRPr sz="1200"/>
            </a:pPr>
            <a:endParaRPr lang="cs-CZ"/>
          </a:p>
        </c:txPr>
        <c:crossAx val="105078784"/>
        <c:crosses val="autoZero"/>
        <c:crossBetween val="midCat"/>
        <c:majorUnit val="3"/>
      </c:valAx>
    </c:plotArea>
    <c:plotVisOnly val="1"/>
    <c:dispBlanksAs val="gap"/>
    <c:showDLblsOverMax val="0"/>
  </c:chart>
  <c:printSettings>
    <c:headerFooter/>
    <c:pageMargins b="0.78740157499999996" l="0.70000000000000062" r="0.70000000000000062" t="0.78740157499999996"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cs-CZ"/>
              <a:t>Získané body</a:t>
            </a:r>
            <a:endParaRPr lang="en-US"/>
          </a:p>
        </c:rich>
      </c:tx>
      <c:overlay val="0"/>
    </c:title>
    <c:autoTitleDeleted val="0"/>
    <c:plotArea>
      <c:layout/>
      <c:scatterChart>
        <c:scatterStyle val="smoothMarker"/>
        <c:varyColors val="0"/>
        <c:ser>
          <c:idx val="2"/>
          <c:order val="0"/>
          <c:tx>
            <c:strRef>
              <c:f>'Výsledky a statistiky 24-25'!$O$2</c:f>
              <c:strCache>
                <c:ptCount val="1"/>
                <c:pt idx="0">
                  <c:v>Bodů celkově</c:v>
                </c:pt>
              </c:strCache>
            </c:strRef>
          </c:tx>
          <c:marker>
            <c:symbol val="none"/>
          </c:marker>
          <c:xVal>
            <c:numRef>
              <c:f>'Výsledky a statistiky 24-25'!$B$3:$B$55</c:f>
              <c:numCache>
                <c:formatCode>General</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xVal>
          <c:yVal>
            <c:numRef>
              <c:f>'Výsledky a statistiky 24-25'!$O$3:$O$54</c:f>
              <c:numCache>
                <c:formatCode>General</c:formatCode>
                <c:ptCount val="52"/>
                <c:pt idx="0">
                  <c:v>3</c:v>
                </c:pt>
                <c:pt idx="1">
                  <c:v>6</c:v>
                </c:pt>
                <c:pt idx="2">
                  <c:v>9</c:v>
                </c:pt>
                <c:pt idx="3">
                  <c:v>12</c:v>
                </c:pt>
                <c:pt idx="4">
                  <c:v>15</c:v>
                </c:pt>
                <c:pt idx="5">
                  <c:v>18</c:v>
                </c:pt>
                <c:pt idx="6">
                  <c:v>21</c:v>
                </c:pt>
                <c:pt idx="7">
                  <c:v>21</c:v>
                </c:pt>
                <c:pt idx="8">
                  <c:v>22</c:v>
                </c:pt>
                <c:pt idx="9">
                  <c:v>22</c:v>
                </c:pt>
                <c:pt idx="10">
                  <c:v>22</c:v>
                </c:pt>
                <c:pt idx="11">
                  <c:v>25</c:v>
                </c:pt>
                <c:pt idx="12">
                  <c:v>26</c:v>
                </c:pt>
                <c:pt idx="13">
                  <c:v>26</c:v>
                </c:pt>
                <c:pt idx="14">
                  <c:v>29</c:v>
                </c:pt>
                <c:pt idx="15">
                  <c:v>32</c:v>
                </c:pt>
                <c:pt idx="16">
                  <c:v>35</c:v>
                </c:pt>
                <c:pt idx="17">
                  <c:v>35</c:v>
                </c:pt>
                <c:pt idx="18">
                  <c:v>38</c:v>
                </c:pt>
                <c:pt idx="19">
                  <c:v>41</c:v>
                </c:pt>
                <c:pt idx="20">
                  <c:v>44</c:v>
                </c:pt>
                <c:pt idx="21">
                  <c:v>44</c:v>
                </c:pt>
                <c:pt idx="22">
                  <c:v>44</c:v>
                </c:pt>
                <c:pt idx="23">
                  <c:v>47</c:v>
                </c:pt>
                <c:pt idx="24">
                  <c:v>50</c:v>
                </c:pt>
                <c:pt idx="25">
                  <c:v>53</c:v>
                </c:pt>
                <c:pt idx="26">
                  <c:v>53</c:v>
                </c:pt>
                <c:pt idx="27">
                  <c:v>56</c:v>
                </c:pt>
                <c:pt idx="28">
                  <c:v>59</c:v>
                </c:pt>
                <c:pt idx="29">
                  <c:v>62</c:v>
                </c:pt>
                <c:pt idx="30">
                  <c:v>65</c:v>
                </c:pt>
                <c:pt idx="31">
                  <c:v>65</c:v>
                </c:pt>
                <c:pt idx="32">
                  <c:v>65</c:v>
                </c:pt>
                <c:pt idx="33">
                  <c:v>65</c:v>
                </c:pt>
                <c:pt idx="34">
                  <c:v>65</c:v>
                </c:pt>
                <c:pt idx="35">
                  <c:v>65</c:v>
                </c:pt>
                <c:pt idx="36">
                  <c:v>68</c:v>
                </c:pt>
                <c:pt idx="37">
                  <c:v>71</c:v>
                </c:pt>
                <c:pt idx="38">
                  <c:v>71</c:v>
                </c:pt>
                <c:pt idx="39">
                  <c:v>72</c:v>
                </c:pt>
                <c:pt idx="40">
                  <c:v>72</c:v>
                </c:pt>
                <c:pt idx="41">
                  <c:v>72</c:v>
                </c:pt>
                <c:pt idx="42">
                  <c:v>75</c:v>
                </c:pt>
                <c:pt idx="43">
                  <c:v>75</c:v>
                </c:pt>
                <c:pt idx="44">
                  <c:v>75</c:v>
                </c:pt>
                <c:pt idx="45">
                  <c:v>75</c:v>
                </c:pt>
                <c:pt idx="46">
                  <c:v>75</c:v>
                </c:pt>
                <c:pt idx="47">
                  <c:v>78</c:v>
                </c:pt>
                <c:pt idx="48">
                  <c:v>78</c:v>
                </c:pt>
                <c:pt idx="49">
                  <c:v>80</c:v>
                </c:pt>
                <c:pt idx="50">
                  <c:v>80</c:v>
                </c:pt>
                <c:pt idx="51">
                  <c:v>80</c:v>
                </c:pt>
              </c:numCache>
            </c:numRef>
          </c:yVal>
          <c:smooth val="1"/>
          <c:extLst>
            <c:ext xmlns:c16="http://schemas.microsoft.com/office/drawing/2014/chart" uri="{C3380CC4-5D6E-409C-BE32-E72D297353CC}">
              <c16:uniqueId val="{00000000-F04C-41E8-AC07-AD6EAD5B30FC}"/>
            </c:ext>
          </c:extLst>
        </c:ser>
        <c:dLbls>
          <c:showLegendKey val="0"/>
          <c:showVal val="0"/>
          <c:showCatName val="0"/>
          <c:showSerName val="0"/>
          <c:showPercent val="0"/>
          <c:showBubbleSize val="0"/>
        </c:dLbls>
        <c:axId val="105121280"/>
        <c:axId val="105123200"/>
      </c:scatterChart>
      <c:valAx>
        <c:axId val="105121280"/>
        <c:scaling>
          <c:orientation val="minMax"/>
          <c:max val="52"/>
          <c:min val="1"/>
        </c:scaling>
        <c:delete val="0"/>
        <c:axPos val="b"/>
        <c:majorGridlines/>
        <c:title>
          <c:tx>
            <c:rich>
              <a:bodyPr/>
              <a:lstStyle/>
              <a:p>
                <a:pPr>
                  <a:defRPr sz="1200"/>
                </a:pPr>
                <a:r>
                  <a:rPr lang="en-US" sz="1200"/>
                  <a:t>Počet odehraných zápasů</a:t>
                </a:r>
              </a:p>
            </c:rich>
          </c:tx>
          <c:overlay val="0"/>
        </c:title>
        <c:numFmt formatCode="General" sourceLinked="1"/>
        <c:majorTickMark val="out"/>
        <c:minorTickMark val="none"/>
        <c:tickLblPos val="nextTo"/>
        <c:txPr>
          <a:bodyPr/>
          <a:lstStyle/>
          <a:p>
            <a:pPr>
              <a:defRPr sz="1200"/>
            </a:pPr>
            <a:endParaRPr lang="cs-CZ"/>
          </a:p>
        </c:txPr>
        <c:crossAx val="105123200"/>
        <c:crosses val="autoZero"/>
        <c:crossBetween val="midCat"/>
        <c:majorUnit val="1"/>
      </c:valAx>
      <c:valAx>
        <c:axId val="105123200"/>
        <c:scaling>
          <c:orientation val="minMax"/>
          <c:max val="80"/>
          <c:min val="0"/>
        </c:scaling>
        <c:delete val="0"/>
        <c:axPos val="l"/>
        <c:majorGridlines>
          <c:spPr>
            <a:ln>
              <a:solidFill>
                <a:schemeClr val="tx1"/>
              </a:solidFill>
            </a:ln>
          </c:spPr>
        </c:majorGridlines>
        <c:title>
          <c:tx>
            <c:rich>
              <a:bodyPr rot="-5400000" vert="horz"/>
              <a:lstStyle/>
              <a:p>
                <a:pPr>
                  <a:defRPr sz="1200">
                    <a:solidFill>
                      <a:srgbClr val="00B050"/>
                    </a:solidFill>
                  </a:defRPr>
                </a:pPr>
                <a:r>
                  <a:rPr lang="cs-CZ" sz="1200">
                    <a:solidFill>
                      <a:srgbClr val="00B050"/>
                    </a:solidFill>
                  </a:rPr>
                  <a:t>Body</a:t>
                </a:r>
                <a:endParaRPr lang="en-US" sz="1200">
                  <a:solidFill>
                    <a:srgbClr val="00B050"/>
                  </a:solidFill>
                </a:endParaRPr>
              </a:p>
            </c:rich>
          </c:tx>
          <c:overlay val="0"/>
        </c:title>
        <c:numFmt formatCode="General" sourceLinked="1"/>
        <c:majorTickMark val="out"/>
        <c:minorTickMark val="none"/>
        <c:tickLblPos val="nextTo"/>
        <c:txPr>
          <a:bodyPr/>
          <a:lstStyle/>
          <a:p>
            <a:pPr>
              <a:defRPr sz="1200" b="1">
                <a:solidFill>
                  <a:srgbClr val="00B050"/>
                </a:solidFill>
              </a:defRPr>
            </a:pPr>
            <a:endParaRPr lang="cs-CZ"/>
          </a:p>
        </c:txPr>
        <c:crossAx val="105121280"/>
        <c:crosses val="autoZero"/>
        <c:crossBetween val="midCat"/>
        <c:majorUnit val="5"/>
      </c:valAx>
    </c:plotArea>
    <c:plotVisOnly val="1"/>
    <c:dispBlanksAs val="gap"/>
    <c:showDLblsOverMax val="0"/>
  </c:chart>
  <c:printSettings>
    <c:headerFooter/>
    <c:pageMargins b="0.78740157499999996" l="0.70000000000000062" r="0.70000000000000062" t="0.78740157499999996"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smoothMarker"/>
        <c:varyColors val="0"/>
        <c:ser>
          <c:idx val="1"/>
          <c:order val="0"/>
          <c:tx>
            <c:strRef>
              <c:f>'Výsledky a statistiky 25-26'!$N$2</c:f>
              <c:strCache>
                <c:ptCount val="1"/>
                <c:pt idx="0">
                  <c:v>Tabulka pravdy</c:v>
                </c:pt>
              </c:strCache>
            </c:strRef>
          </c:tx>
          <c:marker>
            <c:symbol val="none"/>
          </c:marker>
          <c:xVal>
            <c:numRef>
              <c:f>'Výsledky a statistiky 25-26'!$B$3:$B$55</c:f>
              <c:numCache>
                <c:formatCode>General</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numCache>
            </c:numRef>
          </c:xVal>
          <c:yVal>
            <c:numRef>
              <c:f>'Výsledky a statistiky 25-26'!$N$3:$N$55</c:f>
              <c:numCache>
                <c:formatCode>General</c:formatCode>
                <c:ptCount val="53"/>
                <c:pt idx="0">
                  <c:v>0</c:v>
                </c:pt>
                <c:pt idx="1">
                  <c:v>-3</c:v>
                </c:pt>
                <c:pt idx="2">
                  <c:v>-6</c:v>
                </c:pt>
                <c:pt idx="3">
                  <c:v>-3</c:v>
                </c:pt>
                <c:pt idx="4">
                  <c:v>-6</c:v>
                </c:pt>
                <c:pt idx="5">
                  <c:v>-6</c:v>
                </c:pt>
                <c:pt idx="6">
                  <c:v>-6</c:v>
                </c:pt>
                <c:pt idx="7">
                  <c:v>-9</c:v>
                </c:pt>
                <c:pt idx="8">
                  <c:v>-8</c:v>
                </c:pt>
                <c:pt idx="9">
                  <c:v>-11</c:v>
                </c:pt>
                <c:pt idx="10">
                  <c:v>-11</c:v>
                </c:pt>
                <c:pt idx="11">
                  <c:v>-14</c:v>
                </c:pt>
                <c:pt idx="12">
                  <c:v>-17</c:v>
                </c:pt>
                <c:pt idx="13">
                  <c:v>-17</c:v>
                </c:pt>
                <c:pt idx="14">
                  <c:v>-17</c:v>
                </c:pt>
                <c:pt idx="15">
                  <c:v>-17</c:v>
                </c:pt>
                <c:pt idx="16">
                  <c:v>-18</c:v>
                </c:pt>
                <c:pt idx="17">
                  <c:v>-18</c:v>
                </c:pt>
                <c:pt idx="18">
                  <c:v>-18</c:v>
                </c:pt>
                <c:pt idx="19">
                  <c:v>-18</c:v>
                </c:pt>
                <c:pt idx="20">
                  <c:v>-21</c:v>
                </c:pt>
                <c:pt idx="21">
                  <c:v>-19</c:v>
                </c:pt>
                <c:pt idx="22">
                  <c:v>-22</c:v>
                </c:pt>
                <c:pt idx="23">
                  <c:v>-22</c:v>
                </c:pt>
                <c:pt idx="24">
                  <c:v>-22</c:v>
                </c:pt>
                <c:pt idx="25">
                  <c:v>-21</c:v>
                </c:pt>
                <c:pt idx="26">
                  <c:v>-21</c:v>
                </c:pt>
                <c:pt idx="27">
                  <c:v>-24</c:v>
                </c:pt>
                <c:pt idx="28">
                  <c:v>-27</c:v>
                </c:pt>
                <c:pt idx="29">
                  <c:v>-27</c:v>
                </c:pt>
                <c:pt idx="30">
                  <c:v>-27</c:v>
                </c:pt>
                <c:pt idx="31">
                  <c:v>-26</c:v>
                </c:pt>
                <c:pt idx="32">
                  <c:v>-26</c:v>
                </c:pt>
                <c:pt idx="33">
                  <c:v>-23</c:v>
                </c:pt>
                <c:pt idx="34">
                  <c:v>-23</c:v>
                </c:pt>
                <c:pt idx="35">
                  <c:v>-23</c:v>
                </c:pt>
                <c:pt idx="36">
                  <c:v>-26</c:v>
                </c:pt>
                <c:pt idx="37">
                  <c:v>-25</c:v>
                </c:pt>
                <c:pt idx="38">
                  <c:v>-25</c:v>
                </c:pt>
                <c:pt idx="39">
                  <c:v>-25</c:v>
                </c:pt>
                <c:pt idx="40">
                  <c:v>-23</c:v>
                </c:pt>
                <c:pt idx="41">
                  <c:v>-23</c:v>
                </c:pt>
                <c:pt idx="42">
                  <c:v>-23</c:v>
                </c:pt>
                <c:pt idx="43">
                  <c:v>-23</c:v>
                </c:pt>
                <c:pt idx="44">
                  <c:v>-26</c:v>
                </c:pt>
                <c:pt idx="45">
                  <c:v>-26</c:v>
                </c:pt>
                <c:pt idx="46">
                  <c:v>-29</c:v>
                </c:pt>
              </c:numCache>
            </c:numRef>
          </c:yVal>
          <c:smooth val="1"/>
          <c:extLst>
            <c:ext xmlns:c16="http://schemas.microsoft.com/office/drawing/2014/chart" uri="{C3380CC4-5D6E-409C-BE32-E72D297353CC}">
              <c16:uniqueId val="{00000000-A102-48BA-9005-22BEC760EB14}"/>
            </c:ext>
          </c:extLst>
        </c:ser>
        <c:dLbls>
          <c:showLegendKey val="0"/>
          <c:showVal val="0"/>
          <c:showCatName val="0"/>
          <c:showSerName val="0"/>
          <c:showPercent val="0"/>
          <c:showBubbleSize val="0"/>
        </c:dLbls>
        <c:axId val="105078784"/>
        <c:axId val="105080704"/>
      </c:scatterChart>
      <c:valAx>
        <c:axId val="105078784"/>
        <c:scaling>
          <c:orientation val="minMax"/>
          <c:max val="52"/>
          <c:min val="1"/>
        </c:scaling>
        <c:delete val="0"/>
        <c:axPos val="b"/>
        <c:majorGridlines/>
        <c:title>
          <c:tx>
            <c:rich>
              <a:bodyPr/>
              <a:lstStyle/>
              <a:p>
                <a:pPr>
                  <a:defRPr sz="1200"/>
                </a:pPr>
                <a:r>
                  <a:rPr lang="en-US" sz="1200"/>
                  <a:t>Počet odehraných zápasů</a:t>
                </a:r>
              </a:p>
            </c:rich>
          </c:tx>
          <c:overlay val="0"/>
        </c:title>
        <c:numFmt formatCode="General" sourceLinked="1"/>
        <c:majorTickMark val="out"/>
        <c:minorTickMark val="none"/>
        <c:tickLblPos val="nextTo"/>
        <c:txPr>
          <a:bodyPr/>
          <a:lstStyle/>
          <a:p>
            <a:pPr>
              <a:defRPr sz="1200"/>
            </a:pPr>
            <a:endParaRPr lang="cs-CZ"/>
          </a:p>
        </c:txPr>
        <c:crossAx val="105080704"/>
        <c:crosses val="autoZero"/>
        <c:crossBetween val="midCat"/>
        <c:majorUnit val="1"/>
      </c:valAx>
      <c:valAx>
        <c:axId val="105080704"/>
        <c:scaling>
          <c:orientation val="minMax"/>
        </c:scaling>
        <c:delete val="0"/>
        <c:axPos val="l"/>
        <c:majorGridlines>
          <c:spPr>
            <a:ln>
              <a:solidFill>
                <a:schemeClr val="accent1"/>
              </a:solidFill>
            </a:ln>
          </c:spPr>
        </c:majorGridlines>
        <c:title>
          <c:tx>
            <c:rich>
              <a:bodyPr rot="-5400000" vert="horz"/>
              <a:lstStyle/>
              <a:p>
                <a:pPr>
                  <a:defRPr sz="1200"/>
                </a:pPr>
                <a:r>
                  <a:rPr lang="cs-CZ" sz="1200"/>
                  <a:t>T</a:t>
                </a:r>
                <a:r>
                  <a:rPr lang="en-US" sz="1200"/>
                  <a:t>abulka pravdy</a:t>
                </a:r>
              </a:p>
            </c:rich>
          </c:tx>
          <c:overlay val="0"/>
        </c:title>
        <c:numFmt formatCode="General" sourceLinked="1"/>
        <c:majorTickMark val="out"/>
        <c:minorTickMark val="none"/>
        <c:tickLblPos val="nextTo"/>
        <c:txPr>
          <a:bodyPr/>
          <a:lstStyle/>
          <a:p>
            <a:pPr>
              <a:defRPr sz="1200"/>
            </a:pPr>
            <a:endParaRPr lang="cs-CZ"/>
          </a:p>
        </c:txPr>
        <c:crossAx val="105078784"/>
        <c:crosses val="autoZero"/>
        <c:crossBetween val="midCat"/>
        <c:majorUnit val="3"/>
      </c:valAx>
    </c:plotArea>
    <c:plotVisOnly val="1"/>
    <c:dispBlanksAs val="gap"/>
    <c:showDLblsOverMax val="0"/>
  </c:chart>
  <c:printSettings>
    <c:headerFooter/>
    <c:pageMargins b="0.78740157499999996" l="0.70000000000000062" r="0.70000000000000062" t="0.78740157499999996"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cs-CZ"/>
              <a:t>Získané body</a:t>
            </a:r>
            <a:endParaRPr lang="en-US"/>
          </a:p>
        </c:rich>
      </c:tx>
      <c:overlay val="0"/>
    </c:title>
    <c:autoTitleDeleted val="0"/>
    <c:plotArea>
      <c:layout/>
      <c:scatterChart>
        <c:scatterStyle val="smoothMarker"/>
        <c:varyColors val="0"/>
        <c:ser>
          <c:idx val="2"/>
          <c:order val="0"/>
          <c:tx>
            <c:strRef>
              <c:f>'Výsledky a statistiky 25-26'!$O$2</c:f>
              <c:strCache>
                <c:ptCount val="1"/>
                <c:pt idx="0">
                  <c:v>Bodů celkově</c:v>
                </c:pt>
              </c:strCache>
            </c:strRef>
          </c:tx>
          <c:marker>
            <c:symbol val="none"/>
          </c:marker>
          <c:xVal>
            <c:numRef>
              <c:f>'Výsledky a statistiky 25-26'!$B$3:$B$55</c:f>
              <c:numCache>
                <c:formatCode>General</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numCache>
            </c:numRef>
          </c:xVal>
          <c:yVal>
            <c:numRef>
              <c:f>'Výsledky a statistiky 25-26'!$O$3:$O$54</c:f>
              <c:numCache>
                <c:formatCode>0</c:formatCode>
                <c:ptCount val="52"/>
                <c:pt idx="0">
                  <c:v>0</c:v>
                </c:pt>
                <c:pt idx="1">
                  <c:v>0</c:v>
                </c:pt>
                <c:pt idx="2">
                  <c:v>0</c:v>
                </c:pt>
                <c:pt idx="3">
                  <c:v>3</c:v>
                </c:pt>
                <c:pt idx="4">
                  <c:v>3</c:v>
                </c:pt>
                <c:pt idx="5">
                  <c:v>6</c:v>
                </c:pt>
                <c:pt idx="6">
                  <c:v>6</c:v>
                </c:pt>
                <c:pt idx="7">
                  <c:v>6</c:v>
                </c:pt>
                <c:pt idx="8">
                  <c:v>7</c:v>
                </c:pt>
                <c:pt idx="9">
                  <c:v>7</c:v>
                </c:pt>
                <c:pt idx="10">
                  <c:v>7</c:v>
                </c:pt>
                <c:pt idx="11">
                  <c:v>7</c:v>
                </c:pt>
                <c:pt idx="12">
                  <c:v>7</c:v>
                </c:pt>
                <c:pt idx="13">
                  <c:v>7</c:v>
                </c:pt>
                <c:pt idx="14">
                  <c:v>7</c:v>
                </c:pt>
                <c:pt idx="15">
                  <c:v>7</c:v>
                </c:pt>
                <c:pt idx="16">
                  <c:v>9</c:v>
                </c:pt>
                <c:pt idx="17">
                  <c:v>9</c:v>
                </c:pt>
                <c:pt idx="18">
                  <c:v>12</c:v>
                </c:pt>
                <c:pt idx="19">
                  <c:v>12</c:v>
                </c:pt>
                <c:pt idx="20">
                  <c:v>12</c:v>
                </c:pt>
                <c:pt idx="21">
                  <c:v>14</c:v>
                </c:pt>
                <c:pt idx="22">
                  <c:v>14</c:v>
                </c:pt>
                <c:pt idx="23">
                  <c:v>14</c:v>
                </c:pt>
                <c:pt idx="24">
                  <c:v>17</c:v>
                </c:pt>
                <c:pt idx="25">
                  <c:v>18</c:v>
                </c:pt>
                <c:pt idx="26">
                  <c:v>21</c:v>
                </c:pt>
                <c:pt idx="27">
                  <c:v>21</c:v>
                </c:pt>
                <c:pt idx="28">
                  <c:v>21</c:v>
                </c:pt>
                <c:pt idx="29">
                  <c:v>24</c:v>
                </c:pt>
                <c:pt idx="30">
                  <c:v>27</c:v>
                </c:pt>
                <c:pt idx="31">
                  <c:v>28</c:v>
                </c:pt>
                <c:pt idx="32">
                  <c:v>31</c:v>
                </c:pt>
                <c:pt idx="33">
                  <c:v>34</c:v>
                </c:pt>
                <c:pt idx="34">
                  <c:v>37</c:v>
                </c:pt>
                <c:pt idx="35">
                  <c:v>37</c:v>
                </c:pt>
                <c:pt idx="36">
                  <c:v>37</c:v>
                </c:pt>
                <c:pt idx="37">
                  <c:v>38</c:v>
                </c:pt>
                <c:pt idx="38">
                  <c:v>41</c:v>
                </c:pt>
                <c:pt idx="39">
                  <c:v>41</c:v>
                </c:pt>
                <c:pt idx="40">
                  <c:v>43</c:v>
                </c:pt>
                <c:pt idx="41">
                  <c:v>43</c:v>
                </c:pt>
                <c:pt idx="42">
                  <c:v>43</c:v>
                </c:pt>
                <c:pt idx="43">
                  <c:v>43</c:v>
                </c:pt>
                <c:pt idx="44">
                  <c:v>43</c:v>
                </c:pt>
                <c:pt idx="45">
                  <c:v>43</c:v>
                </c:pt>
                <c:pt idx="46">
                  <c:v>43</c:v>
                </c:pt>
              </c:numCache>
            </c:numRef>
          </c:yVal>
          <c:smooth val="1"/>
          <c:extLst>
            <c:ext xmlns:c16="http://schemas.microsoft.com/office/drawing/2014/chart" uri="{C3380CC4-5D6E-409C-BE32-E72D297353CC}">
              <c16:uniqueId val="{00000000-3D1C-4B27-B26B-0E37ECA219E7}"/>
            </c:ext>
          </c:extLst>
        </c:ser>
        <c:dLbls>
          <c:showLegendKey val="0"/>
          <c:showVal val="0"/>
          <c:showCatName val="0"/>
          <c:showSerName val="0"/>
          <c:showPercent val="0"/>
          <c:showBubbleSize val="0"/>
        </c:dLbls>
        <c:axId val="105121280"/>
        <c:axId val="105123200"/>
      </c:scatterChart>
      <c:valAx>
        <c:axId val="105121280"/>
        <c:scaling>
          <c:orientation val="minMax"/>
          <c:max val="52"/>
          <c:min val="1"/>
        </c:scaling>
        <c:delete val="0"/>
        <c:axPos val="b"/>
        <c:majorGridlines/>
        <c:title>
          <c:tx>
            <c:rich>
              <a:bodyPr/>
              <a:lstStyle/>
              <a:p>
                <a:pPr>
                  <a:defRPr sz="1200"/>
                </a:pPr>
                <a:r>
                  <a:rPr lang="en-US" sz="1200"/>
                  <a:t>Počet odehraných zápasů</a:t>
                </a:r>
              </a:p>
            </c:rich>
          </c:tx>
          <c:overlay val="0"/>
        </c:title>
        <c:numFmt formatCode="General" sourceLinked="1"/>
        <c:majorTickMark val="out"/>
        <c:minorTickMark val="none"/>
        <c:tickLblPos val="nextTo"/>
        <c:txPr>
          <a:bodyPr/>
          <a:lstStyle/>
          <a:p>
            <a:pPr>
              <a:defRPr sz="1200"/>
            </a:pPr>
            <a:endParaRPr lang="cs-CZ"/>
          </a:p>
        </c:txPr>
        <c:crossAx val="105123200"/>
        <c:crosses val="autoZero"/>
        <c:crossBetween val="midCat"/>
        <c:majorUnit val="1"/>
      </c:valAx>
      <c:valAx>
        <c:axId val="105123200"/>
        <c:scaling>
          <c:orientation val="minMax"/>
          <c:max val="80"/>
          <c:min val="0"/>
        </c:scaling>
        <c:delete val="0"/>
        <c:axPos val="l"/>
        <c:majorGridlines>
          <c:spPr>
            <a:ln>
              <a:solidFill>
                <a:schemeClr val="tx1"/>
              </a:solidFill>
            </a:ln>
          </c:spPr>
        </c:majorGridlines>
        <c:title>
          <c:tx>
            <c:rich>
              <a:bodyPr rot="-5400000" vert="horz"/>
              <a:lstStyle/>
              <a:p>
                <a:pPr>
                  <a:defRPr sz="1200">
                    <a:solidFill>
                      <a:srgbClr val="00B050"/>
                    </a:solidFill>
                  </a:defRPr>
                </a:pPr>
                <a:r>
                  <a:rPr lang="cs-CZ" sz="1200">
                    <a:solidFill>
                      <a:srgbClr val="00B050"/>
                    </a:solidFill>
                  </a:rPr>
                  <a:t>Body</a:t>
                </a:r>
                <a:endParaRPr lang="en-US" sz="1200">
                  <a:solidFill>
                    <a:srgbClr val="00B050"/>
                  </a:solidFill>
                </a:endParaRPr>
              </a:p>
            </c:rich>
          </c:tx>
          <c:overlay val="0"/>
        </c:title>
        <c:numFmt formatCode="0" sourceLinked="1"/>
        <c:majorTickMark val="out"/>
        <c:minorTickMark val="none"/>
        <c:tickLblPos val="nextTo"/>
        <c:txPr>
          <a:bodyPr/>
          <a:lstStyle/>
          <a:p>
            <a:pPr>
              <a:defRPr sz="1200" b="1">
                <a:solidFill>
                  <a:srgbClr val="00B050"/>
                </a:solidFill>
              </a:defRPr>
            </a:pPr>
            <a:endParaRPr lang="cs-CZ"/>
          </a:p>
        </c:txPr>
        <c:crossAx val="105121280"/>
        <c:crosses val="autoZero"/>
        <c:crossBetween val="midCat"/>
        <c:majorUnit val="5"/>
      </c:valAx>
    </c:plotArea>
    <c:plotVisOnly val="1"/>
    <c:dispBlanksAs val="gap"/>
    <c:showDLblsOverMax val="0"/>
  </c:chart>
  <c:printSettings>
    <c:headerFooter/>
    <c:pageMargins b="0.78740157499999996" l="0.70000000000000062" r="0.70000000000000062" t="0.78740157499999996"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cs-CZ"/>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Most ve 2. hokejové lize - body v základní části</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cs-CZ"/>
        </a:p>
      </c:txPr>
    </c:title>
    <c:autoTitleDeleted val="0"/>
    <c:plotArea>
      <c:layout/>
      <c:scatterChart>
        <c:scatterStyle val="smoothMarker"/>
        <c:varyColors val="0"/>
        <c:ser>
          <c:idx val="0"/>
          <c:order val="0"/>
          <c:spPr>
            <a:ln w="19050" cap="rnd">
              <a:solidFill>
                <a:schemeClr val="accent1"/>
              </a:solidFill>
              <a:round/>
            </a:ln>
            <a:effectLst/>
          </c:spPr>
          <c:marker>
            <c:symbol val="none"/>
          </c:marker>
          <c:xVal>
            <c:numRef>
              <c:f>'MOSTEČTÍ LVI'!$A$186:$A$215</c:f>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numCache>
            </c:numRef>
          </c:xVal>
          <c:yVal>
            <c:numRef>
              <c:f>'MOSTEČTÍ LVI'!$E$186:$E$229</c:f>
              <c:numCache>
                <c:formatCode>General</c:formatCode>
                <c:ptCount val="44"/>
                <c:pt idx="0">
                  <c:v>3</c:v>
                </c:pt>
                <c:pt idx="1">
                  <c:v>6</c:v>
                </c:pt>
                <c:pt idx="2">
                  <c:v>9</c:v>
                </c:pt>
                <c:pt idx="3">
                  <c:v>9</c:v>
                </c:pt>
                <c:pt idx="4">
                  <c:v>9</c:v>
                </c:pt>
                <c:pt idx="5">
                  <c:v>12</c:v>
                </c:pt>
                <c:pt idx="6">
                  <c:v>15</c:v>
                </c:pt>
                <c:pt idx="7">
                  <c:v>15</c:v>
                </c:pt>
                <c:pt idx="8">
                  <c:v>15</c:v>
                </c:pt>
                <c:pt idx="9">
                  <c:v>15</c:v>
                </c:pt>
                <c:pt idx="10">
                  <c:v>17</c:v>
                </c:pt>
                <c:pt idx="11">
                  <c:v>19</c:v>
                </c:pt>
                <c:pt idx="12">
                  <c:v>19</c:v>
                </c:pt>
                <c:pt idx="13">
                  <c:v>19</c:v>
                </c:pt>
                <c:pt idx="14">
                  <c:v>19</c:v>
                </c:pt>
                <c:pt idx="15">
                  <c:v>22</c:v>
                </c:pt>
                <c:pt idx="16">
                  <c:v>22</c:v>
                </c:pt>
                <c:pt idx="17">
                  <c:v>22</c:v>
                </c:pt>
                <c:pt idx="18">
                  <c:v>25</c:v>
                </c:pt>
                <c:pt idx="19">
                  <c:v>25</c:v>
                </c:pt>
                <c:pt idx="20">
                  <c:v>28</c:v>
                </c:pt>
                <c:pt idx="21">
                  <c:v>31</c:v>
                </c:pt>
                <c:pt idx="22">
                  <c:v>34</c:v>
                </c:pt>
                <c:pt idx="23">
                  <c:v>34</c:v>
                </c:pt>
                <c:pt idx="24">
                  <c:v>35</c:v>
                </c:pt>
                <c:pt idx="25">
                  <c:v>38</c:v>
                </c:pt>
                <c:pt idx="26">
                  <c:v>41</c:v>
                </c:pt>
                <c:pt idx="27">
                  <c:v>44</c:v>
                </c:pt>
                <c:pt idx="28">
                  <c:v>44</c:v>
                </c:pt>
                <c:pt idx="29">
                  <c:v>44</c:v>
                </c:pt>
                <c:pt idx="30">
                  <c:v>46</c:v>
                </c:pt>
              </c:numCache>
            </c:numRef>
          </c:yVal>
          <c:smooth val="1"/>
          <c:extLst>
            <c:ext xmlns:c16="http://schemas.microsoft.com/office/drawing/2014/chart" uri="{C3380CC4-5D6E-409C-BE32-E72D297353CC}">
              <c16:uniqueId val="{00000000-D786-490B-80DC-C1B524EC115D}"/>
            </c:ext>
          </c:extLst>
        </c:ser>
        <c:ser>
          <c:idx val="1"/>
          <c:order val="1"/>
          <c:tx>
            <c:v>Sezóna 21-22</c:v>
          </c:tx>
          <c:spPr>
            <a:ln w="19050" cap="rnd">
              <a:solidFill>
                <a:srgbClr val="FF0000"/>
              </a:solidFill>
              <a:round/>
            </a:ln>
            <a:effectLst/>
          </c:spPr>
          <c:marker>
            <c:symbol val="none"/>
          </c:marker>
          <c:xVal>
            <c:numRef>
              <c:f>'MOSTEČTÍ LVI'!$A$134:$A$175</c:f>
              <c:numCache>
                <c:formatCode>General</c:formatCode>
                <c:ptCount val="4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numCache>
            </c:numRef>
          </c:xVal>
          <c:yVal>
            <c:numRef>
              <c:f>'MOSTEČTÍ LVI'!$E$134:$E$175</c:f>
              <c:numCache>
                <c:formatCode>General</c:formatCode>
                <c:ptCount val="42"/>
                <c:pt idx="0">
                  <c:v>3</c:v>
                </c:pt>
                <c:pt idx="1">
                  <c:v>3</c:v>
                </c:pt>
                <c:pt idx="2">
                  <c:v>6</c:v>
                </c:pt>
                <c:pt idx="3">
                  <c:v>9</c:v>
                </c:pt>
                <c:pt idx="4">
                  <c:v>12</c:v>
                </c:pt>
                <c:pt idx="5">
                  <c:v>15</c:v>
                </c:pt>
                <c:pt idx="6">
                  <c:v>15</c:v>
                </c:pt>
                <c:pt idx="7">
                  <c:v>18</c:v>
                </c:pt>
                <c:pt idx="8">
                  <c:v>18</c:v>
                </c:pt>
                <c:pt idx="9">
                  <c:v>18</c:v>
                </c:pt>
                <c:pt idx="10">
                  <c:v>21</c:v>
                </c:pt>
                <c:pt idx="11">
                  <c:v>21</c:v>
                </c:pt>
                <c:pt idx="12">
                  <c:v>24</c:v>
                </c:pt>
                <c:pt idx="13">
                  <c:v>24</c:v>
                </c:pt>
                <c:pt idx="14">
                  <c:v>24</c:v>
                </c:pt>
                <c:pt idx="15">
                  <c:v>27</c:v>
                </c:pt>
                <c:pt idx="16">
                  <c:v>27</c:v>
                </c:pt>
                <c:pt idx="17">
                  <c:v>30</c:v>
                </c:pt>
                <c:pt idx="18">
                  <c:v>33</c:v>
                </c:pt>
                <c:pt idx="19">
                  <c:v>34</c:v>
                </c:pt>
                <c:pt idx="20">
                  <c:v>35</c:v>
                </c:pt>
                <c:pt idx="21">
                  <c:v>38</c:v>
                </c:pt>
                <c:pt idx="22">
                  <c:v>41</c:v>
                </c:pt>
                <c:pt idx="23">
                  <c:v>44</c:v>
                </c:pt>
                <c:pt idx="24">
                  <c:v>47</c:v>
                </c:pt>
                <c:pt idx="25">
                  <c:v>47</c:v>
                </c:pt>
                <c:pt idx="26">
                  <c:v>48</c:v>
                </c:pt>
                <c:pt idx="27">
                  <c:v>51</c:v>
                </c:pt>
                <c:pt idx="28">
                  <c:v>54</c:v>
                </c:pt>
                <c:pt idx="29">
                  <c:v>56</c:v>
                </c:pt>
                <c:pt idx="30">
                  <c:v>59</c:v>
                </c:pt>
                <c:pt idx="31">
                  <c:v>62</c:v>
                </c:pt>
                <c:pt idx="32">
                  <c:v>65</c:v>
                </c:pt>
                <c:pt idx="33">
                  <c:v>66</c:v>
                </c:pt>
                <c:pt idx="34">
                  <c:v>66</c:v>
                </c:pt>
                <c:pt idx="35">
                  <c:v>69</c:v>
                </c:pt>
                <c:pt idx="36">
                  <c:v>69</c:v>
                </c:pt>
                <c:pt idx="37">
                  <c:v>72</c:v>
                </c:pt>
                <c:pt idx="38">
                  <c:v>75</c:v>
                </c:pt>
                <c:pt idx="39">
                  <c:v>78</c:v>
                </c:pt>
                <c:pt idx="40">
                  <c:v>81</c:v>
                </c:pt>
                <c:pt idx="41">
                  <c:v>81</c:v>
                </c:pt>
              </c:numCache>
            </c:numRef>
          </c:yVal>
          <c:smooth val="1"/>
          <c:extLst>
            <c:ext xmlns:c16="http://schemas.microsoft.com/office/drawing/2014/chart" uri="{C3380CC4-5D6E-409C-BE32-E72D297353CC}">
              <c16:uniqueId val="{00000001-D786-490B-80DC-C1B524EC115D}"/>
            </c:ext>
          </c:extLst>
        </c:ser>
        <c:ser>
          <c:idx val="2"/>
          <c:order val="2"/>
          <c:tx>
            <c:v>Sezóna 19-20</c:v>
          </c:tx>
          <c:spPr>
            <a:ln w="19050" cap="rnd">
              <a:solidFill>
                <a:schemeClr val="accent3"/>
              </a:solidFill>
              <a:round/>
            </a:ln>
            <a:effectLst/>
          </c:spPr>
          <c:marker>
            <c:symbol val="none"/>
          </c:marker>
          <c:xVal>
            <c:numRef>
              <c:f>'MOSTEČTÍ LVI'!$A$85:$A$124</c:f>
              <c:numCache>
                <c:formatCode>General</c:formatCode>
                <c:ptCount val="4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numCache>
            </c:numRef>
          </c:xVal>
          <c:yVal>
            <c:numRef>
              <c:f>'MOSTEČTÍ LVI'!$E$85:$E$124</c:f>
              <c:numCache>
                <c:formatCode>General</c:formatCode>
                <c:ptCount val="40"/>
                <c:pt idx="0">
                  <c:v>3</c:v>
                </c:pt>
                <c:pt idx="1">
                  <c:v>3</c:v>
                </c:pt>
                <c:pt idx="2">
                  <c:v>6</c:v>
                </c:pt>
                <c:pt idx="3">
                  <c:v>6</c:v>
                </c:pt>
                <c:pt idx="4">
                  <c:v>9</c:v>
                </c:pt>
                <c:pt idx="5">
                  <c:v>12</c:v>
                </c:pt>
                <c:pt idx="6">
                  <c:v>15</c:v>
                </c:pt>
                <c:pt idx="7">
                  <c:v>18</c:v>
                </c:pt>
                <c:pt idx="8">
                  <c:v>21</c:v>
                </c:pt>
                <c:pt idx="9">
                  <c:v>24</c:v>
                </c:pt>
                <c:pt idx="10">
                  <c:v>27</c:v>
                </c:pt>
                <c:pt idx="11">
                  <c:v>27</c:v>
                </c:pt>
                <c:pt idx="12">
                  <c:v>27</c:v>
                </c:pt>
                <c:pt idx="13">
                  <c:v>30</c:v>
                </c:pt>
                <c:pt idx="14">
                  <c:v>30</c:v>
                </c:pt>
                <c:pt idx="15">
                  <c:v>33</c:v>
                </c:pt>
                <c:pt idx="16">
                  <c:v>33</c:v>
                </c:pt>
                <c:pt idx="17">
                  <c:v>36</c:v>
                </c:pt>
                <c:pt idx="18">
                  <c:v>39</c:v>
                </c:pt>
                <c:pt idx="19">
                  <c:v>42</c:v>
                </c:pt>
                <c:pt idx="20">
                  <c:v>43</c:v>
                </c:pt>
                <c:pt idx="21">
                  <c:v>46</c:v>
                </c:pt>
                <c:pt idx="22">
                  <c:v>46</c:v>
                </c:pt>
                <c:pt idx="23">
                  <c:v>49</c:v>
                </c:pt>
                <c:pt idx="24">
                  <c:v>49</c:v>
                </c:pt>
                <c:pt idx="25">
                  <c:v>49</c:v>
                </c:pt>
                <c:pt idx="26">
                  <c:v>51</c:v>
                </c:pt>
                <c:pt idx="27">
                  <c:v>54</c:v>
                </c:pt>
                <c:pt idx="28">
                  <c:v>54</c:v>
                </c:pt>
                <c:pt idx="29">
                  <c:v>57</c:v>
                </c:pt>
                <c:pt idx="30">
                  <c:v>58</c:v>
                </c:pt>
                <c:pt idx="31">
                  <c:v>61</c:v>
                </c:pt>
                <c:pt idx="32">
                  <c:v>64</c:v>
                </c:pt>
                <c:pt idx="33">
                  <c:v>64</c:v>
                </c:pt>
                <c:pt idx="34">
                  <c:v>65</c:v>
                </c:pt>
                <c:pt idx="35">
                  <c:v>65</c:v>
                </c:pt>
                <c:pt idx="36">
                  <c:v>68</c:v>
                </c:pt>
                <c:pt idx="37">
                  <c:v>71</c:v>
                </c:pt>
                <c:pt idx="38">
                  <c:v>74</c:v>
                </c:pt>
                <c:pt idx="39">
                  <c:v>77</c:v>
                </c:pt>
              </c:numCache>
            </c:numRef>
          </c:yVal>
          <c:smooth val="1"/>
          <c:extLst>
            <c:ext xmlns:c16="http://schemas.microsoft.com/office/drawing/2014/chart" uri="{C3380CC4-5D6E-409C-BE32-E72D297353CC}">
              <c16:uniqueId val="{00000002-D786-490B-80DC-C1B524EC115D}"/>
            </c:ext>
          </c:extLst>
        </c:ser>
        <c:ser>
          <c:idx val="3"/>
          <c:order val="3"/>
          <c:tx>
            <c:v>Sezóna 18-19</c:v>
          </c:tx>
          <c:spPr>
            <a:ln w="19050" cap="rnd">
              <a:solidFill>
                <a:srgbClr val="FFC000"/>
              </a:solidFill>
              <a:round/>
            </a:ln>
            <a:effectLst/>
          </c:spPr>
          <c:marker>
            <c:symbol val="none"/>
          </c:marker>
          <c:xVal>
            <c:numRef>
              <c:f>'MOSTEČTÍ LVI'!$A$37:$A$74</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xVal>
          <c:yVal>
            <c:numRef>
              <c:f>'MOSTEČTÍ LVI'!$E$37:$E$74</c:f>
              <c:numCache>
                <c:formatCode>General</c:formatCode>
                <c:ptCount val="38"/>
                <c:pt idx="0">
                  <c:v>3</c:v>
                </c:pt>
                <c:pt idx="1">
                  <c:v>4</c:v>
                </c:pt>
                <c:pt idx="2">
                  <c:v>4</c:v>
                </c:pt>
                <c:pt idx="3">
                  <c:v>7</c:v>
                </c:pt>
                <c:pt idx="4">
                  <c:v>10</c:v>
                </c:pt>
                <c:pt idx="5">
                  <c:v>13</c:v>
                </c:pt>
                <c:pt idx="6">
                  <c:v>16</c:v>
                </c:pt>
                <c:pt idx="7">
                  <c:v>18</c:v>
                </c:pt>
                <c:pt idx="8">
                  <c:v>21</c:v>
                </c:pt>
                <c:pt idx="9">
                  <c:v>21</c:v>
                </c:pt>
                <c:pt idx="10">
                  <c:v>24</c:v>
                </c:pt>
                <c:pt idx="11">
                  <c:v>27</c:v>
                </c:pt>
                <c:pt idx="12">
                  <c:v>27</c:v>
                </c:pt>
                <c:pt idx="13">
                  <c:v>28</c:v>
                </c:pt>
                <c:pt idx="14">
                  <c:v>31</c:v>
                </c:pt>
                <c:pt idx="15">
                  <c:v>31</c:v>
                </c:pt>
                <c:pt idx="16">
                  <c:v>31</c:v>
                </c:pt>
                <c:pt idx="17">
                  <c:v>34</c:v>
                </c:pt>
                <c:pt idx="18">
                  <c:v>34</c:v>
                </c:pt>
                <c:pt idx="19">
                  <c:v>36</c:v>
                </c:pt>
                <c:pt idx="20">
                  <c:v>39</c:v>
                </c:pt>
                <c:pt idx="21">
                  <c:v>39</c:v>
                </c:pt>
                <c:pt idx="22">
                  <c:v>42</c:v>
                </c:pt>
                <c:pt idx="23">
                  <c:v>45</c:v>
                </c:pt>
                <c:pt idx="24">
                  <c:v>45</c:v>
                </c:pt>
                <c:pt idx="25">
                  <c:v>45</c:v>
                </c:pt>
                <c:pt idx="26">
                  <c:v>45</c:v>
                </c:pt>
                <c:pt idx="27">
                  <c:v>45</c:v>
                </c:pt>
                <c:pt idx="28">
                  <c:v>45</c:v>
                </c:pt>
                <c:pt idx="29">
                  <c:v>45</c:v>
                </c:pt>
                <c:pt idx="30">
                  <c:v>45</c:v>
                </c:pt>
                <c:pt idx="31">
                  <c:v>45</c:v>
                </c:pt>
                <c:pt idx="32">
                  <c:v>48</c:v>
                </c:pt>
                <c:pt idx="33">
                  <c:v>51</c:v>
                </c:pt>
                <c:pt idx="34">
                  <c:v>51</c:v>
                </c:pt>
                <c:pt idx="35">
                  <c:v>52</c:v>
                </c:pt>
                <c:pt idx="36">
                  <c:v>55</c:v>
                </c:pt>
                <c:pt idx="37">
                  <c:v>57</c:v>
                </c:pt>
              </c:numCache>
            </c:numRef>
          </c:yVal>
          <c:smooth val="1"/>
          <c:extLst>
            <c:ext xmlns:c16="http://schemas.microsoft.com/office/drawing/2014/chart" uri="{C3380CC4-5D6E-409C-BE32-E72D297353CC}">
              <c16:uniqueId val="{00000003-D786-490B-80DC-C1B524EC115D}"/>
            </c:ext>
          </c:extLst>
        </c:ser>
        <c:dLbls>
          <c:showLegendKey val="0"/>
          <c:showVal val="0"/>
          <c:showCatName val="0"/>
          <c:showSerName val="0"/>
          <c:showPercent val="0"/>
          <c:showBubbleSize val="0"/>
        </c:dLbls>
        <c:axId val="932603568"/>
        <c:axId val="932598648"/>
      </c:scatterChart>
      <c:valAx>
        <c:axId val="9326035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Kolo základní části</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cs-CZ"/>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cs-CZ"/>
          </a:p>
        </c:txPr>
        <c:crossAx val="932598648"/>
        <c:crosses val="autoZero"/>
        <c:crossBetween val="midCat"/>
        <c:majorUnit val="1"/>
      </c:valAx>
      <c:valAx>
        <c:axId val="932598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Počet bodů</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cs-CZ"/>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cs-CZ"/>
          </a:p>
        </c:txPr>
        <c:crossAx val="932603568"/>
        <c:crosses val="autoZero"/>
        <c:crossBetween val="midCat"/>
        <c:majorUnit val="2"/>
      </c:valAx>
      <c:spPr>
        <a:noFill/>
        <a:ln>
          <a:noFill/>
        </a:ln>
        <a:effectLst/>
      </c:spPr>
    </c:plotArea>
    <c:legend>
      <c:legendPos val="b"/>
      <c:layout>
        <c:manualLayout>
          <c:xMode val="edge"/>
          <c:yMode val="edge"/>
          <c:x val="0.27075232418377609"/>
          <c:y val="0.93409800152933642"/>
          <c:w val="0.4856830279392646"/>
          <c:h val="3.5876716197876843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cs-CZ"/>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cs-CZ"/>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http://www.hokej.cz/tipsport-extraliga/stats-center?season=2017&amp;competition=6173&amp;team=823&amp;age=&amp;state=&amp;timeFrom=&amp;yearFrom=&amp;yearTo=&amp;stats-order=ga&amp;stats-direction=desc" TargetMode="External"/><Relationship Id="rId1" Type="http://schemas.openxmlformats.org/officeDocument/2006/relationships/hyperlink" Target="http://www.hokej.cz/tipsport-extraliga/stats-center?season=2017&amp;competition=6026&amp;team=823&amp;yearFrom=&amp;stranger=0&amp;state=&amp;stats-all=1&amp;stats-order=ga&amp;stats-direction=desc" TargetMode="Externa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6.png"/><Relationship Id="rId7" Type="http://schemas.openxmlformats.org/officeDocument/2006/relationships/image" Target="../media/image4.png"/><Relationship Id="rId2" Type="http://schemas.openxmlformats.org/officeDocument/2006/relationships/image" Target="../media/image1.png"/><Relationship Id="rId1" Type="http://schemas.openxmlformats.org/officeDocument/2006/relationships/hyperlink" Target="https://www.hokej.cz/tipsport-extraliga/stats-center?season=2021&amp;competition=6705&amp;team=823&amp;yearFrom=&amp;stranger=0&amp;state=&amp;stats-all=1&amp;stats-order=ga&amp;stats-direction=desc" TargetMode="External"/><Relationship Id="rId6" Type="http://schemas.openxmlformats.org/officeDocument/2006/relationships/image" Target="../media/image3.png"/><Relationship Id="rId5" Type="http://schemas.openxmlformats.org/officeDocument/2006/relationships/image" Target="../media/image5.png"/><Relationship Id="rId10" Type="http://schemas.openxmlformats.org/officeDocument/2006/relationships/image" Target="../media/image9.png"/><Relationship Id="rId4" Type="http://schemas.openxmlformats.org/officeDocument/2006/relationships/image" Target="../media/image2.png"/><Relationship Id="rId9"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1.png"/><Relationship Id="rId3" Type="http://schemas.openxmlformats.org/officeDocument/2006/relationships/image" Target="../media/image2.png"/><Relationship Id="rId7" Type="http://schemas.openxmlformats.org/officeDocument/2006/relationships/image" Target="../media/image7.png"/><Relationship Id="rId12" Type="http://schemas.openxmlformats.org/officeDocument/2006/relationships/image" Target="../media/image10.png"/><Relationship Id="rId2" Type="http://schemas.openxmlformats.org/officeDocument/2006/relationships/image" Target="../media/image1.png"/><Relationship Id="rId1" Type="http://schemas.openxmlformats.org/officeDocument/2006/relationships/hyperlink" Target="https://www.hokej.cz/tipsport-extraliga/stats-center?season=2021&amp;competition=6705&amp;team=823&amp;yearFrom=&amp;stranger=0&amp;state=&amp;stats-all=1&amp;stats-order=ga&amp;stats-direction=desc" TargetMode="External"/><Relationship Id="rId6" Type="http://schemas.openxmlformats.org/officeDocument/2006/relationships/image" Target="../media/image5.png"/><Relationship Id="rId11" Type="http://schemas.openxmlformats.org/officeDocument/2006/relationships/hyperlink" Target="https://www.hokej.cz/tipsport-extraliga/stats-center?season=2022&amp;competition=6877&amp;team=823&amp;age=&amp;state=&amp;timeFrom=&amp;yearFrom=&amp;yearTo=&amp;t=wj19ygsqp9nsrs5khj60kx9rwhwgr7z6b1oniqrjdtubz0imk204kku" TargetMode="External"/><Relationship Id="rId5" Type="http://schemas.openxmlformats.org/officeDocument/2006/relationships/image" Target="../media/image4.png"/><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6.png"/></Relationships>
</file>

<file path=xl/drawings/_rels/drawing10.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hyperlink" Target="https://www.hokej.cz/tipsport-extraliga/stats-center?season=2024&amp;competition=7230&amp;team=823&amp;yearFrom=&amp;stranger=0&amp;state=&amp;stats-all=1&amp;stats-order=ga&amp;stats-direction=desc" TargetMode="External"/></Relationships>
</file>

<file path=xl/drawings/_rels/drawing13.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oneCellAnchor>
    <xdr:from>
      <xdr:col>0</xdr:col>
      <xdr:colOff>0</xdr:colOff>
      <xdr:row>46</xdr:row>
      <xdr:rowOff>0</xdr:rowOff>
    </xdr:from>
    <xdr:ext cx="304800" cy="304800"/>
    <xdr:sp macro="" textlink="">
      <xdr:nvSpPr>
        <xdr:cNvPr id="3" name="AutoShape 2" descr=" Zavřít">
          <a:hlinkClick xmlns:r="http://schemas.openxmlformats.org/officeDocument/2006/relationships" r:id="rId1"/>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609600" y="876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47</xdr:row>
      <xdr:rowOff>0</xdr:rowOff>
    </xdr:from>
    <xdr:ext cx="304800" cy="304800"/>
    <xdr:sp macro="" textlink="">
      <xdr:nvSpPr>
        <xdr:cNvPr id="4" name="AutoShape 3" descr="Obsah nápovědy">
          <a:hlinkClick xmlns:r="http://schemas.openxmlformats.org/officeDocument/2006/relationships" r:id="rId1"/>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609600" y="89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42</xdr:col>
      <xdr:colOff>0</xdr:colOff>
      <xdr:row>15</xdr:row>
      <xdr:rowOff>0</xdr:rowOff>
    </xdr:from>
    <xdr:to>
      <xdr:col>42</xdr:col>
      <xdr:colOff>304800</xdr:colOff>
      <xdr:row>15</xdr:row>
      <xdr:rowOff>304800</xdr:rowOff>
    </xdr:to>
    <xdr:sp macro="" textlink="">
      <xdr:nvSpPr>
        <xdr:cNvPr id="1025" name="AutoShape 1" descr=" Zavřít">
          <a:hlinkClick xmlns:r="http://schemas.openxmlformats.org/officeDocument/2006/relationships" r:id="rId2"/>
          <a:extLst>
            <a:ext uri="{FF2B5EF4-FFF2-40B4-BE49-F238E27FC236}">
              <a16:creationId xmlns:a16="http://schemas.microsoft.com/office/drawing/2014/main" id="{00000000-0008-0000-0100-000001040000}"/>
            </a:ext>
          </a:extLst>
        </xdr:cNvPr>
        <xdr:cNvSpPr>
          <a:spLocks noChangeAspect="1" noChangeArrowheads="1"/>
        </xdr:cNvSpPr>
      </xdr:nvSpPr>
      <xdr:spPr bwMode="auto">
        <a:xfrm>
          <a:off x="32918400" y="1295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42</xdr:col>
      <xdr:colOff>0</xdr:colOff>
      <xdr:row>39</xdr:row>
      <xdr:rowOff>0</xdr:rowOff>
    </xdr:from>
    <xdr:to>
      <xdr:col>42</xdr:col>
      <xdr:colOff>304800</xdr:colOff>
      <xdr:row>39</xdr:row>
      <xdr:rowOff>304800</xdr:rowOff>
    </xdr:to>
    <xdr:sp macro="" textlink="">
      <xdr:nvSpPr>
        <xdr:cNvPr id="1026" name="AutoShape 2" descr="Obsah nápovědy">
          <a:hlinkClick xmlns:r="http://schemas.openxmlformats.org/officeDocument/2006/relationships" r:id="rId2"/>
          <a:extLst>
            <a:ext uri="{FF2B5EF4-FFF2-40B4-BE49-F238E27FC236}">
              <a16:creationId xmlns:a16="http://schemas.microsoft.com/office/drawing/2014/main" id="{00000000-0008-0000-0100-000002040000}"/>
            </a:ext>
          </a:extLst>
        </xdr:cNvPr>
        <xdr:cNvSpPr>
          <a:spLocks noChangeAspect="1" noChangeArrowheads="1"/>
        </xdr:cNvSpPr>
      </xdr:nvSpPr>
      <xdr:spPr bwMode="auto">
        <a:xfrm>
          <a:off x="32918400" y="13277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0</xdr:col>
      <xdr:colOff>0</xdr:colOff>
      <xdr:row>53</xdr:row>
      <xdr:rowOff>0</xdr:rowOff>
    </xdr:from>
    <xdr:ext cx="304800" cy="304800"/>
    <xdr:sp macro="" textlink="">
      <xdr:nvSpPr>
        <xdr:cNvPr id="6" name="AutoShape 2" descr=" Zavřít">
          <a:hlinkClick xmlns:r="http://schemas.openxmlformats.org/officeDocument/2006/relationships" r:id="rId1"/>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0" y="140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42</xdr:col>
      <xdr:colOff>0</xdr:colOff>
      <xdr:row>85</xdr:row>
      <xdr:rowOff>0</xdr:rowOff>
    </xdr:from>
    <xdr:ext cx="304800" cy="304800"/>
    <xdr:sp macro="" textlink="">
      <xdr:nvSpPr>
        <xdr:cNvPr id="7" name="AutoShape 2" descr="Obsah nápovědy">
          <a:hlinkClick xmlns:r="http://schemas.openxmlformats.org/officeDocument/2006/relationships" r:id="rId2"/>
          <a:extLst>
            <a:ext uri="{FF2B5EF4-FFF2-40B4-BE49-F238E27FC236}">
              <a16:creationId xmlns:a16="http://schemas.microsoft.com/office/drawing/2014/main" id="{00000000-0008-0000-0100-000007000000}"/>
            </a:ext>
          </a:extLst>
        </xdr:cNvPr>
        <xdr:cNvSpPr>
          <a:spLocks noChangeAspect="1" noChangeArrowheads="1"/>
        </xdr:cNvSpPr>
      </xdr:nvSpPr>
      <xdr:spPr bwMode="auto">
        <a:xfrm>
          <a:off x="309181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42</xdr:col>
      <xdr:colOff>0</xdr:colOff>
      <xdr:row>119</xdr:row>
      <xdr:rowOff>0</xdr:rowOff>
    </xdr:from>
    <xdr:ext cx="304800" cy="304800"/>
    <xdr:sp macro="" textlink="">
      <xdr:nvSpPr>
        <xdr:cNvPr id="8" name="AutoShape 2" descr="Obsah nápovědy">
          <a:hlinkClick xmlns:r="http://schemas.openxmlformats.org/officeDocument/2006/relationships" r:id="rId2"/>
          <a:extLst>
            <a:ext uri="{FF2B5EF4-FFF2-40B4-BE49-F238E27FC236}">
              <a16:creationId xmlns:a16="http://schemas.microsoft.com/office/drawing/2014/main" id="{00000000-0008-0000-0100-000008000000}"/>
            </a:ext>
          </a:extLst>
        </xdr:cNvPr>
        <xdr:cNvSpPr>
          <a:spLocks noChangeAspect="1" noChangeArrowheads="1"/>
        </xdr:cNvSpPr>
      </xdr:nvSpPr>
      <xdr:spPr bwMode="auto">
        <a:xfrm>
          <a:off x="32137350" y="2076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42</xdr:col>
      <xdr:colOff>0</xdr:colOff>
      <xdr:row>123</xdr:row>
      <xdr:rowOff>0</xdr:rowOff>
    </xdr:from>
    <xdr:ext cx="304800" cy="304800"/>
    <xdr:sp macro="" textlink="">
      <xdr:nvSpPr>
        <xdr:cNvPr id="9" name="AutoShape 1" descr=" Zavřít">
          <a:hlinkClick xmlns:r="http://schemas.openxmlformats.org/officeDocument/2006/relationships" r:id="rId2"/>
          <a:extLst>
            <a:ext uri="{FF2B5EF4-FFF2-40B4-BE49-F238E27FC236}">
              <a16:creationId xmlns:a16="http://schemas.microsoft.com/office/drawing/2014/main" id="{00000000-0008-0000-0100-000009000000}"/>
            </a:ext>
          </a:extLst>
        </xdr:cNvPr>
        <xdr:cNvSpPr>
          <a:spLocks noChangeAspect="1" noChangeArrowheads="1"/>
        </xdr:cNvSpPr>
      </xdr:nvSpPr>
      <xdr:spPr bwMode="auto">
        <a:xfrm>
          <a:off x="32137350" y="3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42</xdr:col>
      <xdr:colOff>0</xdr:colOff>
      <xdr:row>61</xdr:row>
      <xdr:rowOff>0</xdr:rowOff>
    </xdr:from>
    <xdr:ext cx="304800" cy="304800"/>
    <xdr:sp macro="" textlink="">
      <xdr:nvSpPr>
        <xdr:cNvPr id="10" name="AutoShape 1" descr=" Zavřít">
          <a:hlinkClick xmlns:r="http://schemas.openxmlformats.org/officeDocument/2006/relationships" r:id="rId2"/>
          <a:extLst>
            <a:ext uri="{FF2B5EF4-FFF2-40B4-BE49-F238E27FC236}">
              <a16:creationId xmlns:a16="http://schemas.microsoft.com/office/drawing/2014/main" id="{00000000-0008-0000-0100-00000A000000}"/>
            </a:ext>
          </a:extLst>
        </xdr:cNvPr>
        <xdr:cNvSpPr>
          <a:spLocks noChangeAspect="1" noChangeArrowheads="1"/>
        </xdr:cNvSpPr>
      </xdr:nvSpPr>
      <xdr:spPr bwMode="auto">
        <a:xfrm>
          <a:off x="33042225" y="3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xdr:from>
      <xdr:col>12</xdr:col>
      <xdr:colOff>628655</xdr:colOff>
      <xdr:row>62</xdr:row>
      <xdr:rowOff>123825</xdr:rowOff>
    </xdr:from>
    <xdr:to>
      <xdr:col>26</xdr:col>
      <xdr:colOff>1895475</xdr:colOff>
      <xdr:row>87</xdr:row>
      <xdr:rowOff>38100</xdr:rowOff>
    </xdr:to>
    <xdr:graphicFrame macro="">
      <xdr:nvGraphicFramePr>
        <xdr:cNvPr id="2" name="Graf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714375</xdr:colOff>
      <xdr:row>112</xdr:row>
      <xdr:rowOff>104775</xdr:rowOff>
    </xdr:from>
    <xdr:to>
      <xdr:col>26</xdr:col>
      <xdr:colOff>1933575</xdr:colOff>
      <xdr:row>132</xdr:row>
      <xdr:rowOff>38101</xdr:rowOff>
    </xdr:to>
    <xdr:graphicFrame macro="">
      <xdr:nvGraphicFramePr>
        <xdr:cNvPr id="3" name="Graf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657225</xdr:colOff>
      <xdr:row>87</xdr:row>
      <xdr:rowOff>114300</xdr:rowOff>
    </xdr:from>
    <xdr:to>
      <xdr:col>26</xdr:col>
      <xdr:colOff>1924045</xdr:colOff>
      <xdr:row>112</xdr:row>
      <xdr:rowOff>28575</xdr:rowOff>
    </xdr:to>
    <xdr:graphicFrame macro="">
      <xdr:nvGraphicFramePr>
        <xdr:cNvPr id="4" name="Graf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714375</xdr:colOff>
      <xdr:row>82</xdr:row>
      <xdr:rowOff>123825</xdr:rowOff>
    </xdr:from>
    <xdr:to>
      <xdr:col>26</xdr:col>
      <xdr:colOff>1933575</xdr:colOff>
      <xdr:row>102</xdr:row>
      <xdr:rowOff>57151</xdr:rowOff>
    </xdr:to>
    <xdr:graphicFrame macro="">
      <xdr:nvGraphicFramePr>
        <xdr:cNvPr id="3" name="Graf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704850</xdr:colOff>
      <xdr:row>57</xdr:row>
      <xdr:rowOff>9525</xdr:rowOff>
    </xdr:from>
    <xdr:to>
      <xdr:col>26</xdr:col>
      <xdr:colOff>1971670</xdr:colOff>
      <xdr:row>81</xdr:row>
      <xdr:rowOff>114300</xdr:rowOff>
    </xdr:to>
    <xdr:graphicFrame macro="">
      <xdr:nvGraphicFramePr>
        <xdr:cNvPr id="4" name="Graf 3">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714375</xdr:colOff>
      <xdr:row>85</xdr:row>
      <xdr:rowOff>123825</xdr:rowOff>
    </xdr:from>
    <xdr:to>
      <xdr:col>26</xdr:col>
      <xdr:colOff>1933575</xdr:colOff>
      <xdr:row>105</xdr:row>
      <xdr:rowOff>57151</xdr:rowOff>
    </xdr:to>
    <xdr:graphicFrame macro="">
      <xdr:nvGraphicFramePr>
        <xdr:cNvPr id="2" name="Graf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704850</xdr:colOff>
      <xdr:row>60</xdr:row>
      <xdr:rowOff>9525</xdr:rowOff>
    </xdr:from>
    <xdr:to>
      <xdr:col>26</xdr:col>
      <xdr:colOff>1971670</xdr:colOff>
      <xdr:row>84</xdr:row>
      <xdr:rowOff>114300</xdr:rowOff>
    </xdr:to>
    <xdr:graphicFrame macro="">
      <xdr:nvGraphicFramePr>
        <xdr:cNvPr id="3" name="Graf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59</xdr:row>
      <xdr:rowOff>0</xdr:rowOff>
    </xdr:from>
    <xdr:to>
      <xdr:col>1</xdr:col>
      <xdr:colOff>184150</xdr:colOff>
      <xdr:row>59</xdr:row>
      <xdr:rowOff>133350</xdr:rowOff>
    </xdr:to>
    <xdr:pic>
      <xdr:nvPicPr>
        <xdr:cNvPr id="2" name="Obrázek 1" descr="https://files.eliteprospects.com/layout/flags_s/8.png">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4300" y="173672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0</xdr:rowOff>
    </xdr:from>
    <xdr:to>
      <xdr:col>1</xdr:col>
      <xdr:colOff>184150</xdr:colOff>
      <xdr:row>60</xdr:row>
      <xdr:rowOff>133350</xdr:rowOff>
    </xdr:to>
    <xdr:pic>
      <xdr:nvPicPr>
        <xdr:cNvPr id="3" name="Obrázek 2" descr="https://files.eliteprospects.com/layout/flags_s/8.png">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4300" y="175514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xdr:row>
      <xdr:rowOff>0</xdr:rowOff>
    </xdr:from>
    <xdr:to>
      <xdr:col>1</xdr:col>
      <xdr:colOff>184150</xdr:colOff>
      <xdr:row>61</xdr:row>
      <xdr:rowOff>133350</xdr:rowOff>
    </xdr:to>
    <xdr:pic>
      <xdr:nvPicPr>
        <xdr:cNvPr id="4" name="Obrázek 3" descr="https://files.eliteprospects.com/layout/flags_s/8.png">
          <a:extLst>
            <a:ext uri="{FF2B5EF4-FFF2-40B4-BE49-F238E27FC236}">
              <a16:creationId xmlns:a16="http://schemas.microsoft.com/office/drawing/2014/main" id="{00000000-0008-0000-0C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4300" y="177355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184150</xdr:colOff>
      <xdr:row>66</xdr:row>
      <xdr:rowOff>133350</xdr:rowOff>
    </xdr:to>
    <xdr:pic>
      <xdr:nvPicPr>
        <xdr:cNvPr id="5" name="Obrázek 4" descr="https://files.eliteprospects.com/layout/flags_s/8.png">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4300" y="184721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xdr:row>
      <xdr:rowOff>0</xdr:rowOff>
    </xdr:from>
    <xdr:to>
      <xdr:col>1</xdr:col>
      <xdr:colOff>184150</xdr:colOff>
      <xdr:row>67</xdr:row>
      <xdr:rowOff>133350</xdr:rowOff>
    </xdr:to>
    <xdr:pic>
      <xdr:nvPicPr>
        <xdr:cNvPr id="6" name="Obrázek 5" descr="https://files.eliteprospects.com/layout/flags_s/31.png">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84300" y="190246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184150</xdr:colOff>
      <xdr:row>68</xdr:row>
      <xdr:rowOff>133350</xdr:rowOff>
    </xdr:to>
    <xdr:pic>
      <xdr:nvPicPr>
        <xdr:cNvPr id="7" name="Obrázek 6" descr="https://files.eliteprospects.com/layout/flags_s/8.png">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4300" y="193929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1</xdr:col>
      <xdr:colOff>184150</xdr:colOff>
      <xdr:row>69</xdr:row>
      <xdr:rowOff>133350</xdr:rowOff>
    </xdr:to>
    <xdr:pic>
      <xdr:nvPicPr>
        <xdr:cNvPr id="8" name="Obrázek 7" descr="https://files.eliteprospects.com/layout/flags_s/31.png">
          <a:extLst>
            <a:ext uri="{FF2B5EF4-FFF2-40B4-BE49-F238E27FC236}">
              <a16:creationId xmlns:a16="http://schemas.microsoft.com/office/drawing/2014/main" id="{00000000-0008-0000-0C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84300" y="199453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xdr:row>
      <xdr:rowOff>0</xdr:rowOff>
    </xdr:from>
    <xdr:to>
      <xdr:col>1</xdr:col>
      <xdr:colOff>184150</xdr:colOff>
      <xdr:row>70</xdr:row>
      <xdr:rowOff>133350</xdr:rowOff>
    </xdr:to>
    <xdr:pic>
      <xdr:nvPicPr>
        <xdr:cNvPr id="9" name="Obrázek 8" descr="https://files.eliteprospects.com/layout/flags_s/8.png">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4300" y="203136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xdr:row>
      <xdr:rowOff>0</xdr:rowOff>
    </xdr:from>
    <xdr:to>
      <xdr:col>1</xdr:col>
      <xdr:colOff>184150</xdr:colOff>
      <xdr:row>79</xdr:row>
      <xdr:rowOff>133350</xdr:rowOff>
    </xdr:to>
    <xdr:pic>
      <xdr:nvPicPr>
        <xdr:cNvPr id="10" name="Obrázek 9" descr="https://files.eliteprospects.com/layout/flags_s/8.png">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4300" y="199453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xdr:row>
      <xdr:rowOff>0</xdr:rowOff>
    </xdr:from>
    <xdr:to>
      <xdr:col>1</xdr:col>
      <xdr:colOff>184150</xdr:colOff>
      <xdr:row>80</xdr:row>
      <xdr:rowOff>133350</xdr:rowOff>
    </xdr:to>
    <xdr:pic>
      <xdr:nvPicPr>
        <xdr:cNvPr id="11" name="Obrázek 10" descr="https://files.eliteprospects.com/layout/flags_s/31.png">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84300" y="201295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81</xdr:row>
      <xdr:rowOff>0</xdr:rowOff>
    </xdr:from>
    <xdr:to>
      <xdr:col>1</xdr:col>
      <xdr:colOff>184150</xdr:colOff>
      <xdr:row>81</xdr:row>
      <xdr:rowOff>133350</xdr:rowOff>
    </xdr:to>
    <xdr:pic>
      <xdr:nvPicPr>
        <xdr:cNvPr id="12" name="Obrázek 11" descr="https://files.eliteprospects.com/layout/flags_s/8.png">
          <a:extLst>
            <a:ext uri="{FF2B5EF4-FFF2-40B4-BE49-F238E27FC236}">
              <a16:creationId xmlns:a16="http://schemas.microsoft.com/office/drawing/2014/main" id="{00000000-0008-0000-0C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4300" y="203136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82</xdr:row>
      <xdr:rowOff>0</xdr:rowOff>
    </xdr:from>
    <xdr:to>
      <xdr:col>1</xdr:col>
      <xdr:colOff>184150</xdr:colOff>
      <xdr:row>82</xdr:row>
      <xdr:rowOff>133350</xdr:rowOff>
    </xdr:to>
    <xdr:pic>
      <xdr:nvPicPr>
        <xdr:cNvPr id="13" name="Obrázek 12" descr="https://files.eliteprospects.com/layout/flags_s/31.png">
          <a:extLst>
            <a:ext uri="{FF2B5EF4-FFF2-40B4-BE49-F238E27FC236}">
              <a16:creationId xmlns:a16="http://schemas.microsoft.com/office/drawing/2014/main" id="{00000000-0008-0000-0C00-00000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84300" y="204978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1</xdr:col>
      <xdr:colOff>184150</xdr:colOff>
      <xdr:row>75</xdr:row>
      <xdr:rowOff>133350</xdr:rowOff>
    </xdr:to>
    <xdr:pic>
      <xdr:nvPicPr>
        <xdr:cNvPr id="15" name="Obrázek 14" descr="https://files.eliteprospects.com/layout/flags_s/4.png">
          <a:extLst>
            <a:ext uri="{FF2B5EF4-FFF2-40B4-BE49-F238E27FC236}">
              <a16:creationId xmlns:a16="http://schemas.microsoft.com/office/drawing/2014/main" id="{00000000-0008-0000-0C00-00000F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84300" y="199453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xdr:col>
      <xdr:colOff>184150</xdr:colOff>
      <xdr:row>76</xdr:row>
      <xdr:rowOff>133350</xdr:rowOff>
    </xdr:to>
    <xdr:pic>
      <xdr:nvPicPr>
        <xdr:cNvPr id="16" name="Obrázek 15" descr="https://files.eliteprospects.com/layout/flags_s/4.png">
          <a:extLst>
            <a:ext uri="{FF2B5EF4-FFF2-40B4-BE49-F238E27FC236}">
              <a16:creationId xmlns:a16="http://schemas.microsoft.com/office/drawing/2014/main" id="{00000000-0008-0000-0C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84300" y="201295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77</xdr:row>
      <xdr:rowOff>0</xdr:rowOff>
    </xdr:from>
    <xdr:to>
      <xdr:col>1</xdr:col>
      <xdr:colOff>184150</xdr:colOff>
      <xdr:row>77</xdr:row>
      <xdr:rowOff>133350</xdr:rowOff>
    </xdr:to>
    <xdr:pic>
      <xdr:nvPicPr>
        <xdr:cNvPr id="17" name="Obrázek 16" descr="https://files.eliteprospects.com/layout/flags_s/31.png">
          <a:extLst>
            <a:ext uri="{FF2B5EF4-FFF2-40B4-BE49-F238E27FC236}">
              <a16:creationId xmlns:a16="http://schemas.microsoft.com/office/drawing/2014/main" id="{00000000-0008-0000-0C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84300" y="204978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xdr:row>
      <xdr:rowOff>0</xdr:rowOff>
    </xdr:from>
    <xdr:to>
      <xdr:col>1</xdr:col>
      <xdr:colOff>184150</xdr:colOff>
      <xdr:row>78</xdr:row>
      <xdr:rowOff>133350</xdr:rowOff>
    </xdr:to>
    <xdr:pic>
      <xdr:nvPicPr>
        <xdr:cNvPr id="18" name="Obrázek 17" descr="https://files.eliteprospects.com/layout/flags_s/31.png">
          <a:extLst>
            <a:ext uri="{FF2B5EF4-FFF2-40B4-BE49-F238E27FC236}">
              <a16:creationId xmlns:a16="http://schemas.microsoft.com/office/drawing/2014/main" id="{00000000-0008-0000-0C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84300" y="206819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98</xdr:row>
      <xdr:rowOff>0</xdr:rowOff>
    </xdr:from>
    <xdr:to>
      <xdr:col>1</xdr:col>
      <xdr:colOff>184150</xdr:colOff>
      <xdr:row>98</xdr:row>
      <xdr:rowOff>133350</xdr:rowOff>
    </xdr:to>
    <xdr:pic>
      <xdr:nvPicPr>
        <xdr:cNvPr id="23" name="Obrázek 22" descr="https://files.eliteprospects.com/layout/flags_s/3.png">
          <a:extLst>
            <a:ext uri="{FF2B5EF4-FFF2-40B4-BE49-F238E27FC236}">
              <a16:creationId xmlns:a16="http://schemas.microsoft.com/office/drawing/2014/main" id="{00000000-0008-0000-0C00-00001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84300" y="233743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xdr:row>
      <xdr:rowOff>0</xdr:rowOff>
    </xdr:from>
    <xdr:to>
      <xdr:col>1</xdr:col>
      <xdr:colOff>184150</xdr:colOff>
      <xdr:row>99</xdr:row>
      <xdr:rowOff>133350</xdr:rowOff>
    </xdr:to>
    <xdr:pic>
      <xdr:nvPicPr>
        <xdr:cNvPr id="24" name="Obrázek 23" descr="https://files.eliteprospects.com/layout/flags_s/3.png">
          <a:extLst>
            <a:ext uri="{FF2B5EF4-FFF2-40B4-BE49-F238E27FC236}">
              <a16:creationId xmlns:a16="http://schemas.microsoft.com/office/drawing/2014/main" id="{00000000-0008-0000-0C00-00001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84300" y="235585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100</xdr:row>
      <xdr:rowOff>0</xdr:rowOff>
    </xdr:from>
    <xdr:to>
      <xdr:col>1</xdr:col>
      <xdr:colOff>184150</xdr:colOff>
      <xdr:row>100</xdr:row>
      <xdr:rowOff>133350</xdr:rowOff>
    </xdr:to>
    <xdr:pic>
      <xdr:nvPicPr>
        <xdr:cNvPr id="25" name="Obrázek 24" descr="https://files.eliteprospects.com/layout/flags_s/3.png">
          <a:extLst>
            <a:ext uri="{FF2B5EF4-FFF2-40B4-BE49-F238E27FC236}">
              <a16:creationId xmlns:a16="http://schemas.microsoft.com/office/drawing/2014/main" id="{00000000-0008-0000-0C00-00001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84300" y="239268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xdr:row>
      <xdr:rowOff>0</xdr:rowOff>
    </xdr:from>
    <xdr:to>
      <xdr:col>1</xdr:col>
      <xdr:colOff>184150</xdr:colOff>
      <xdr:row>101</xdr:row>
      <xdr:rowOff>133350</xdr:rowOff>
    </xdr:to>
    <xdr:pic>
      <xdr:nvPicPr>
        <xdr:cNvPr id="26" name="Obrázek 25" descr="https://files.eliteprospects.com/layout/flags_s/3.png">
          <a:extLst>
            <a:ext uri="{FF2B5EF4-FFF2-40B4-BE49-F238E27FC236}">
              <a16:creationId xmlns:a16="http://schemas.microsoft.com/office/drawing/2014/main" id="{00000000-0008-0000-0C00-00001A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84300" y="241109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xdr:row>
      <xdr:rowOff>0</xdr:rowOff>
    </xdr:from>
    <xdr:to>
      <xdr:col>1</xdr:col>
      <xdr:colOff>184150</xdr:colOff>
      <xdr:row>102</xdr:row>
      <xdr:rowOff>133350</xdr:rowOff>
    </xdr:to>
    <xdr:pic>
      <xdr:nvPicPr>
        <xdr:cNvPr id="27" name="Obrázek 26" descr="https://files.eliteprospects.com/layout/flags_s/6.png">
          <a:extLst>
            <a:ext uri="{FF2B5EF4-FFF2-40B4-BE49-F238E27FC236}">
              <a16:creationId xmlns:a16="http://schemas.microsoft.com/office/drawing/2014/main" id="{00000000-0008-0000-0C00-00001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84300" y="244792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103</xdr:row>
      <xdr:rowOff>0</xdr:rowOff>
    </xdr:from>
    <xdr:to>
      <xdr:col>1</xdr:col>
      <xdr:colOff>184150</xdr:colOff>
      <xdr:row>103</xdr:row>
      <xdr:rowOff>133350</xdr:rowOff>
    </xdr:to>
    <xdr:pic>
      <xdr:nvPicPr>
        <xdr:cNvPr id="28" name="Obrázek 27" descr="https://files.eliteprospects.com/layout/flags_s/6.png">
          <a:extLst>
            <a:ext uri="{FF2B5EF4-FFF2-40B4-BE49-F238E27FC236}">
              <a16:creationId xmlns:a16="http://schemas.microsoft.com/office/drawing/2014/main" id="{00000000-0008-0000-0C00-00001C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84300" y="246634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104</xdr:row>
      <xdr:rowOff>0</xdr:rowOff>
    </xdr:from>
    <xdr:to>
      <xdr:col>1</xdr:col>
      <xdr:colOff>180975</xdr:colOff>
      <xdr:row>104</xdr:row>
      <xdr:rowOff>133350</xdr:rowOff>
    </xdr:to>
    <xdr:pic>
      <xdr:nvPicPr>
        <xdr:cNvPr id="44" name="Obrázek 43" descr="https://files.eliteprospects.com/layout/flags_s/8.png">
          <a:extLst>
            <a:ext uri="{FF2B5EF4-FFF2-40B4-BE49-F238E27FC236}">
              <a16:creationId xmlns:a16="http://schemas.microsoft.com/office/drawing/2014/main" id="{00000000-0008-0000-0C00-00002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23975" y="200025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1</xdr:col>
      <xdr:colOff>180975</xdr:colOff>
      <xdr:row>62</xdr:row>
      <xdr:rowOff>133350</xdr:rowOff>
    </xdr:to>
    <xdr:pic>
      <xdr:nvPicPr>
        <xdr:cNvPr id="45" name="Obrázek 44" descr="https://files.eliteprospects.com/layout/flags_s/8.png">
          <a:extLst>
            <a:ext uri="{FF2B5EF4-FFF2-40B4-BE49-F238E27FC236}">
              <a16:creationId xmlns:a16="http://schemas.microsoft.com/office/drawing/2014/main" id="{00000000-0008-0000-0C00-00002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23975" y="125539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0</xdr:rowOff>
    </xdr:from>
    <xdr:to>
      <xdr:col>1</xdr:col>
      <xdr:colOff>180975</xdr:colOff>
      <xdr:row>71</xdr:row>
      <xdr:rowOff>133350</xdr:rowOff>
    </xdr:to>
    <xdr:pic>
      <xdr:nvPicPr>
        <xdr:cNvPr id="46" name="Obrázek 45" descr="https://files.eliteprospects.com/layout/flags_s/8.png">
          <a:extLst>
            <a:ext uri="{FF2B5EF4-FFF2-40B4-BE49-F238E27FC236}">
              <a16:creationId xmlns:a16="http://schemas.microsoft.com/office/drawing/2014/main" id="{00000000-0008-0000-0C00-00002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23975" y="142779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xdr:row>
      <xdr:rowOff>0</xdr:rowOff>
    </xdr:from>
    <xdr:to>
      <xdr:col>1</xdr:col>
      <xdr:colOff>180975</xdr:colOff>
      <xdr:row>83</xdr:row>
      <xdr:rowOff>133350</xdr:rowOff>
    </xdr:to>
    <xdr:pic>
      <xdr:nvPicPr>
        <xdr:cNvPr id="47" name="Obrázek 46" descr="https://files.eliteprospects.com/layout/flags_s/8.png">
          <a:extLst>
            <a:ext uri="{FF2B5EF4-FFF2-40B4-BE49-F238E27FC236}">
              <a16:creationId xmlns:a16="http://schemas.microsoft.com/office/drawing/2014/main" id="{00000000-0008-0000-0C00-00002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23975" y="165735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12</xdr:col>
      <xdr:colOff>714375</xdr:colOff>
      <xdr:row>86</xdr:row>
      <xdr:rowOff>123825</xdr:rowOff>
    </xdr:from>
    <xdr:to>
      <xdr:col>26</xdr:col>
      <xdr:colOff>1933575</xdr:colOff>
      <xdr:row>106</xdr:row>
      <xdr:rowOff>57151</xdr:rowOff>
    </xdr:to>
    <xdr:graphicFrame macro="">
      <xdr:nvGraphicFramePr>
        <xdr:cNvPr id="2" name="Graf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704850</xdr:colOff>
      <xdr:row>61</xdr:row>
      <xdr:rowOff>9525</xdr:rowOff>
    </xdr:from>
    <xdr:to>
      <xdr:col>26</xdr:col>
      <xdr:colOff>1971670</xdr:colOff>
      <xdr:row>85</xdr:row>
      <xdr:rowOff>114300</xdr:rowOff>
    </xdr:to>
    <xdr:graphicFrame macro="">
      <xdr:nvGraphicFramePr>
        <xdr:cNvPr id="3" name="Graf 2">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39</xdr:col>
      <xdr:colOff>0</xdr:colOff>
      <xdr:row>29</xdr:row>
      <xdr:rowOff>0</xdr:rowOff>
    </xdr:from>
    <xdr:to>
      <xdr:col>39</xdr:col>
      <xdr:colOff>304800</xdr:colOff>
      <xdr:row>30</xdr:row>
      <xdr:rowOff>104775</xdr:rowOff>
    </xdr:to>
    <xdr:sp macro="" textlink="">
      <xdr:nvSpPr>
        <xdr:cNvPr id="51201" name="AutoShape 1" descr=" Zavřít">
          <a:hlinkClick xmlns:r="http://schemas.openxmlformats.org/officeDocument/2006/relationships" r:id="rId1"/>
          <a:extLst>
            <a:ext uri="{FF2B5EF4-FFF2-40B4-BE49-F238E27FC236}">
              <a16:creationId xmlns:a16="http://schemas.microsoft.com/office/drawing/2014/main" id="{00000000-0008-0000-1000-000001C80000}"/>
            </a:ext>
          </a:extLst>
        </xdr:cNvPr>
        <xdr:cNvSpPr>
          <a:spLocks noChangeAspect="1" noChangeArrowheads="1"/>
        </xdr:cNvSpPr>
      </xdr:nvSpPr>
      <xdr:spPr bwMode="auto">
        <a:xfrm>
          <a:off x="28127325" y="15868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39</xdr:col>
      <xdr:colOff>0</xdr:colOff>
      <xdr:row>34</xdr:row>
      <xdr:rowOff>0</xdr:rowOff>
    </xdr:from>
    <xdr:to>
      <xdr:col>39</xdr:col>
      <xdr:colOff>304800</xdr:colOff>
      <xdr:row>34</xdr:row>
      <xdr:rowOff>304800</xdr:rowOff>
    </xdr:to>
    <xdr:sp macro="" textlink="">
      <xdr:nvSpPr>
        <xdr:cNvPr id="51202" name="AutoShape 2" descr="Obsah nápovědy">
          <a:hlinkClick xmlns:r="http://schemas.openxmlformats.org/officeDocument/2006/relationships" r:id="rId1"/>
          <a:extLst>
            <a:ext uri="{FF2B5EF4-FFF2-40B4-BE49-F238E27FC236}">
              <a16:creationId xmlns:a16="http://schemas.microsoft.com/office/drawing/2014/main" id="{00000000-0008-0000-1000-000002C80000}"/>
            </a:ext>
          </a:extLst>
        </xdr:cNvPr>
        <xdr:cNvSpPr>
          <a:spLocks noChangeAspect="1" noChangeArrowheads="1"/>
        </xdr:cNvSpPr>
      </xdr:nvSpPr>
      <xdr:spPr bwMode="auto">
        <a:xfrm>
          <a:off x="28127325" y="164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xdr:col>
      <xdr:colOff>0</xdr:colOff>
      <xdr:row>117</xdr:row>
      <xdr:rowOff>0</xdr:rowOff>
    </xdr:from>
    <xdr:ext cx="184150" cy="133350"/>
    <xdr:pic>
      <xdr:nvPicPr>
        <xdr:cNvPr id="4" name="Obrázek 3" descr="https://files.eliteprospects.com/layout/flags_s/8.png">
          <a:extLst>
            <a:ext uri="{FF2B5EF4-FFF2-40B4-BE49-F238E27FC236}">
              <a16:creationId xmlns:a16="http://schemas.microsoft.com/office/drawing/2014/main" id="{00000000-0008-0000-10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350043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118</xdr:row>
      <xdr:rowOff>0</xdr:rowOff>
    </xdr:from>
    <xdr:ext cx="184150" cy="133350"/>
    <xdr:pic>
      <xdr:nvPicPr>
        <xdr:cNvPr id="5" name="Obrázek 4" descr="https://files.eliteprospects.com/layout/flags_s/8.png">
          <a:extLst>
            <a:ext uri="{FF2B5EF4-FFF2-40B4-BE49-F238E27FC236}">
              <a16:creationId xmlns:a16="http://schemas.microsoft.com/office/drawing/2014/main" id="{00000000-0008-0000-10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351948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119</xdr:row>
      <xdr:rowOff>0</xdr:rowOff>
    </xdr:from>
    <xdr:ext cx="184150" cy="133350"/>
    <xdr:pic>
      <xdr:nvPicPr>
        <xdr:cNvPr id="6" name="Obrázek 5" descr="https://files.eliteprospects.com/layout/flags_s/8.png">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353853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124</xdr:row>
      <xdr:rowOff>0</xdr:rowOff>
    </xdr:from>
    <xdr:ext cx="184150" cy="133350"/>
    <xdr:pic>
      <xdr:nvPicPr>
        <xdr:cNvPr id="7" name="Obrázek 6" descr="https://files.eliteprospects.com/layout/flags_s/8.png">
          <a:extLst>
            <a:ext uri="{FF2B5EF4-FFF2-40B4-BE49-F238E27FC236}">
              <a16:creationId xmlns:a16="http://schemas.microsoft.com/office/drawing/2014/main" id="{00000000-0008-0000-10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363378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125</xdr:row>
      <xdr:rowOff>0</xdr:rowOff>
    </xdr:from>
    <xdr:ext cx="184150" cy="133350"/>
    <xdr:pic>
      <xdr:nvPicPr>
        <xdr:cNvPr id="8" name="Obrázek 7" descr="https://files.eliteprospects.com/layout/flags_s/9.png">
          <a:extLst>
            <a:ext uri="{FF2B5EF4-FFF2-40B4-BE49-F238E27FC236}">
              <a16:creationId xmlns:a16="http://schemas.microsoft.com/office/drawing/2014/main" id="{00000000-0008-0000-10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23975" y="365283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126</xdr:row>
      <xdr:rowOff>0</xdr:rowOff>
    </xdr:from>
    <xdr:ext cx="184150" cy="133350"/>
    <xdr:pic>
      <xdr:nvPicPr>
        <xdr:cNvPr id="9" name="Obrázek 8" descr="https://files.eliteprospects.com/layout/flags_s/31.png">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23975" y="367188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127</xdr:row>
      <xdr:rowOff>0</xdr:rowOff>
    </xdr:from>
    <xdr:ext cx="184150" cy="133350"/>
    <xdr:pic>
      <xdr:nvPicPr>
        <xdr:cNvPr id="10" name="Obrázek 9" descr="https://files.eliteprospects.com/layout/flags_s/8.png">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369093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128</xdr:row>
      <xdr:rowOff>0</xdr:rowOff>
    </xdr:from>
    <xdr:ext cx="184150" cy="133350"/>
    <xdr:pic>
      <xdr:nvPicPr>
        <xdr:cNvPr id="11" name="Obrázek 10" descr="https://files.eliteprospects.com/layout/flags_s/31.png">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23975" y="370998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129</xdr:row>
      <xdr:rowOff>0</xdr:rowOff>
    </xdr:from>
    <xdr:ext cx="184150" cy="133350"/>
    <xdr:pic>
      <xdr:nvPicPr>
        <xdr:cNvPr id="12" name="Obrázek 11" descr="https://files.eliteprospects.com/layout/flags_s/8.png">
          <a:extLst>
            <a:ext uri="{FF2B5EF4-FFF2-40B4-BE49-F238E27FC236}">
              <a16:creationId xmlns:a16="http://schemas.microsoft.com/office/drawing/2014/main" id="{00000000-0008-0000-1000-00000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372903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134</xdr:row>
      <xdr:rowOff>0</xdr:rowOff>
    </xdr:from>
    <xdr:ext cx="184150" cy="133350"/>
    <xdr:pic>
      <xdr:nvPicPr>
        <xdr:cNvPr id="13" name="Obrázek 12" descr="https://files.eliteprospects.com/layout/flags_s/8.png">
          <a:extLst>
            <a:ext uri="{FF2B5EF4-FFF2-40B4-BE49-F238E27FC236}">
              <a16:creationId xmlns:a16="http://schemas.microsoft.com/office/drawing/2014/main" id="{00000000-0008-0000-1000-00000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382428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135</xdr:row>
      <xdr:rowOff>0</xdr:rowOff>
    </xdr:from>
    <xdr:ext cx="184150" cy="133350"/>
    <xdr:pic>
      <xdr:nvPicPr>
        <xdr:cNvPr id="14" name="Obrázek 13" descr="https://files.eliteprospects.com/layout/flags_s/8.png">
          <a:extLst>
            <a:ext uri="{FF2B5EF4-FFF2-40B4-BE49-F238E27FC236}">
              <a16:creationId xmlns:a16="http://schemas.microsoft.com/office/drawing/2014/main" id="{00000000-0008-0000-1000-00000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384333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136</xdr:row>
      <xdr:rowOff>0</xdr:rowOff>
    </xdr:from>
    <xdr:ext cx="184150" cy="133350"/>
    <xdr:pic>
      <xdr:nvPicPr>
        <xdr:cNvPr id="15" name="Obrázek 14" descr="https://files.eliteprospects.com/layout/flags_s/8.png">
          <a:extLst>
            <a:ext uri="{FF2B5EF4-FFF2-40B4-BE49-F238E27FC236}">
              <a16:creationId xmlns:a16="http://schemas.microsoft.com/office/drawing/2014/main" id="{00000000-0008-0000-1000-00000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386238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137</xdr:row>
      <xdr:rowOff>0</xdr:rowOff>
    </xdr:from>
    <xdr:ext cx="184150" cy="133350"/>
    <xdr:pic>
      <xdr:nvPicPr>
        <xdr:cNvPr id="16" name="Obrázek 15" descr="https://files.eliteprospects.com/layout/flags_s/8.png">
          <a:extLst>
            <a:ext uri="{FF2B5EF4-FFF2-40B4-BE49-F238E27FC236}">
              <a16:creationId xmlns:a16="http://schemas.microsoft.com/office/drawing/2014/main" id="{00000000-0008-0000-1000-00001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388143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138</xdr:row>
      <xdr:rowOff>0</xdr:rowOff>
    </xdr:from>
    <xdr:ext cx="184150" cy="133350"/>
    <xdr:pic>
      <xdr:nvPicPr>
        <xdr:cNvPr id="17" name="Obrázek 16" descr="https://files.eliteprospects.com/layout/flags_s/8.png">
          <a:extLst>
            <a:ext uri="{FF2B5EF4-FFF2-40B4-BE49-F238E27FC236}">
              <a16:creationId xmlns:a16="http://schemas.microsoft.com/office/drawing/2014/main" id="{00000000-0008-0000-10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390048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137</xdr:row>
      <xdr:rowOff>0</xdr:rowOff>
    </xdr:from>
    <xdr:ext cx="184150" cy="133350"/>
    <xdr:pic>
      <xdr:nvPicPr>
        <xdr:cNvPr id="18" name="Obrázek 17" descr="https://files.eliteprospects.com/layout/flags_s/8.png">
          <a:extLst>
            <a:ext uri="{FF2B5EF4-FFF2-40B4-BE49-F238E27FC236}">
              <a16:creationId xmlns:a16="http://schemas.microsoft.com/office/drawing/2014/main" id="{00000000-0008-0000-10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388143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130</xdr:row>
      <xdr:rowOff>0</xdr:rowOff>
    </xdr:from>
    <xdr:ext cx="180975" cy="133350"/>
    <xdr:pic>
      <xdr:nvPicPr>
        <xdr:cNvPr id="19" name="Obrázek 18" descr="https://files.eliteprospects.com/layout/flags_s/8.png">
          <a:extLst>
            <a:ext uri="{FF2B5EF4-FFF2-40B4-BE49-F238E27FC236}">
              <a16:creationId xmlns:a16="http://schemas.microsoft.com/office/drawing/2014/main" id="{00000000-0008-0000-10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37480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120</xdr:row>
      <xdr:rowOff>0</xdr:rowOff>
    </xdr:from>
    <xdr:ext cx="180975" cy="133350"/>
    <xdr:pic>
      <xdr:nvPicPr>
        <xdr:cNvPr id="20" name="Obrázek 19" descr="https://files.eliteprospects.com/layout/flags_s/8.png">
          <a:extLst>
            <a:ext uri="{FF2B5EF4-FFF2-40B4-BE49-F238E27FC236}">
              <a16:creationId xmlns:a16="http://schemas.microsoft.com/office/drawing/2014/main" id="{00000000-0008-0000-10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35575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139</xdr:row>
      <xdr:rowOff>0</xdr:rowOff>
    </xdr:from>
    <xdr:ext cx="180975" cy="133350"/>
    <xdr:pic>
      <xdr:nvPicPr>
        <xdr:cNvPr id="21" name="Obrázek 20" descr="https://files.eliteprospects.com/layout/flags_s/8.png">
          <a:extLst>
            <a:ext uri="{FF2B5EF4-FFF2-40B4-BE49-F238E27FC236}">
              <a16:creationId xmlns:a16="http://schemas.microsoft.com/office/drawing/2014/main" id="{00000000-0008-0000-10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39195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144</xdr:row>
      <xdr:rowOff>0</xdr:rowOff>
    </xdr:from>
    <xdr:ext cx="180975" cy="133350"/>
    <xdr:pic>
      <xdr:nvPicPr>
        <xdr:cNvPr id="22" name="Obrázek 21" descr="https://files.eliteprospects.com/layout/flags_s/8.png">
          <a:extLst>
            <a:ext uri="{FF2B5EF4-FFF2-40B4-BE49-F238E27FC236}">
              <a16:creationId xmlns:a16="http://schemas.microsoft.com/office/drawing/2014/main" id="{00000000-0008-0000-1000-00001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0147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145</xdr:row>
      <xdr:rowOff>0</xdr:rowOff>
    </xdr:from>
    <xdr:ext cx="180975" cy="133350"/>
    <xdr:pic>
      <xdr:nvPicPr>
        <xdr:cNvPr id="23" name="Obrázek 22" descr="https://files.eliteprospects.com/layout/flags_s/8.png">
          <a:extLst>
            <a:ext uri="{FF2B5EF4-FFF2-40B4-BE49-F238E27FC236}">
              <a16:creationId xmlns:a16="http://schemas.microsoft.com/office/drawing/2014/main" id="{00000000-0008-0000-1000-00001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0338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146</xdr:row>
      <xdr:rowOff>0</xdr:rowOff>
    </xdr:from>
    <xdr:ext cx="180975" cy="133350"/>
    <xdr:pic>
      <xdr:nvPicPr>
        <xdr:cNvPr id="24" name="Obrázek 23" descr="https://files.eliteprospects.com/layout/flags_s/8.png">
          <a:extLst>
            <a:ext uri="{FF2B5EF4-FFF2-40B4-BE49-F238E27FC236}">
              <a16:creationId xmlns:a16="http://schemas.microsoft.com/office/drawing/2014/main" id="{00000000-0008-0000-1000-00001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0528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147</xdr:row>
      <xdr:rowOff>0</xdr:rowOff>
    </xdr:from>
    <xdr:ext cx="180975" cy="133350"/>
    <xdr:pic>
      <xdr:nvPicPr>
        <xdr:cNvPr id="25" name="Obrázek 24" descr="https://files.eliteprospects.com/layout/flags_s/8.png">
          <a:extLst>
            <a:ext uri="{FF2B5EF4-FFF2-40B4-BE49-F238E27FC236}">
              <a16:creationId xmlns:a16="http://schemas.microsoft.com/office/drawing/2014/main" id="{00000000-0008-0000-1000-00001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0719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148</xdr:row>
      <xdr:rowOff>0</xdr:rowOff>
    </xdr:from>
    <xdr:ext cx="180975" cy="133350"/>
    <xdr:pic>
      <xdr:nvPicPr>
        <xdr:cNvPr id="26" name="Obrázek 25" descr="https://files.eliteprospects.com/layout/flags_s/6.png">
          <a:extLst>
            <a:ext uri="{FF2B5EF4-FFF2-40B4-BE49-F238E27FC236}">
              <a16:creationId xmlns:a16="http://schemas.microsoft.com/office/drawing/2014/main" id="{00000000-0008-0000-1000-00001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23975" y="40909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149</xdr:row>
      <xdr:rowOff>0</xdr:rowOff>
    </xdr:from>
    <xdr:ext cx="180975" cy="133350"/>
    <xdr:pic>
      <xdr:nvPicPr>
        <xdr:cNvPr id="27" name="Obrázek 26" descr="https://files.eliteprospects.com/layout/flags_s/8.png">
          <a:extLst>
            <a:ext uri="{FF2B5EF4-FFF2-40B4-BE49-F238E27FC236}">
              <a16:creationId xmlns:a16="http://schemas.microsoft.com/office/drawing/2014/main" id="{00000000-0008-0000-1000-00001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1100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154</xdr:row>
      <xdr:rowOff>0</xdr:rowOff>
    </xdr:from>
    <xdr:ext cx="180975" cy="133350"/>
    <xdr:pic>
      <xdr:nvPicPr>
        <xdr:cNvPr id="28" name="Obrázek 27" descr="https://files.eliteprospects.com/layout/flags_s/8.png">
          <a:extLst>
            <a:ext uri="{FF2B5EF4-FFF2-40B4-BE49-F238E27FC236}">
              <a16:creationId xmlns:a16="http://schemas.microsoft.com/office/drawing/2014/main" id="{00000000-0008-0000-1000-00001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2052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155</xdr:row>
      <xdr:rowOff>0</xdr:rowOff>
    </xdr:from>
    <xdr:ext cx="180975" cy="133350"/>
    <xdr:pic>
      <xdr:nvPicPr>
        <xdr:cNvPr id="29" name="Obrázek 28" descr="https://files.eliteprospects.com/layout/flags_s/8.png">
          <a:extLst>
            <a:ext uri="{FF2B5EF4-FFF2-40B4-BE49-F238E27FC236}">
              <a16:creationId xmlns:a16="http://schemas.microsoft.com/office/drawing/2014/main" id="{00000000-0008-0000-1000-00001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2243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156</xdr:row>
      <xdr:rowOff>0</xdr:rowOff>
    </xdr:from>
    <xdr:ext cx="180975" cy="133350"/>
    <xdr:pic>
      <xdr:nvPicPr>
        <xdr:cNvPr id="30" name="Obrázek 29" descr="https://files.eliteprospects.com/layout/flags_s/8.png">
          <a:extLst>
            <a:ext uri="{FF2B5EF4-FFF2-40B4-BE49-F238E27FC236}">
              <a16:creationId xmlns:a16="http://schemas.microsoft.com/office/drawing/2014/main" id="{00000000-0008-0000-1000-00001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2433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157</xdr:row>
      <xdr:rowOff>0</xdr:rowOff>
    </xdr:from>
    <xdr:ext cx="180975" cy="133350"/>
    <xdr:pic>
      <xdr:nvPicPr>
        <xdr:cNvPr id="31" name="Obrázek 30" descr="https://files.eliteprospects.com/layout/flags_s/8.png">
          <a:extLst>
            <a:ext uri="{FF2B5EF4-FFF2-40B4-BE49-F238E27FC236}">
              <a16:creationId xmlns:a16="http://schemas.microsoft.com/office/drawing/2014/main" id="{00000000-0008-0000-1000-00001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2624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162</xdr:row>
      <xdr:rowOff>0</xdr:rowOff>
    </xdr:from>
    <xdr:ext cx="180975" cy="133350"/>
    <xdr:pic>
      <xdr:nvPicPr>
        <xdr:cNvPr id="32" name="Obrázek 31" descr="https://files.eliteprospects.com/layout/flags_s/8.png">
          <a:extLst>
            <a:ext uri="{FF2B5EF4-FFF2-40B4-BE49-F238E27FC236}">
              <a16:creationId xmlns:a16="http://schemas.microsoft.com/office/drawing/2014/main" id="{00000000-0008-0000-1000-00002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3576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163</xdr:row>
      <xdr:rowOff>0</xdr:rowOff>
    </xdr:from>
    <xdr:ext cx="180975" cy="133350"/>
    <xdr:pic>
      <xdr:nvPicPr>
        <xdr:cNvPr id="33" name="Obrázek 32" descr="https://files.eliteprospects.com/layout/flags_s/8.png">
          <a:extLst>
            <a:ext uri="{FF2B5EF4-FFF2-40B4-BE49-F238E27FC236}">
              <a16:creationId xmlns:a16="http://schemas.microsoft.com/office/drawing/2014/main" id="{00000000-0008-0000-1000-00002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3767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164</xdr:row>
      <xdr:rowOff>0</xdr:rowOff>
    </xdr:from>
    <xdr:ext cx="180975" cy="133350"/>
    <xdr:pic>
      <xdr:nvPicPr>
        <xdr:cNvPr id="34" name="Obrázek 33" descr="https://files.eliteprospects.com/layout/flags_s/8.png">
          <a:extLst>
            <a:ext uri="{FF2B5EF4-FFF2-40B4-BE49-F238E27FC236}">
              <a16:creationId xmlns:a16="http://schemas.microsoft.com/office/drawing/2014/main" id="{00000000-0008-0000-1000-00002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3957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165</xdr:row>
      <xdr:rowOff>0</xdr:rowOff>
    </xdr:from>
    <xdr:ext cx="180975" cy="133350"/>
    <xdr:pic>
      <xdr:nvPicPr>
        <xdr:cNvPr id="35" name="Obrázek 34" descr="https://files.eliteprospects.com/layout/flags_s/8.png">
          <a:extLst>
            <a:ext uri="{FF2B5EF4-FFF2-40B4-BE49-F238E27FC236}">
              <a16:creationId xmlns:a16="http://schemas.microsoft.com/office/drawing/2014/main" id="{00000000-0008-0000-1000-00002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4148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170</xdr:row>
      <xdr:rowOff>0</xdr:rowOff>
    </xdr:from>
    <xdr:ext cx="180975" cy="133350"/>
    <xdr:pic>
      <xdr:nvPicPr>
        <xdr:cNvPr id="36" name="Obrázek 35" descr="https://files.eliteprospects.com/layout/flags_s/8.png">
          <a:extLst>
            <a:ext uri="{FF2B5EF4-FFF2-40B4-BE49-F238E27FC236}">
              <a16:creationId xmlns:a16="http://schemas.microsoft.com/office/drawing/2014/main" id="{00000000-0008-0000-10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5100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171</xdr:row>
      <xdr:rowOff>0</xdr:rowOff>
    </xdr:from>
    <xdr:ext cx="180975" cy="133350"/>
    <xdr:pic>
      <xdr:nvPicPr>
        <xdr:cNvPr id="37" name="Obrázek 36" descr="https://files.eliteprospects.com/layout/flags_s/8.png">
          <a:extLst>
            <a:ext uri="{FF2B5EF4-FFF2-40B4-BE49-F238E27FC236}">
              <a16:creationId xmlns:a16="http://schemas.microsoft.com/office/drawing/2014/main" id="{00000000-0008-0000-1000-00002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5291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172</xdr:row>
      <xdr:rowOff>0</xdr:rowOff>
    </xdr:from>
    <xdr:ext cx="180975" cy="133350"/>
    <xdr:pic>
      <xdr:nvPicPr>
        <xdr:cNvPr id="38" name="Obrázek 37" descr="https://files.eliteprospects.com/layout/flags_s/8.png">
          <a:extLst>
            <a:ext uri="{FF2B5EF4-FFF2-40B4-BE49-F238E27FC236}">
              <a16:creationId xmlns:a16="http://schemas.microsoft.com/office/drawing/2014/main" id="{00000000-0008-0000-10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5481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173</xdr:row>
      <xdr:rowOff>0</xdr:rowOff>
    </xdr:from>
    <xdr:ext cx="180975" cy="133350"/>
    <xdr:pic>
      <xdr:nvPicPr>
        <xdr:cNvPr id="39" name="Obrázek 38" descr="https://files.eliteprospects.com/layout/flags_s/8.png">
          <a:extLst>
            <a:ext uri="{FF2B5EF4-FFF2-40B4-BE49-F238E27FC236}">
              <a16:creationId xmlns:a16="http://schemas.microsoft.com/office/drawing/2014/main" id="{00000000-0008-0000-1000-00002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5672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178</xdr:row>
      <xdr:rowOff>0</xdr:rowOff>
    </xdr:from>
    <xdr:ext cx="180975" cy="133350"/>
    <xdr:pic>
      <xdr:nvPicPr>
        <xdr:cNvPr id="40" name="Obrázek 39" descr="https://files.eliteprospects.com/layout/flags_s/8.png">
          <a:extLst>
            <a:ext uri="{FF2B5EF4-FFF2-40B4-BE49-F238E27FC236}">
              <a16:creationId xmlns:a16="http://schemas.microsoft.com/office/drawing/2014/main" id="{00000000-0008-0000-1000-00002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6624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179</xdr:row>
      <xdr:rowOff>0</xdr:rowOff>
    </xdr:from>
    <xdr:ext cx="180975" cy="133350"/>
    <xdr:pic>
      <xdr:nvPicPr>
        <xdr:cNvPr id="41" name="Obrázek 40" descr="https://files.eliteprospects.com/layout/flags_s/8.png">
          <a:extLst>
            <a:ext uri="{FF2B5EF4-FFF2-40B4-BE49-F238E27FC236}">
              <a16:creationId xmlns:a16="http://schemas.microsoft.com/office/drawing/2014/main" id="{00000000-0008-0000-1000-00002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6815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180</xdr:row>
      <xdr:rowOff>0</xdr:rowOff>
    </xdr:from>
    <xdr:ext cx="180975" cy="133350"/>
    <xdr:pic>
      <xdr:nvPicPr>
        <xdr:cNvPr id="42" name="Obrázek 41" descr="https://files.eliteprospects.com/layout/flags_s/8.png">
          <a:extLst>
            <a:ext uri="{FF2B5EF4-FFF2-40B4-BE49-F238E27FC236}">
              <a16:creationId xmlns:a16="http://schemas.microsoft.com/office/drawing/2014/main" id="{00000000-0008-0000-10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7005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181</xdr:row>
      <xdr:rowOff>0</xdr:rowOff>
    </xdr:from>
    <xdr:ext cx="180975" cy="133350"/>
    <xdr:pic>
      <xdr:nvPicPr>
        <xdr:cNvPr id="43" name="Obrázek 42" descr="https://files.eliteprospects.com/layout/flags_s/8.png">
          <a:extLst>
            <a:ext uri="{FF2B5EF4-FFF2-40B4-BE49-F238E27FC236}">
              <a16:creationId xmlns:a16="http://schemas.microsoft.com/office/drawing/2014/main" id="{00000000-0008-0000-1000-00002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47196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0</xdr:colOff>
      <xdr:row>186</xdr:row>
      <xdr:rowOff>0</xdr:rowOff>
    </xdr:from>
    <xdr:to>
      <xdr:col>1</xdr:col>
      <xdr:colOff>184150</xdr:colOff>
      <xdr:row>186</xdr:row>
      <xdr:rowOff>133350</xdr:rowOff>
    </xdr:to>
    <xdr:pic>
      <xdr:nvPicPr>
        <xdr:cNvPr id="44" name="Obrázek 43" descr="https://files.eliteprospects.com/layout/flags_s/8.png">
          <a:extLst>
            <a:ext uri="{FF2B5EF4-FFF2-40B4-BE49-F238E27FC236}">
              <a16:creationId xmlns:a16="http://schemas.microsoft.com/office/drawing/2014/main" id="{00000000-0008-0000-10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119824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187</xdr:row>
      <xdr:rowOff>0</xdr:rowOff>
    </xdr:from>
    <xdr:to>
      <xdr:col>1</xdr:col>
      <xdr:colOff>184150</xdr:colOff>
      <xdr:row>187</xdr:row>
      <xdr:rowOff>133350</xdr:rowOff>
    </xdr:to>
    <xdr:pic>
      <xdr:nvPicPr>
        <xdr:cNvPr id="45" name="Obrázek 44" descr="https://files.eliteprospects.com/layout/flags_s/8.png">
          <a:extLst>
            <a:ext uri="{FF2B5EF4-FFF2-40B4-BE49-F238E27FC236}">
              <a16:creationId xmlns:a16="http://schemas.microsoft.com/office/drawing/2014/main" id="{00000000-0008-0000-10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121729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188</xdr:row>
      <xdr:rowOff>0</xdr:rowOff>
    </xdr:from>
    <xdr:to>
      <xdr:col>1</xdr:col>
      <xdr:colOff>184150</xdr:colOff>
      <xdr:row>188</xdr:row>
      <xdr:rowOff>133350</xdr:rowOff>
    </xdr:to>
    <xdr:pic>
      <xdr:nvPicPr>
        <xdr:cNvPr id="46" name="Obrázek 45" descr="https://files.eliteprospects.com/layout/flags_s/8.png">
          <a:extLst>
            <a:ext uri="{FF2B5EF4-FFF2-40B4-BE49-F238E27FC236}">
              <a16:creationId xmlns:a16="http://schemas.microsoft.com/office/drawing/2014/main" id="{00000000-0008-0000-10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123634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193</xdr:row>
      <xdr:rowOff>0</xdr:rowOff>
    </xdr:from>
    <xdr:to>
      <xdr:col>1</xdr:col>
      <xdr:colOff>184150</xdr:colOff>
      <xdr:row>193</xdr:row>
      <xdr:rowOff>133350</xdr:rowOff>
    </xdr:to>
    <xdr:pic>
      <xdr:nvPicPr>
        <xdr:cNvPr id="47" name="Obrázek 46" descr="https://files.eliteprospects.com/layout/flags_s/8.png">
          <a:extLst>
            <a:ext uri="{FF2B5EF4-FFF2-40B4-BE49-F238E27FC236}">
              <a16:creationId xmlns:a16="http://schemas.microsoft.com/office/drawing/2014/main" id="{00000000-0008-0000-10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133254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194</xdr:row>
      <xdr:rowOff>0</xdr:rowOff>
    </xdr:from>
    <xdr:to>
      <xdr:col>1</xdr:col>
      <xdr:colOff>184150</xdr:colOff>
      <xdr:row>194</xdr:row>
      <xdr:rowOff>133350</xdr:rowOff>
    </xdr:to>
    <xdr:pic>
      <xdr:nvPicPr>
        <xdr:cNvPr id="48" name="Obrázek 47" descr="https://files.eliteprospects.com/layout/flags_s/31.png">
          <a:extLst>
            <a:ext uri="{FF2B5EF4-FFF2-40B4-BE49-F238E27FC236}">
              <a16:creationId xmlns:a16="http://schemas.microsoft.com/office/drawing/2014/main" id="{00000000-0008-0000-1000-000030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23975" y="135159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195</xdr:row>
      <xdr:rowOff>0</xdr:rowOff>
    </xdr:from>
    <xdr:to>
      <xdr:col>1</xdr:col>
      <xdr:colOff>184150</xdr:colOff>
      <xdr:row>195</xdr:row>
      <xdr:rowOff>133350</xdr:rowOff>
    </xdr:to>
    <xdr:pic>
      <xdr:nvPicPr>
        <xdr:cNvPr id="49" name="Obrázek 48" descr="https://files.eliteprospects.com/layout/flags_s/8.png">
          <a:extLst>
            <a:ext uri="{FF2B5EF4-FFF2-40B4-BE49-F238E27FC236}">
              <a16:creationId xmlns:a16="http://schemas.microsoft.com/office/drawing/2014/main" id="{00000000-0008-0000-10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137064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196</xdr:row>
      <xdr:rowOff>0</xdr:rowOff>
    </xdr:from>
    <xdr:to>
      <xdr:col>1</xdr:col>
      <xdr:colOff>184150</xdr:colOff>
      <xdr:row>196</xdr:row>
      <xdr:rowOff>133350</xdr:rowOff>
    </xdr:to>
    <xdr:pic>
      <xdr:nvPicPr>
        <xdr:cNvPr id="50" name="Obrázek 49" descr="https://files.eliteprospects.com/layout/flags_s/31.png">
          <a:extLst>
            <a:ext uri="{FF2B5EF4-FFF2-40B4-BE49-F238E27FC236}">
              <a16:creationId xmlns:a16="http://schemas.microsoft.com/office/drawing/2014/main" id="{00000000-0008-0000-1000-000032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23975" y="138969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197</xdr:row>
      <xdr:rowOff>0</xdr:rowOff>
    </xdr:from>
    <xdr:to>
      <xdr:col>1</xdr:col>
      <xdr:colOff>184150</xdr:colOff>
      <xdr:row>197</xdr:row>
      <xdr:rowOff>133350</xdr:rowOff>
    </xdr:to>
    <xdr:pic>
      <xdr:nvPicPr>
        <xdr:cNvPr id="51" name="Obrázek 50" descr="https://files.eliteprospects.com/layout/flags_s/8.png">
          <a:extLst>
            <a:ext uri="{FF2B5EF4-FFF2-40B4-BE49-F238E27FC236}">
              <a16:creationId xmlns:a16="http://schemas.microsoft.com/office/drawing/2014/main" id="{00000000-0008-0000-10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140874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206</xdr:row>
      <xdr:rowOff>0</xdr:rowOff>
    </xdr:from>
    <xdr:to>
      <xdr:col>1</xdr:col>
      <xdr:colOff>184150</xdr:colOff>
      <xdr:row>206</xdr:row>
      <xdr:rowOff>133350</xdr:rowOff>
    </xdr:to>
    <xdr:pic>
      <xdr:nvPicPr>
        <xdr:cNvPr id="52" name="Obrázek 51" descr="https://files.eliteprospects.com/layout/flags_s/8.png">
          <a:extLst>
            <a:ext uri="{FF2B5EF4-FFF2-40B4-BE49-F238E27FC236}">
              <a16:creationId xmlns:a16="http://schemas.microsoft.com/office/drawing/2014/main" id="{00000000-0008-0000-10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158115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207</xdr:row>
      <xdr:rowOff>0</xdr:rowOff>
    </xdr:from>
    <xdr:to>
      <xdr:col>1</xdr:col>
      <xdr:colOff>184150</xdr:colOff>
      <xdr:row>207</xdr:row>
      <xdr:rowOff>133350</xdr:rowOff>
    </xdr:to>
    <xdr:pic>
      <xdr:nvPicPr>
        <xdr:cNvPr id="53" name="Obrázek 52" descr="https://files.eliteprospects.com/layout/flags_s/31.png">
          <a:extLst>
            <a:ext uri="{FF2B5EF4-FFF2-40B4-BE49-F238E27FC236}">
              <a16:creationId xmlns:a16="http://schemas.microsoft.com/office/drawing/2014/main" id="{00000000-0008-0000-1000-00003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23975" y="160020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208</xdr:row>
      <xdr:rowOff>0</xdr:rowOff>
    </xdr:from>
    <xdr:to>
      <xdr:col>1</xdr:col>
      <xdr:colOff>184150</xdr:colOff>
      <xdr:row>208</xdr:row>
      <xdr:rowOff>133350</xdr:rowOff>
    </xdr:to>
    <xdr:pic>
      <xdr:nvPicPr>
        <xdr:cNvPr id="54" name="Obrázek 53" descr="https://files.eliteprospects.com/layout/flags_s/8.png">
          <a:extLst>
            <a:ext uri="{FF2B5EF4-FFF2-40B4-BE49-F238E27FC236}">
              <a16:creationId xmlns:a16="http://schemas.microsoft.com/office/drawing/2014/main" id="{00000000-0008-0000-10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161925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209</xdr:row>
      <xdr:rowOff>0</xdr:rowOff>
    </xdr:from>
    <xdr:to>
      <xdr:col>1</xdr:col>
      <xdr:colOff>184150</xdr:colOff>
      <xdr:row>209</xdr:row>
      <xdr:rowOff>133350</xdr:rowOff>
    </xdr:to>
    <xdr:pic>
      <xdr:nvPicPr>
        <xdr:cNvPr id="55" name="Obrázek 54" descr="https://files.eliteprospects.com/layout/flags_s/31.png">
          <a:extLst>
            <a:ext uri="{FF2B5EF4-FFF2-40B4-BE49-F238E27FC236}">
              <a16:creationId xmlns:a16="http://schemas.microsoft.com/office/drawing/2014/main" id="{00000000-0008-0000-1000-00003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23975" y="163830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202</xdr:row>
      <xdr:rowOff>0</xdr:rowOff>
    </xdr:from>
    <xdr:to>
      <xdr:col>1</xdr:col>
      <xdr:colOff>184150</xdr:colOff>
      <xdr:row>202</xdr:row>
      <xdr:rowOff>133350</xdr:rowOff>
    </xdr:to>
    <xdr:pic>
      <xdr:nvPicPr>
        <xdr:cNvPr id="56" name="Obrázek 55" descr="https://files.eliteprospects.com/layout/flags_s/4.png">
          <a:extLst>
            <a:ext uri="{FF2B5EF4-FFF2-40B4-BE49-F238E27FC236}">
              <a16:creationId xmlns:a16="http://schemas.microsoft.com/office/drawing/2014/main" id="{00000000-0008-0000-1000-00003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23975" y="150495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203</xdr:row>
      <xdr:rowOff>0</xdr:rowOff>
    </xdr:from>
    <xdr:to>
      <xdr:col>1</xdr:col>
      <xdr:colOff>184150</xdr:colOff>
      <xdr:row>203</xdr:row>
      <xdr:rowOff>133350</xdr:rowOff>
    </xdr:to>
    <xdr:pic>
      <xdr:nvPicPr>
        <xdr:cNvPr id="57" name="Obrázek 56" descr="https://files.eliteprospects.com/layout/flags_s/4.png">
          <a:extLst>
            <a:ext uri="{FF2B5EF4-FFF2-40B4-BE49-F238E27FC236}">
              <a16:creationId xmlns:a16="http://schemas.microsoft.com/office/drawing/2014/main" id="{00000000-0008-0000-1000-00003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23975" y="152400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204</xdr:row>
      <xdr:rowOff>0</xdr:rowOff>
    </xdr:from>
    <xdr:to>
      <xdr:col>1</xdr:col>
      <xdr:colOff>184150</xdr:colOff>
      <xdr:row>204</xdr:row>
      <xdr:rowOff>133350</xdr:rowOff>
    </xdr:to>
    <xdr:pic>
      <xdr:nvPicPr>
        <xdr:cNvPr id="58" name="Obrázek 57" descr="https://files.eliteprospects.com/layout/flags_s/31.png">
          <a:extLst>
            <a:ext uri="{FF2B5EF4-FFF2-40B4-BE49-F238E27FC236}">
              <a16:creationId xmlns:a16="http://schemas.microsoft.com/office/drawing/2014/main" id="{00000000-0008-0000-1000-00003A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23975" y="154305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xdr:row>
      <xdr:rowOff>0</xdr:rowOff>
    </xdr:from>
    <xdr:to>
      <xdr:col>1</xdr:col>
      <xdr:colOff>184150</xdr:colOff>
      <xdr:row>205</xdr:row>
      <xdr:rowOff>133350</xdr:rowOff>
    </xdr:to>
    <xdr:pic>
      <xdr:nvPicPr>
        <xdr:cNvPr id="59" name="Obrázek 58" descr="https://files.eliteprospects.com/layout/flags_s/31.png">
          <a:extLst>
            <a:ext uri="{FF2B5EF4-FFF2-40B4-BE49-F238E27FC236}">
              <a16:creationId xmlns:a16="http://schemas.microsoft.com/office/drawing/2014/main" id="{00000000-0008-0000-1000-00003B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23975" y="156210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226</xdr:row>
      <xdr:rowOff>0</xdr:rowOff>
    </xdr:from>
    <xdr:to>
      <xdr:col>1</xdr:col>
      <xdr:colOff>184150</xdr:colOff>
      <xdr:row>226</xdr:row>
      <xdr:rowOff>133350</xdr:rowOff>
    </xdr:to>
    <xdr:pic>
      <xdr:nvPicPr>
        <xdr:cNvPr id="60" name="Obrázek 59" descr="https://files.eliteprospects.com/layout/flags_s/3.png">
          <a:extLst>
            <a:ext uri="{FF2B5EF4-FFF2-40B4-BE49-F238E27FC236}">
              <a16:creationId xmlns:a16="http://schemas.microsoft.com/office/drawing/2014/main" id="{00000000-0008-0000-1000-00003C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23975" y="194976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227</xdr:row>
      <xdr:rowOff>0</xdr:rowOff>
    </xdr:from>
    <xdr:to>
      <xdr:col>1</xdr:col>
      <xdr:colOff>184150</xdr:colOff>
      <xdr:row>227</xdr:row>
      <xdr:rowOff>133350</xdr:rowOff>
    </xdr:to>
    <xdr:pic>
      <xdr:nvPicPr>
        <xdr:cNvPr id="61" name="Obrázek 60" descr="https://files.eliteprospects.com/layout/flags_s/3.png">
          <a:extLst>
            <a:ext uri="{FF2B5EF4-FFF2-40B4-BE49-F238E27FC236}">
              <a16:creationId xmlns:a16="http://schemas.microsoft.com/office/drawing/2014/main" id="{00000000-0008-0000-1000-00003D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23975" y="196881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228</xdr:row>
      <xdr:rowOff>0</xdr:rowOff>
    </xdr:from>
    <xdr:to>
      <xdr:col>1</xdr:col>
      <xdr:colOff>184150</xdr:colOff>
      <xdr:row>228</xdr:row>
      <xdr:rowOff>133350</xdr:rowOff>
    </xdr:to>
    <xdr:pic>
      <xdr:nvPicPr>
        <xdr:cNvPr id="62" name="Obrázek 61" descr="https://files.eliteprospects.com/layout/flags_s/3.png">
          <a:extLst>
            <a:ext uri="{FF2B5EF4-FFF2-40B4-BE49-F238E27FC236}">
              <a16:creationId xmlns:a16="http://schemas.microsoft.com/office/drawing/2014/main" id="{00000000-0008-0000-1000-00003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23975" y="200691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229</xdr:row>
      <xdr:rowOff>0</xdr:rowOff>
    </xdr:from>
    <xdr:to>
      <xdr:col>1</xdr:col>
      <xdr:colOff>184150</xdr:colOff>
      <xdr:row>229</xdr:row>
      <xdr:rowOff>133350</xdr:rowOff>
    </xdr:to>
    <xdr:pic>
      <xdr:nvPicPr>
        <xdr:cNvPr id="63" name="Obrázek 62" descr="https://files.eliteprospects.com/layout/flags_s/3.png">
          <a:extLst>
            <a:ext uri="{FF2B5EF4-FFF2-40B4-BE49-F238E27FC236}">
              <a16:creationId xmlns:a16="http://schemas.microsoft.com/office/drawing/2014/main" id="{00000000-0008-0000-1000-00003F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23975" y="202596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xdr:row>
      <xdr:rowOff>0</xdr:rowOff>
    </xdr:from>
    <xdr:to>
      <xdr:col>1</xdr:col>
      <xdr:colOff>184150</xdr:colOff>
      <xdr:row>230</xdr:row>
      <xdr:rowOff>133350</xdr:rowOff>
    </xdr:to>
    <xdr:pic>
      <xdr:nvPicPr>
        <xdr:cNvPr id="64" name="Obrázek 63" descr="https://files.eliteprospects.com/layout/flags_s/6.png">
          <a:extLst>
            <a:ext uri="{FF2B5EF4-FFF2-40B4-BE49-F238E27FC236}">
              <a16:creationId xmlns:a16="http://schemas.microsoft.com/office/drawing/2014/main" id="{00000000-0008-0000-1000-00004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23975" y="206406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231</xdr:row>
      <xdr:rowOff>0</xdr:rowOff>
    </xdr:from>
    <xdr:to>
      <xdr:col>1</xdr:col>
      <xdr:colOff>184150</xdr:colOff>
      <xdr:row>231</xdr:row>
      <xdr:rowOff>133350</xdr:rowOff>
    </xdr:to>
    <xdr:pic>
      <xdr:nvPicPr>
        <xdr:cNvPr id="65" name="Obrázek 64" descr="https://files.eliteprospects.com/layout/flags_s/6.png">
          <a:extLst>
            <a:ext uri="{FF2B5EF4-FFF2-40B4-BE49-F238E27FC236}">
              <a16:creationId xmlns:a16="http://schemas.microsoft.com/office/drawing/2014/main" id="{00000000-0008-0000-1000-000041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23975" y="2083117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232</xdr:row>
      <xdr:rowOff>0</xdr:rowOff>
    </xdr:from>
    <xdr:to>
      <xdr:col>1</xdr:col>
      <xdr:colOff>180975</xdr:colOff>
      <xdr:row>232</xdr:row>
      <xdr:rowOff>133350</xdr:rowOff>
    </xdr:to>
    <xdr:pic>
      <xdr:nvPicPr>
        <xdr:cNvPr id="66" name="Obrázek 65" descr="https://files.eliteprospects.com/layout/flags_s/8.png">
          <a:extLst>
            <a:ext uri="{FF2B5EF4-FFF2-40B4-BE49-F238E27FC236}">
              <a16:creationId xmlns:a16="http://schemas.microsoft.com/office/drawing/2014/main" id="{00000000-0008-0000-10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210216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189</xdr:row>
      <xdr:rowOff>0</xdr:rowOff>
    </xdr:from>
    <xdr:to>
      <xdr:col>1</xdr:col>
      <xdr:colOff>180975</xdr:colOff>
      <xdr:row>189</xdr:row>
      <xdr:rowOff>133350</xdr:rowOff>
    </xdr:to>
    <xdr:pic>
      <xdr:nvPicPr>
        <xdr:cNvPr id="67" name="Obrázek 66" descr="https://files.eliteprospects.com/layout/flags_s/8.png">
          <a:extLst>
            <a:ext uri="{FF2B5EF4-FFF2-40B4-BE49-F238E27FC236}">
              <a16:creationId xmlns:a16="http://schemas.microsoft.com/office/drawing/2014/main" id="{00000000-0008-0000-10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125539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198</xdr:row>
      <xdr:rowOff>0</xdr:rowOff>
    </xdr:from>
    <xdr:to>
      <xdr:col>1</xdr:col>
      <xdr:colOff>180975</xdr:colOff>
      <xdr:row>198</xdr:row>
      <xdr:rowOff>133350</xdr:rowOff>
    </xdr:to>
    <xdr:pic>
      <xdr:nvPicPr>
        <xdr:cNvPr id="68" name="Obrázek 67" descr="https://files.eliteprospects.com/layout/flags_s/8.png">
          <a:extLst>
            <a:ext uri="{FF2B5EF4-FFF2-40B4-BE49-F238E27FC236}">
              <a16:creationId xmlns:a16="http://schemas.microsoft.com/office/drawing/2014/main" id="{00000000-0008-0000-10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142779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210</xdr:row>
      <xdr:rowOff>0</xdr:rowOff>
    </xdr:from>
    <xdr:to>
      <xdr:col>1</xdr:col>
      <xdr:colOff>180975</xdr:colOff>
      <xdr:row>210</xdr:row>
      <xdr:rowOff>133350</xdr:rowOff>
    </xdr:to>
    <xdr:pic>
      <xdr:nvPicPr>
        <xdr:cNvPr id="69" name="Obrázek 68" descr="https://files.eliteprospects.com/layout/flags_s/8.png">
          <a:extLst>
            <a:ext uri="{FF2B5EF4-FFF2-40B4-BE49-F238E27FC236}">
              <a16:creationId xmlns:a16="http://schemas.microsoft.com/office/drawing/2014/main" id="{00000000-0008-0000-10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3975" y="165735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265</xdr:row>
      <xdr:rowOff>0</xdr:rowOff>
    </xdr:from>
    <xdr:to>
      <xdr:col>1</xdr:col>
      <xdr:colOff>180975</xdr:colOff>
      <xdr:row>265</xdr:row>
      <xdr:rowOff>133350</xdr:rowOff>
    </xdr:to>
    <xdr:pic>
      <xdr:nvPicPr>
        <xdr:cNvPr id="70" name="Obrázek 69" descr="https://files.eliteprospects.com/layout/flags_s/21.png">
          <a:extLst>
            <a:ext uri="{FF2B5EF4-FFF2-40B4-BE49-F238E27FC236}">
              <a16:creationId xmlns:a16="http://schemas.microsoft.com/office/drawing/2014/main" id="{00000000-0008-0000-1000-000046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525208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266</xdr:row>
      <xdr:rowOff>0</xdr:rowOff>
    </xdr:from>
    <xdr:to>
      <xdr:col>1</xdr:col>
      <xdr:colOff>180975</xdr:colOff>
      <xdr:row>266</xdr:row>
      <xdr:rowOff>133350</xdr:rowOff>
    </xdr:to>
    <xdr:pic>
      <xdr:nvPicPr>
        <xdr:cNvPr id="71" name="Obrázek 70" descr="https://files.eliteprospects.com/layout/flags_s/21.png">
          <a:extLst>
            <a:ext uri="{FF2B5EF4-FFF2-40B4-BE49-F238E27FC236}">
              <a16:creationId xmlns:a16="http://schemas.microsoft.com/office/drawing/2014/main" id="{00000000-0008-0000-1000-000047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527113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267</xdr:row>
      <xdr:rowOff>0</xdr:rowOff>
    </xdr:from>
    <xdr:to>
      <xdr:col>1</xdr:col>
      <xdr:colOff>180975</xdr:colOff>
      <xdr:row>267</xdr:row>
      <xdr:rowOff>133350</xdr:rowOff>
    </xdr:to>
    <xdr:pic>
      <xdr:nvPicPr>
        <xdr:cNvPr id="72" name="Obrázek 71" descr="https://files.eliteprospects.com/layout/flags_s/19.png">
          <a:extLst>
            <a:ext uri="{FF2B5EF4-FFF2-40B4-BE49-F238E27FC236}">
              <a16:creationId xmlns:a16="http://schemas.microsoft.com/office/drawing/2014/main" id="{00000000-0008-0000-1000-000048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529018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268</xdr:row>
      <xdr:rowOff>0</xdr:rowOff>
    </xdr:from>
    <xdr:to>
      <xdr:col>1</xdr:col>
      <xdr:colOff>180975</xdr:colOff>
      <xdr:row>268</xdr:row>
      <xdr:rowOff>133350</xdr:rowOff>
    </xdr:to>
    <xdr:pic>
      <xdr:nvPicPr>
        <xdr:cNvPr id="73" name="Obrázek 72" descr="https://files.eliteprospects.com/layout/flags_s/8.png">
          <a:extLst>
            <a:ext uri="{FF2B5EF4-FFF2-40B4-BE49-F238E27FC236}">
              <a16:creationId xmlns:a16="http://schemas.microsoft.com/office/drawing/2014/main" id="{00000000-0008-0000-10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30923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269</xdr:row>
      <xdr:rowOff>0</xdr:rowOff>
    </xdr:from>
    <xdr:to>
      <xdr:col>1</xdr:col>
      <xdr:colOff>180975</xdr:colOff>
      <xdr:row>269</xdr:row>
      <xdr:rowOff>133350</xdr:rowOff>
    </xdr:to>
    <xdr:pic>
      <xdr:nvPicPr>
        <xdr:cNvPr id="74" name="Obrázek 73" descr="https://files.eliteprospects.com/layout/flags_s/8.png">
          <a:extLst>
            <a:ext uri="{FF2B5EF4-FFF2-40B4-BE49-F238E27FC236}">
              <a16:creationId xmlns:a16="http://schemas.microsoft.com/office/drawing/2014/main" id="{00000000-0008-0000-10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32828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270</xdr:row>
      <xdr:rowOff>0</xdr:rowOff>
    </xdr:from>
    <xdr:to>
      <xdr:col>1</xdr:col>
      <xdr:colOff>180975</xdr:colOff>
      <xdr:row>270</xdr:row>
      <xdr:rowOff>133350</xdr:rowOff>
    </xdr:to>
    <xdr:pic>
      <xdr:nvPicPr>
        <xdr:cNvPr id="75" name="Obrázek 74" descr="https://files.eliteprospects.com/layout/flags_s/8.png">
          <a:extLst>
            <a:ext uri="{FF2B5EF4-FFF2-40B4-BE49-F238E27FC236}">
              <a16:creationId xmlns:a16="http://schemas.microsoft.com/office/drawing/2014/main" id="{00000000-0008-0000-10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34733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271</xdr:row>
      <xdr:rowOff>0</xdr:rowOff>
    </xdr:from>
    <xdr:to>
      <xdr:col>1</xdr:col>
      <xdr:colOff>180975</xdr:colOff>
      <xdr:row>271</xdr:row>
      <xdr:rowOff>133350</xdr:rowOff>
    </xdr:to>
    <xdr:pic>
      <xdr:nvPicPr>
        <xdr:cNvPr id="76" name="Obrázek 75" descr="https://files.eliteprospects.com/layout/flags_s/8.png">
          <a:extLst>
            <a:ext uri="{FF2B5EF4-FFF2-40B4-BE49-F238E27FC236}">
              <a16:creationId xmlns:a16="http://schemas.microsoft.com/office/drawing/2014/main" id="{00000000-0008-0000-10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36638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272</xdr:row>
      <xdr:rowOff>0</xdr:rowOff>
    </xdr:from>
    <xdr:to>
      <xdr:col>1</xdr:col>
      <xdr:colOff>180975</xdr:colOff>
      <xdr:row>272</xdr:row>
      <xdr:rowOff>133350</xdr:rowOff>
    </xdr:to>
    <xdr:pic>
      <xdr:nvPicPr>
        <xdr:cNvPr id="77" name="Obrázek 76" descr="https://files.eliteprospects.com/layout/flags_s/8.png">
          <a:extLst>
            <a:ext uri="{FF2B5EF4-FFF2-40B4-BE49-F238E27FC236}">
              <a16:creationId xmlns:a16="http://schemas.microsoft.com/office/drawing/2014/main" id="{00000000-0008-0000-10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38543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276</xdr:row>
      <xdr:rowOff>0</xdr:rowOff>
    </xdr:from>
    <xdr:to>
      <xdr:col>1</xdr:col>
      <xdr:colOff>180975</xdr:colOff>
      <xdr:row>276</xdr:row>
      <xdr:rowOff>133350</xdr:rowOff>
    </xdr:to>
    <xdr:pic>
      <xdr:nvPicPr>
        <xdr:cNvPr id="78" name="Obrázek 77" descr="https://files.eliteprospects.com/layout/flags_s/4.png">
          <a:extLst>
            <a:ext uri="{FF2B5EF4-FFF2-40B4-BE49-F238E27FC236}">
              <a16:creationId xmlns:a16="http://schemas.microsoft.com/office/drawing/2014/main" id="{00000000-0008-0000-1000-00004E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54625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277</xdr:row>
      <xdr:rowOff>0</xdr:rowOff>
    </xdr:from>
    <xdr:to>
      <xdr:col>1</xdr:col>
      <xdr:colOff>180975</xdr:colOff>
      <xdr:row>277</xdr:row>
      <xdr:rowOff>133350</xdr:rowOff>
    </xdr:to>
    <xdr:pic>
      <xdr:nvPicPr>
        <xdr:cNvPr id="79" name="Obrázek 78" descr="https://files.eliteprospects.com/layout/flags_s/4.png">
          <a:extLst>
            <a:ext uri="{FF2B5EF4-FFF2-40B4-BE49-F238E27FC236}">
              <a16:creationId xmlns:a16="http://schemas.microsoft.com/office/drawing/2014/main" id="{00000000-0008-0000-1000-00004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54816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278</xdr:row>
      <xdr:rowOff>0</xdr:rowOff>
    </xdr:from>
    <xdr:to>
      <xdr:col>1</xdr:col>
      <xdr:colOff>180975</xdr:colOff>
      <xdr:row>278</xdr:row>
      <xdr:rowOff>133350</xdr:rowOff>
    </xdr:to>
    <xdr:pic>
      <xdr:nvPicPr>
        <xdr:cNvPr id="80" name="Obrázek 79" descr="https://files.eliteprospects.com/layout/flags_s/9.png">
          <a:extLst>
            <a:ext uri="{FF2B5EF4-FFF2-40B4-BE49-F238E27FC236}">
              <a16:creationId xmlns:a16="http://schemas.microsoft.com/office/drawing/2014/main" id="{00000000-0008-0000-1000-00005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55197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279</xdr:row>
      <xdr:rowOff>0</xdr:rowOff>
    </xdr:from>
    <xdr:to>
      <xdr:col>1</xdr:col>
      <xdr:colOff>180975</xdr:colOff>
      <xdr:row>279</xdr:row>
      <xdr:rowOff>133350</xdr:rowOff>
    </xdr:to>
    <xdr:pic>
      <xdr:nvPicPr>
        <xdr:cNvPr id="81" name="Obrázek 80" descr="https://files.eliteprospects.com/layout/flags_s/8.png">
          <a:extLst>
            <a:ext uri="{FF2B5EF4-FFF2-40B4-BE49-F238E27FC236}">
              <a16:creationId xmlns:a16="http://schemas.microsoft.com/office/drawing/2014/main" id="{00000000-0008-0000-10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5578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283</xdr:row>
      <xdr:rowOff>0</xdr:rowOff>
    </xdr:from>
    <xdr:to>
      <xdr:col>1</xdr:col>
      <xdr:colOff>180975</xdr:colOff>
      <xdr:row>283</xdr:row>
      <xdr:rowOff>133350</xdr:rowOff>
    </xdr:to>
    <xdr:pic>
      <xdr:nvPicPr>
        <xdr:cNvPr id="82" name="Obrázek 81" descr="https://files.eliteprospects.com/layout/flags_s/8.png">
          <a:extLst>
            <a:ext uri="{FF2B5EF4-FFF2-40B4-BE49-F238E27FC236}">
              <a16:creationId xmlns:a16="http://schemas.microsoft.com/office/drawing/2014/main" id="{00000000-0008-0000-10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65404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284</xdr:row>
      <xdr:rowOff>0</xdr:rowOff>
    </xdr:from>
    <xdr:to>
      <xdr:col>1</xdr:col>
      <xdr:colOff>180975</xdr:colOff>
      <xdr:row>284</xdr:row>
      <xdr:rowOff>133350</xdr:rowOff>
    </xdr:to>
    <xdr:pic>
      <xdr:nvPicPr>
        <xdr:cNvPr id="83" name="Obrázek 82" descr="https://files.eliteprospects.com/layout/flags_s/8.png">
          <a:extLst>
            <a:ext uri="{FF2B5EF4-FFF2-40B4-BE49-F238E27FC236}">
              <a16:creationId xmlns:a16="http://schemas.microsoft.com/office/drawing/2014/main" id="{00000000-0008-0000-10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67309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xdr:row>
      <xdr:rowOff>0</xdr:rowOff>
    </xdr:from>
    <xdr:to>
      <xdr:col>1</xdr:col>
      <xdr:colOff>180975</xdr:colOff>
      <xdr:row>285</xdr:row>
      <xdr:rowOff>133350</xdr:rowOff>
    </xdr:to>
    <xdr:pic>
      <xdr:nvPicPr>
        <xdr:cNvPr id="84" name="Obrázek 83" descr="https://files.eliteprospects.com/layout/flags_s/8.png">
          <a:extLst>
            <a:ext uri="{FF2B5EF4-FFF2-40B4-BE49-F238E27FC236}">
              <a16:creationId xmlns:a16="http://schemas.microsoft.com/office/drawing/2014/main" id="{00000000-0008-0000-10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71119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286</xdr:row>
      <xdr:rowOff>0</xdr:rowOff>
    </xdr:from>
    <xdr:to>
      <xdr:col>1</xdr:col>
      <xdr:colOff>180975</xdr:colOff>
      <xdr:row>286</xdr:row>
      <xdr:rowOff>133350</xdr:rowOff>
    </xdr:to>
    <xdr:pic>
      <xdr:nvPicPr>
        <xdr:cNvPr id="85" name="Obrázek 84" descr="https://files.eliteprospects.com/layout/flags_s/8.png">
          <a:extLst>
            <a:ext uri="{FF2B5EF4-FFF2-40B4-BE49-F238E27FC236}">
              <a16:creationId xmlns:a16="http://schemas.microsoft.com/office/drawing/2014/main" id="{00000000-0008-0000-10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73024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287</xdr:row>
      <xdr:rowOff>0</xdr:rowOff>
    </xdr:from>
    <xdr:to>
      <xdr:col>1</xdr:col>
      <xdr:colOff>180975</xdr:colOff>
      <xdr:row>287</xdr:row>
      <xdr:rowOff>133350</xdr:rowOff>
    </xdr:to>
    <xdr:pic>
      <xdr:nvPicPr>
        <xdr:cNvPr id="86" name="Obrázek 85" descr="https://files.eliteprospects.com/layout/flags_s/8.png">
          <a:extLst>
            <a:ext uri="{FF2B5EF4-FFF2-40B4-BE49-F238E27FC236}">
              <a16:creationId xmlns:a16="http://schemas.microsoft.com/office/drawing/2014/main" id="{00000000-0008-0000-10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74929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288</xdr:row>
      <xdr:rowOff>0</xdr:rowOff>
    </xdr:from>
    <xdr:to>
      <xdr:col>1</xdr:col>
      <xdr:colOff>180975</xdr:colOff>
      <xdr:row>288</xdr:row>
      <xdr:rowOff>133350</xdr:rowOff>
    </xdr:to>
    <xdr:pic>
      <xdr:nvPicPr>
        <xdr:cNvPr id="87" name="Obrázek 86" descr="https://files.eliteprospects.com/layout/flags_s/8.png">
          <a:extLst>
            <a:ext uri="{FF2B5EF4-FFF2-40B4-BE49-F238E27FC236}">
              <a16:creationId xmlns:a16="http://schemas.microsoft.com/office/drawing/2014/main" id="{00000000-0008-0000-10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76834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294</xdr:row>
      <xdr:rowOff>0</xdr:rowOff>
    </xdr:from>
    <xdr:to>
      <xdr:col>1</xdr:col>
      <xdr:colOff>180975</xdr:colOff>
      <xdr:row>294</xdr:row>
      <xdr:rowOff>133350</xdr:rowOff>
    </xdr:to>
    <xdr:pic>
      <xdr:nvPicPr>
        <xdr:cNvPr id="88" name="Obrázek 87" descr="https://files.eliteprospects.com/layout/flags_s/3.png">
          <a:extLst>
            <a:ext uri="{FF2B5EF4-FFF2-40B4-BE49-F238E27FC236}">
              <a16:creationId xmlns:a16="http://schemas.microsoft.com/office/drawing/2014/main" id="{00000000-0008-0000-1000-00005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586454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295</xdr:row>
      <xdr:rowOff>0</xdr:rowOff>
    </xdr:from>
    <xdr:to>
      <xdr:col>1</xdr:col>
      <xdr:colOff>180975</xdr:colOff>
      <xdr:row>295</xdr:row>
      <xdr:rowOff>133350</xdr:rowOff>
    </xdr:to>
    <xdr:pic>
      <xdr:nvPicPr>
        <xdr:cNvPr id="89" name="Obrázek 88" descr="https://files.eliteprospects.com/layout/flags_s/31.png">
          <a:extLst>
            <a:ext uri="{FF2B5EF4-FFF2-40B4-BE49-F238E27FC236}">
              <a16:creationId xmlns:a16="http://schemas.microsoft.com/office/drawing/2014/main" id="{00000000-0008-0000-1000-00005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588359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296</xdr:row>
      <xdr:rowOff>0</xdr:rowOff>
    </xdr:from>
    <xdr:to>
      <xdr:col>1</xdr:col>
      <xdr:colOff>180975</xdr:colOff>
      <xdr:row>296</xdr:row>
      <xdr:rowOff>133350</xdr:rowOff>
    </xdr:to>
    <xdr:pic>
      <xdr:nvPicPr>
        <xdr:cNvPr id="90" name="Obrázek 89" descr="https://files.eliteprospects.com/layout/flags_s/31.png">
          <a:extLst>
            <a:ext uri="{FF2B5EF4-FFF2-40B4-BE49-F238E27FC236}">
              <a16:creationId xmlns:a16="http://schemas.microsoft.com/office/drawing/2014/main" id="{00000000-0008-0000-1000-00005A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590264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297</xdr:row>
      <xdr:rowOff>0</xdr:rowOff>
    </xdr:from>
    <xdr:to>
      <xdr:col>1</xdr:col>
      <xdr:colOff>180975</xdr:colOff>
      <xdr:row>297</xdr:row>
      <xdr:rowOff>133350</xdr:rowOff>
    </xdr:to>
    <xdr:pic>
      <xdr:nvPicPr>
        <xdr:cNvPr id="91" name="Obrázek 90" descr="https://files.eliteprospects.com/layout/flags_s/8.png">
          <a:extLst>
            <a:ext uri="{FF2B5EF4-FFF2-40B4-BE49-F238E27FC236}">
              <a16:creationId xmlns:a16="http://schemas.microsoft.com/office/drawing/2014/main" id="{00000000-0008-0000-10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94074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298</xdr:row>
      <xdr:rowOff>0</xdr:rowOff>
    </xdr:from>
    <xdr:to>
      <xdr:col>1</xdr:col>
      <xdr:colOff>180975</xdr:colOff>
      <xdr:row>298</xdr:row>
      <xdr:rowOff>133350</xdr:rowOff>
    </xdr:to>
    <xdr:pic>
      <xdr:nvPicPr>
        <xdr:cNvPr id="92" name="Obrázek 91" descr="https://files.eliteprospects.com/layout/flags_s/8.png">
          <a:extLst>
            <a:ext uri="{FF2B5EF4-FFF2-40B4-BE49-F238E27FC236}">
              <a16:creationId xmlns:a16="http://schemas.microsoft.com/office/drawing/2014/main" id="{00000000-0008-0000-10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95979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299</xdr:row>
      <xdr:rowOff>0</xdr:rowOff>
    </xdr:from>
    <xdr:to>
      <xdr:col>1</xdr:col>
      <xdr:colOff>180975</xdr:colOff>
      <xdr:row>299</xdr:row>
      <xdr:rowOff>133350</xdr:rowOff>
    </xdr:to>
    <xdr:pic>
      <xdr:nvPicPr>
        <xdr:cNvPr id="93" name="Obrázek 92" descr="https://files.eliteprospects.com/layout/flags_s/8.png">
          <a:extLst>
            <a:ext uri="{FF2B5EF4-FFF2-40B4-BE49-F238E27FC236}">
              <a16:creationId xmlns:a16="http://schemas.microsoft.com/office/drawing/2014/main" id="{00000000-0008-0000-10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99789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300</xdr:row>
      <xdr:rowOff>0</xdr:rowOff>
    </xdr:from>
    <xdr:to>
      <xdr:col>1</xdr:col>
      <xdr:colOff>180975</xdr:colOff>
      <xdr:row>300</xdr:row>
      <xdr:rowOff>133350</xdr:rowOff>
    </xdr:to>
    <xdr:pic>
      <xdr:nvPicPr>
        <xdr:cNvPr id="94" name="Obrázek 93" descr="https://files.eliteprospects.com/layout/flags_s/31.png">
          <a:extLst>
            <a:ext uri="{FF2B5EF4-FFF2-40B4-BE49-F238E27FC236}">
              <a16:creationId xmlns:a16="http://schemas.microsoft.com/office/drawing/2014/main" id="{00000000-0008-0000-1000-00005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601694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301</xdr:row>
      <xdr:rowOff>0</xdr:rowOff>
    </xdr:from>
    <xdr:to>
      <xdr:col>1</xdr:col>
      <xdr:colOff>180975</xdr:colOff>
      <xdr:row>301</xdr:row>
      <xdr:rowOff>133350</xdr:rowOff>
    </xdr:to>
    <xdr:pic>
      <xdr:nvPicPr>
        <xdr:cNvPr id="95" name="Obrázek 94" descr="https://files.eliteprospects.com/layout/flags_s/8.png">
          <a:extLst>
            <a:ext uri="{FF2B5EF4-FFF2-40B4-BE49-F238E27FC236}">
              <a16:creationId xmlns:a16="http://schemas.microsoft.com/office/drawing/2014/main" id="{00000000-0008-0000-10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03599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302</xdr:row>
      <xdr:rowOff>0</xdr:rowOff>
    </xdr:from>
    <xdr:to>
      <xdr:col>1</xdr:col>
      <xdr:colOff>180975</xdr:colOff>
      <xdr:row>302</xdr:row>
      <xdr:rowOff>133350</xdr:rowOff>
    </xdr:to>
    <xdr:pic>
      <xdr:nvPicPr>
        <xdr:cNvPr id="96" name="Obrázek 95" descr="https://files.eliteprospects.com/layout/flags_s/8.png">
          <a:extLst>
            <a:ext uri="{FF2B5EF4-FFF2-40B4-BE49-F238E27FC236}">
              <a16:creationId xmlns:a16="http://schemas.microsoft.com/office/drawing/2014/main" id="{00000000-0008-0000-10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05504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236</xdr:row>
      <xdr:rowOff>0</xdr:rowOff>
    </xdr:from>
    <xdr:to>
      <xdr:col>1</xdr:col>
      <xdr:colOff>180975</xdr:colOff>
      <xdr:row>236</xdr:row>
      <xdr:rowOff>133350</xdr:rowOff>
    </xdr:to>
    <xdr:pic>
      <xdr:nvPicPr>
        <xdr:cNvPr id="97" name="Obrázek 96" descr="https://files.eliteprospects.com/layout/flags_s/8.png">
          <a:extLst>
            <a:ext uri="{FF2B5EF4-FFF2-40B4-BE49-F238E27FC236}">
              <a16:creationId xmlns:a16="http://schemas.microsoft.com/office/drawing/2014/main" id="{00000000-0008-0000-10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25208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237</xdr:row>
      <xdr:rowOff>0</xdr:rowOff>
    </xdr:from>
    <xdr:to>
      <xdr:col>1</xdr:col>
      <xdr:colOff>180975</xdr:colOff>
      <xdr:row>237</xdr:row>
      <xdr:rowOff>133350</xdr:rowOff>
    </xdr:to>
    <xdr:pic>
      <xdr:nvPicPr>
        <xdr:cNvPr id="98" name="Obrázek 97" descr="https://files.eliteprospects.com/layout/flags_s/8.png">
          <a:extLst>
            <a:ext uri="{FF2B5EF4-FFF2-40B4-BE49-F238E27FC236}">
              <a16:creationId xmlns:a16="http://schemas.microsoft.com/office/drawing/2014/main" id="{00000000-0008-0000-10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27113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238</xdr:row>
      <xdr:rowOff>0</xdr:rowOff>
    </xdr:from>
    <xdr:to>
      <xdr:col>1</xdr:col>
      <xdr:colOff>180975</xdr:colOff>
      <xdr:row>238</xdr:row>
      <xdr:rowOff>133350</xdr:rowOff>
    </xdr:to>
    <xdr:pic>
      <xdr:nvPicPr>
        <xdr:cNvPr id="99" name="Obrázek 98" descr="https://files.eliteprospects.com/layout/flags_s/31.png">
          <a:extLst>
            <a:ext uri="{FF2B5EF4-FFF2-40B4-BE49-F238E27FC236}">
              <a16:creationId xmlns:a16="http://schemas.microsoft.com/office/drawing/2014/main" id="{00000000-0008-0000-1000-000063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529018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239</xdr:row>
      <xdr:rowOff>0</xdr:rowOff>
    </xdr:from>
    <xdr:to>
      <xdr:col>1</xdr:col>
      <xdr:colOff>180975</xdr:colOff>
      <xdr:row>239</xdr:row>
      <xdr:rowOff>133350</xdr:rowOff>
    </xdr:to>
    <xdr:pic>
      <xdr:nvPicPr>
        <xdr:cNvPr id="100" name="Obrázek 99" descr="https://files.eliteprospects.com/layout/flags_s/8.png">
          <a:extLst>
            <a:ext uri="{FF2B5EF4-FFF2-40B4-BE49-F238E27FC236}">
              <a16:creationId xmlns:a16="http://schemas.microsoft.com/office/drawing/2014/main" id="{00000000-0008-0000-10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30923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240</xdr:row>
      <xdr:rowOff>0</xdr:rowOff>
    </xdr:from>
    <xdr:to>
      <xdr:col>1</xdr:col>
      <xdr:colOff>180975</xdr:colOff>
      <xdr:row>240</xdr:row>
      <xdr:rowOff>133350</xdr:rowOff>
    </xdr:to>
    <xdr:pic>
      <xdr:nvPicPr>
        <xdr:cNvPr id="101" name="Obrázek 100" descr="https://files.eliteprospects.com/layout/flags_s/8.png">
          <a:extLst>
            <a:ext uri="{FF2B5EF4-FFF2-40B4-BE49-F238E27FC236}">
              <a16:creationId xmlns:a16="http://schemas.microsoft.com/office/drawing/2014/main" id="{00000000-0008-0000-10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32828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241</xdr:row>
      <xdr:rowOff>0</xdr:rowOff>
    </xdr:from>
    <xdr:to>
      <xdr:col>1</xdr:col>
      <xdr:colOff>180975</xdr:colOff>
      <xdr:row>241</xdr:row>
      <xdr:rowOff>133350</xdr:rowOff>
    </xdr:to>
    <xdr:pic>
      <xdr:nvPicPr>
        <xdr:cNvPr id="102" name="Obrázek 101" descr="https://files.eliteprospects.com/layout/flags_s/8.png">
          <a:extLst>
            <a:ext uri="{FF2B5EF4-FFF2-40B4-BE49-F238E27FC236}">
              <a16:creationId xmlns:a16="http://schemas.microsoft.com/office/drawing/2014/main" id="{00000000-0008-0000-10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34733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242</xdr:row>
      <xdr:rowOff>0</xdr:rowOff>
    </xdr:from>
    <xdr:to>
      <xdr:col>1</xdr:col>
      <xdr:colOff>180975</xdr:colOff>
      <xdr:row>242</xdr:row>
      <xdr:rowOff>133350</xdr:rowOff>
    </xdr:to>
    <xdr:pic>
      <xdr:nvPicPr>
        <xdr:cNvPr id="103" name="Obrázek 102" descr="https://files.eliteprospects.com/layout/flags_s/31.png">
          <a:extLst>
            <a:ext uri="{FF2B5EF4-FFF2-40B4-BE49-F238E27FC236}">
              <a16:creationId xmlns:a16="http://schemas.microsoft.com/office/drawing/2014/main" id="{00000000-0008-0000-1000-00006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536638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243</xdr:row>
      <xdr:rowOff>0</xdr:rowOff>
    </xdr:from>
    <xdr:to>
      <xdr:col>1</xdr:col>
      <xdr:colOff>180975</xdr:colOff>
      <xdr:row>243</xdr:row>
      <xdr:rowOff>133350</xdr:rowOff>
    </xdr:to>
    <xdr:pic>
      <xdr:nvPicPr>
        <xdr:cNvPr id="104" name="Obrázek 103" descr="https://files.eliteprospects.com/layout/flags_s/8.png">
          <a:extLst>
            <a:ext uri="{FF2B5EF4-FFF2-40B4-BE49-F238E27FC236}">
              <a16:creationId xmlns:a16="http://schemas.microsoft.com/office/drawing/2014/main" id="{00000000-0008-0000-10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38543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247</xdr:row>
      <xdr:rowOff>0</xdr:rowOff>
    </xdr:from>
    <xdr:to>
      <xdr:col>1</xdr:col>
      <xdr:colOff>180975</xdr:colOff>
      <xdr:row>247</xdr:row>
      <xdr:rowOff>133350</xdr:rowOff>
    </xdr:to>
    <xdr:pic>
      <xdr:nvPicPr>
        <xdr:cNvPr id="133" name="Obrázek 132" descr="https://files.eliteprospects.com/layout/flags_s/17.png">
          <a:extLst>
            <a:ext uri="{FF2B5EF4-FFF2-40B4-BE49-F238E27FC236}">
              <a16:creationId xmlns:a16="http://schemas.microsoft.com/office/drawing/2014/main" id="{00000000-0008-0000-1000-000085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54625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248</xdr:row>
      <xdr:rowOff>0</xdr:rowOff>
    </xdr:from>
    <xdr:to>
      <xdr:col>1</xdr:col>
      <xdr:colOff>180975</xdr:colOff>
      <xdr:row>248</xdr:row>
      <xdr:rowOff>133350</xdr:rowOff>
    </xdr:to>
    <xdr:pic>
      <xdr:nvPicPr>
        <xdr:cNvPr id="134" name="Obrázek 133" descr="https://files.eliteprospects.com/layout/flags_s/17.png">
          <a:extLst>
            <a:ext uri="{FF2B5EF4-FFF2-40B4-BE49-F238E27FC236}">
              <a16:creationId xmlns:a16="http://schemas.microsoft.com/office/drawing/2014/main" id="{00000000-0008-0000-1000-000086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54816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249</xdr:row>
      <xdr:rowOff>0</xdr:rowOff>
    </xdr:from>
    <xdr:to>
      <xdr:col>1</xdr:col>
      <xdr:colOff>180975</xdr:colOff>
      <xdr:row>249</xdr:row>
      <xdr:rowOff>133350</xdr:rowOff>
    </xdr:to>
    <xdr:pic>
      <xdr:nvPicPr>
        <xdr:cNvPr id="135" name="Obrázek 134" descr="https://files.eliteprospects.com/layout/flags_s/17.png">
          <a:extLst>
            <a:ext uri="{FF2B5EF4-FFF2-40B4-BE49-F238E27FC236}">
              <a16:creationId xmlns:a16="http://schemas.microsoft.com/office/drawing/2014/main" id="{00000000-0008-0000-1000-00008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55006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250</xdr:row>
      <xdr:rowOff>0</xdr:rowOff>
    </xdr:from>
    <xdr:to>
      <xdr:col>1</xdr:col>
      <xdr:colOff>180975</xdr:colOff>
      <xdr:row>250</xdr:row>
      <xdr:rowOff>133350</xdr:rowOff>
    </xdr:to>
    <xdr:pic>
      <xdr:nvPicPr>
        <xdr:cNvPr id="136" name="Obrázek 135" descr="https://files.eliteprospects.com/layout/flags_s/31.png">
          <a:extLst>
            <a:ext uri="{FF2B5EF4-FFF2-40B4-BE49-F238E27FC236}">
              <a16:creationId xmlns:a16="http://schemas.microsoft.com/office/drawing/2014/main" id="{00000000-0008-0000-1000-00008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553974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251</xdr:row>
      <xdr:rowOff>0</xdr:rowOff>
    </xdr:from>
    <xdr:to>
      <xdr:col>1</xdr:col>
      <xdr:colOff>180975</xdr:colOff>
      <xdr:row>251</xdr:row>
      <xdr:rowOff>133350</xdr:rowOff>
    </xdr:to>
    <xdr:pic>
      <xdr:nvPicPr>
        <xdr:cNvPr id="137" name="Obrázek 136" descr="https://files.eliteprospects.com/layout/flags_s/31.png">
          <a:extLst>
            <a:ext uri="{FF2B5EF4-FFF2-40B4-BE49-F238E27FC236}">
              <a16:creationId xmlns:a16="http://schemas.microsoft.com/office/drawing/2014/main" id="{00000000-0008-0000-1000-00008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67000" y="555879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252</xdr:row>
      <xdr:rowOff>0</xdr:rowOff>
    </xdr:from>
    <xdr:to>
      <xdr:col>1</xdr:col>
      <xdr:colOff>180975</xdr:colOff>
      <xdr:row>252</xdr:row>
      <xdr:rowOff>133350</xdr:rowOff>
    </xdr:to>
    <xdr:pic>
      <xdr:nvPicPr>
        <xdr:cNvPr id="138" name="Obrázek 137" descr="https://files.eliteprospects.com/layout/flags_s/8.png">
          <a:extLst>
            <a:ext uri="{FF2B5EF4-FFF2-40B4-BE49-F238E27FC236}">
              <a16:creationId xmlns:a16="http://schemas.microsoft.com/office/drawing/2014/main" id="{00000000-0008-0000-1000-00008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0" y="559689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253</xdr:row>
      <xdr:rowOff>0</xdr:rowOff>
    </xdr:from>
    <xdr:to>
      <xdr:col>1</xdr:col>
      <xdr:colOff>180975</xdr:colOff>
      <xdr:row>253</xdr:row>
      <xdr:rowOff>133350</xdr:rowOff>
    </xdr:to>
    <xdr:pic>
      <xdr:nvPicPr>
        <xdr:cNvPr id="139" name="Obrázek 138" descr="https://files.eliteprospects.com/layout/flags_s/8.png">
          <a:extLst>
            <a:ext uri="{FF2B5EF4-FFF2-40B4-BE49-F238E27FC236}">
              <a16:creationId xmlns:a16="http://schemas.microsoft.com/office/drawing/2014/main" id="{00000000-0008-0000-1000-00008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0" y="561594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254</xdr:row>
      <xdr:rowOff>0</xdr:rowOff>
    </xdr:from>
    <xdr:to>
      <xdr:col>1</xdr:col>
      <xdr:colOff>180975</xdr:colOff>
      <xdr:row>254</xdr:row>
      <xdr:rowOff>133350</xdr:rowOff>
    </xdr:to>
    <xdr:pic>
      <xdr:nvPicPr>
        <xdr:cNvPr id="140" name="Obrázek 139" descr="https://files.eliteprospects.com/layout/flags_s/8.png">
          <a:extLst>
            <a:ext uri="{FF2B5EF4-FFF2-40B4-BE49-F238E27FC236}">
              <a16:creationId xmlns:a16="http://schemas.microsoft.com/office/drawing/2014/main" id="{00000000-0008-0000-1000-00008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0" y="565404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255</xdr:row>
      <xdr:rowOff>0</xdr:rowOff>
    </xdr:from>
    <xdr:to>
      <xdr:col>1</xdr:col>
      <xdr:colOff>180975</xdr:colOff>
      <xdr:row>255</xdr:row>
      <xdr:rowOff>133350</xdr:rowOff>
    </xdr:to>
    <xdr:pic>
      <xdr:nvPicPr>
        <xdr:cNvPr id="141" name="Obrázek 140" descr="https://files.eliteprospects.com/layout/flags_s/31.png">
          <a:extLst>
            <a:ext uri="{FF2B5EF4-FFF2-40B4-BE49-F238E27FC236}">
              <a16:creationId xmlns:a16="http://schemas.microsoft.com/office/drawing/2014/main" id="{00000000-0008-0000-1000-00008D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67000" y="569214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256</xdr:row>
      <xdr:rowOff>0</xdr:rowOff>
    </xdr:from>
    <xdr:to>
      <xdr:col>1</xdr:col>
      <xdr:colOff>180975</xdr:colOff>
      <xdr:row>256</xdr:row>
      <xdr:rowOff>133350</xdr:rowOff>
    </xdr:to>
    <xdr:pic>
      <xdr:nvPicPr>
        <xdr:cNvPr id="142" name="Obrázek 141" descr="https://files.eliteprospects.com/layout/flags_s/31.png">
          <a:extLst>
            <a:ext uri="{FF2B5EF4-FFF2-40B4-BE49-F238E27FC236}">
              <a16:creationId xmlns:a16="http://schemas.microsoft.com/office/drawing/2014/main" id="{00000000-0008-0000-1000-00008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67000" y="571119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257</xdr:row>
      <xdr:rowOff>0</xdr:rowOff>
    </xdr:from>
    <xdr:to>
      <xdr:col>1</xdr:col>
      <xdr:colOff>180975</xdr:colOff>
      <xdr:row>257</xdr:row>
      <xdr:rowOff>133350</xdr:rowOff>
    </xdr:to>
    <xdr:pic>
      <xdr:nvPicPr>
        <xdr:cNvPr id="143" name="Obrázek 142" descr="https://files.eliteprospects.com/layout/flags_s/8.png">
          <a:extLst>
            <a:ext uri="{FF2B5EF4-FFF2-40B4-BE49-F238E27FC236}">
              <a16:creationId xmlns:a16="http://schemas.microsoft.com/office/drawing/2014/main" id="{00000000-0008-0000-1000-00008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0" y="576929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258</xdr:row>
      <xdr:rowOff>0</xdr:rowOff>
    </xdr:from>
    <xdr:to>
      <xdr:col>1</xdr:col>
      <xdr:colOff>180975</xdr:colOff>
      <xdr:row>258</xdr:row>
      <xdr:rowOff>133350</xdr:rowOff>
    </xdr:to>
    <xdr:pic>
      <xdr:nvPicPr>
        <xdr:cNvPr id="144" name="Obrázek 143" descr="https://files.eliteprospects.com/layout/flags_s/8.png">
          <a:extLst>
            <a:ext uri="{FF2B5EF4-FFF2-40B4-BE49-F238E27FC236}">
              <a16:creationId xmlns:a16="http://schemas.microsoft.com/office/drawing/2014/main" id="{00000000-0008-0000-1000-00009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0" y="578834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259</xdr:row>
      <xdr:rowOff>0</xdr:rowOff>
    </xdr:from>
    <xdr:to>
      <xdr:col>1</xdr:col>
      <xdr:colOff>180975</xdr:colOff>
      <xdr:row>259</xdr:row>
      <xdr:rowOff>133350</xdr:rowOff>
    </xdr:to>
    <xdr:pic>
      <xdr:nvPicPr>
        <xdr:cNvPr id="145" name="Obrázek 144" descr="https://files.eliteprospects.com/layout/flags_s/31.png">
          <a:extLst>
            <a:ext uri="{FF2B5EF4-FFF2-40B4-BE49-F238E27FC236}">
              <a16:creationId xmlns:a16="http://schemas.microsoft.com/office/drawing/2014/main" id="{00000000-0008-0000-1000-000091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67000" y="580739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260</xdr:row>
      <xdr:rowOff>0</xdr:rowOff>
    </xdr:from>
    <xdr:to>
      <xdr:col>1</xdr:col>
      <xdr:colOff>180975</xdr:colOff>
      <xdr:row>260</xdr:row>
      <xdr:rowOff>133350</xdr:rowOff>
    </xdr:to>
    <xdr:pic>
      <xdr:nvPicPr>
        <xdr:cNvPr id="146" name="Obrázek 145" descr="https://files.eliteprospects.com/layout/flags_s/31.png">
          <a:extLst>
            <a:ext uri="{FF2B5EF4-FFF2-40B4-BE49-F238E27FC236}">
              <a16:creationId xmlns:a16="http://schemas.microsoft.com/office/drawing/2014/main" id="{00000000-0008-0000-1000-000092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67000" y="582644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290</xdr:row>
      <xdr:rowOff>0</xdr:rowOff>
    </xdr:from>
    <xdr:to>
      <xdr:col>1</xdr:col>
      <xdr:colOff>180975</xdr:colOff>
      <xdr:row>290</xdr:row>
      <xdr:rowOff>133350</xdr:rowOff>
    </xdr:to>
    <xdr:pic>
      <xdr:nvPicPr>
        <xdr:cNvPr id="119" name="Obrázek 118" descr="https://files.eliteprospects.com/layout/flags_s/8.png">
          <a:extLst>
            <a:ext uri="{FF2B5EF4-FFF2-40B4-BE49-F238E27FC236}">
              <a16:creationId xmlns:a16="http://schemas.microsoft.com/office/drawing/2014/main" id="{00000000-0008-0000-10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05123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714375</xdr:colOff>
      <xdr:row>84</xdr:row>
      <xdr:rowOff>123825</xdr:rowOff>
    </xdr:from>
    <xdr:to>
      <xdr:col>26</xdr:col>
      <xdr:colOff>1933575</xdr:colOff>
      <xdr:row>104</xdr:row>
      <xdr:rowOff>57151</xdr:rowOff>
    </xdr:to>
    <xdr:graphicFrame macro="">
      <xdr:nvGraphicFramePr>
        <xdr:cNvPr id="2" name="Graf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704850</xdr:colOff>
      <xdr:row>59</xdr:row>
      <xdr:rowOff>9525</xdr:rowOff>
    </xdr:from>
    <xdr:to>
      <xdr:col>26</xdr:col>
      <xdr:colOff>1971670</xdr:colOff>
      <xdr:row>83</xdr:row>
      <xdr:rowOff>114300</xdr:rowOff>
    </xdr:to>
    <xdr:graphicFrame macro="">
      <xdr:nvGraphicFramePr>
        <xdr:cNvPr id="3" name="Graf 2">
          <a:extLst>
            <a:ext uri="{FF2B5EF4-FFF2-40B4-BE49-F238E27FC236}">
              <a16:creationId xmlns:a16="http://schemas.microsoft.com/office/drawing/2014/main" id="{00000000-0008-0000-1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39</xdr:col>
      <xdr:colOff>0</xdr:colOff>
      <xdr:row>3</xdr:row>
      <xdr:rowOff>0</xdr:rowOff>
    </xdr:from>
    <xdr:to>
      <xdr:col>39</xdr:col>
      <xdr:colOff>304800</xdr:colOff>
      <xdr:row>3</xdr:row>
      <xdr:rowOff>295275</xdr:rowOff>
    </xdr:to>
    <xdr:sp macro="" textlink="">
      <xdr:nvSpPr>
        <xdr:cNvPr id="2" name="AutoShape 1" descr=" Zavřít">
          <a:hlinkClick xmlns:r="http://schemas.openxmlformats.org/officeDocument/2006/relationships" r:id="rId1"/>
          <a:extLst>
            <a:ext uri="{FF2B5EF4-FFF2-40B4-BE49-F238E27FC236}">
              <a16:creationId xmlns:a16="http://schemas.microsoft.com/office/drawing/2014/main" id="{00000000-0008-0000-1500-000002000000}"/>
            </a:ext>
          </a:extLst>
        </xdr:cNvPr>
        <xdr:cNvSpPr>
          <a:spLocks noChangeAspect="1" noChangeArrowheads="1"/>
        </xdr:cNvSpPr>
      </xdr:nvSpPr>
      <xdr:spPr bwMode="auto">
        <a:xfrm>
          <a:off x="29260800" y="942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39</xdr:col>
      <xdr:colOff>0</xdr:colOff>
      <xdr:row>34</xdr:row>
      <xdr:rowOff>0</xdr:rowOff>
    </xdr:from>
    <xdr:to>
      <xdr:col>39</xdr:col>
      <xdr:colOff>304800</xdr:colOff>
      <xdr:row>35</xdr:row>
      <xdr:rowOff>104775</xdr:rowOff>
    </xdr:to>
    <xdr:sp macro="" textlink="">
      <xdr:nvSpPr>
        <xdr:cNvPr id="3" name="AutoShape 2" descr="Obsah nápovědy">
          <a:hlinkClick xmlns:r="http://schemas.openxmlformats.org/officeDocument/2006/relationships" r:id="rId1"/>
          <a:extLst>
            <a:ext uri="{FF2B5EF4-FFF2-40B4-BE49-F238E27FC236}">
              <a16:creationId xmlns:a16="http://schemas.microsoft.com/office/drawing/2014/main" id="{00000000-0008-0000-1500-000003000000}"/>
            </a:ext>
          </a:extLst>
        </xdr:cNvPr>
        <xdr:cNvSpPr>
          <a:spLocks noChangeAspect="1" noChangeArrowheads="1"/>
        </xdr:cNvSpPr>
      </xdr:nvSpPr>
      <xdr:spPr bwMode="auto">
        <a:xfrm>
          <a:off x="29260800" y="1082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163</xdr:row>
      <xdr:rowOff>0</xdr:rowOff>
    </xdr:from>
    <xdr:to>
      <xdr:col>1</xdr:col>
      <xdr:colOff>184150</xdr:colOff>
      <xdr:row>163</xdr:row>
      <xdr:rowOff>133350</xdr:rowOff>
    </xdr:to>
    <xdr:pic>
      <xdr:nvPicPr>
        <xdr:cNvPr id="44" name="Obrázek 43" descr="https://files.eliteprospects.com/layout/flags_s/8.png">
          <a:extLst>
            <a:ext uri="{FF2B5EF4-FFF2-40B4-BE49-F238E27FC236}">
              <a16:creationId xmlns:a16="http://schemas.microsoft.com/office/drawing/2014/main" id="{00000000-0008-0000-15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403098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164</xdr:row>
      <xdr:rowOff>0</xdr:rowOff>
    </xdr:from>
    <xdr:to>
      <xdr:col>1</xdr:col>
      <xdr:colOff>184150</xdr:colOff>
      <xdr:row>164</xdr:row>
      <xdr:rowOff>133350</xdr:rowOff>
    </xdr:to>
    <xdr:pic>
      <xdr:nvPicPr>
        <xdr:cNvPr id="45" name="Obrázek 44" descr="https://files.eliteprospects.com/layout/flags_s/8.png">
          <a:extLst>
            <a:ext uri="{FF2B5EF4-FFF2-40B4-BE49-F238E27FC236}">
              <a16:creationId xmlns:a16="http://schemas.microsoft.com/office/drawing/2014/main" id="{00000000-0008-0000-15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405003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165</xdr:row>
      <xdr:rowOff>0</xdr:rowOff>
    </xdr:from>
    <xdr:to>
      <xdr:col>1</xdr:col>
      <xdr:colOff>184150</xdr:colOff>
      <xdr:row>165</xdr:row>
      <xdr:rowOff>133350</xdr:rowOff>
    </xdr:to>
    <xdr:pic>
      <xdr:nvPicPr>
        <xdr:cNvPr id="46" name="Obrázek 45" descr="https://files.eliteprospects.com/layout/flags_s/8.png">
          <a:extLst>
            <a:ext uri="{FF2B5EF4-FFF2-40B4-BE49-F238E27FC236}">
              <a16:creationId xmlns:a16="http://schemas.microsoft.com/office/drawing/2014/main" id="{00000000-0008-0000-15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4069080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170</xdr:row>
      <xdr:rowOff>0</xdr:rowOff>
    </xdr:from>
    <xdr:to>
      <xdr:col>1</xdr:col>
      <xdr:colOff>184150</xdr:colOff>
      <xdr:row>170</xdr:row>
      <xdr:rowOff>133350</xdr:rowOff>
    </xdr:to>
    <xdr:pic>
      <xdr:nvPicPr>
        <xdr:cNvPr id="47" name="Obrázek 46" descr="https://files.eliteprospects.com/layout/flags_s/8.png">
          <a:extLst>
            <a:ext uri="{FF2B5EF4-FFF2-40B4-BE49-F238E27FC236}">
              <a16:creationId xmlns:a16="http://schemas.microsoft.com/office/drawing/2014/main" id="{00000000-0008-0000-15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4165282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171</xdr:row>
      <xdr:rowOff>0</xdr:rowOff>
    </xdr:from>
    <xdr:to>
      <xdr:col>1</xdr:col>
      <xdr:colOff>184150</xdr:colOff>
      <xdr:row>171</xdr:row>
      <xdr:rowOff>133350</xdr:rowOff>
    </xdr:to>
    <xdr:pic>
      <xdr:nvPicPr>
        <xdr:cNvPr id="48" name="Obrázek 47" descr="https://files.eliteprospects.com/layout/flags_s/31.png">
          <a:extLst>
            <a:ext uri="{FF2B5EF4-FFF2-40B4-BE49-F238E27FC236}">
              <a16:creationId xmlns:a16="http://schemas.microsoft.com/office/drawing/2014/main" id="{00000000-0008-0000-1500-00003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4184332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172</xdr:row>
      <xdr:rowOff>0</xdr:rowOff>
    </xdr:from>
    <xdr:to>
      <xdr:col>1</xdr:col>
      <xdr:colOff>184150</xdr:colOff>
      <xdr:row>172</xdr:row>
      <xdr:rowOff>133350</xdr:rowOff>
    </xdr:to>
    <xdr:pic>
      <xdr:nvPicPr>
        <xdr:cNvPr id="49" name="Obrázek 48" descr="https://files.eliteprospects.com/layout/flags_s/8.png">
          <a:extLst>
            <a:ext uri="{FF2B5EF4-FFF2-40B4-BE49-F238E27FC236}">
              <a16:creationId xmlns:a16="http://schemas.microsoft.com/office/drawing/2014/main" id="{00000000-0008-0000-15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4203382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173</xdr:row>
      <xdr:rowOff>0</xdr:rowOff>
    </xdr:from>
    <xdr:to>
      <xdr:col>1</xdr:col>
      <xdr:colOff>184150</xdr:colOff>
      <xdr:row>173</xdr:row>
      <xdr:rowOff>133350</xdr:rowOff>
    </xdr:to>
    <xdr:pic>
      <xdr:nvPicPr>
        <xdr:cNvPr id="50" name="Obrázek 49" descr="https://files.eliteprospects.com/layout/flags_s/31.png">
          <a:extLst>
            <a:ext uri="{FF2B5EF4-FFF2-40B4-BE49-F238E27FC236}">
              <a16:creationId xmlns:a16="http://schemas.microsoft.com/office/drawing/2014/main" id="{00000000-0008-0000-1500-000032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4222432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174</xdr:row>
      <xdr:rowOff>0</xdr:rowOff>
    </xdr:from>
    <xdr:to>
      <xdr:col>1</xdr:col>
      <xdr:colOff>184150</xdr:colOff>
      <xdr:row>174</xdr:row>
      <xdr:rowOff>133350</xdr:rowOff>
    </xdr:to>
    <xdr:pic>
      <xdr:nvPicPr>
        <xdr:cNvPr id="51" name="Obrázek 50" descr="https://files.eliteprospects.com/layout/flags_s/8.png">
          <a:extLst>
            <a:ext uri="{FF2B5EF4-FFF2-40B4-BE49-F238E27FC236}">
              <a16:creationId xmlns:a16="http://schemas.microsoft.com/office/drawing/2014/main" id="{00000000-0008-0000-15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4241482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183</xdr:row>
      <xdr:rowOff>0</xdr:rowOff>
    </xdr:from>
    <xdr:to>
      <xdr:col>1</xdr:col>
      <xdr:colOff>184150</xdr:colOff>
      <xdr:row>183</xdr:row>
      <xdr:rowOff>133350</xdr:rowOff>
    </xdr:to>
    <xdr:pic>
      <xdr:nvPicPr>
        <xdr:cNvPr id="52" name="Obrázek 51" descr="https://files.eliteprospects.com/layout/flags_s/8.png">
          <a:extLst>
            <a:ext uri="{FF2B5EF4-FFF2-40B4-BE49-F238E27FC236}">
              <a16:creationId xmlns:a16="http://schemas.microsoft.com/office/drawing/2014/main" id="{00000000-0008-0000-15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441388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184</xdr:row>
      <xdr:rowOff>0</xdr:rowOff>
    </xdr:from>
    <xdr:to>
      <xdr:col>1</xdr:col>
      <xdr:colOff>184150</xdr:colOff>
      <xdr:row>184</xdr:row>
      <xdr:rowOff>133350</xdr:rowOff>
    </xdr:to>
    <xdr:pic>
      <xdr:nvPicPr>
        <xdr:cNvPr id="53" name="Obrázek 52" descr="https://files.eliteprospects.com/layout/flags_s/31.png">
          <a:extLst>
            <a:ext uri="{FF2B5EF4-FFF2-40B4-BE49-F238E27FC236}">
              <a16:creationId xmlns:a16="http://schemas.microsoft.com/office/drawing/2014/main" id="{00000000-0008-0000-1500-00003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443293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185</xdr:row>
      <xdr:rowOff>0</xdr:rowOff>
    </xdr:from>
    <xdr:to>
      <xdr:col>1</xdr:col>
      <xdr:colOff>184150</xdr:colOff>
      <xdr:row>185</xdr:row>
      <xdr:rowOff>133350</xdr:rowOff>
    </xdr:to>
    <xdr:pic>
      <xdr:nvPicPr>
        <xdr:cNvPr id="54" name="Obrázek 53" descr="https://files.eliteprospects.com/layout/flags_s/8.png">
          <a:extLst>
            <a:ext uri="{FF2B5EF4-FFF2-40B4-BE49-F238E27FC236}">
              <a16:creationId xmlns:a16="http://schemas.microsoft.com/office/drawing/2014/main" id="{00000000-0008-0000-15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445198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186</xdr:row>
      <xdr:rowOff>0</xdr:rowOff>
    </xdr:from>
    <xdr:to>
      <xdr:col>1</xdr:col>
      <xdr:colOff>184150</xdr:colOff>
      <xdr:row>186</xdr:row>
      <xdr:rowOff>133350</xdr:rowOff>
    </xdr:to>
    <xdr:pic>
      <xdr:nvPicPr>
        <xdr:cNvPr id="55" name="Obrázek 54" descr="https://files.eliteprospects.com/layout/flags_s/31.png">
          <a:extLst>
            <a:ext uri="{FF2B5EF4-FFF2-40B4-BE49-F238E27FC236}">
              <a16:creationId xmlns:a16="http://schemas.microsoft.com/office/drawing/2014/main" id="{00000000-0008-0000-1500-00003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447103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179</xdr:row>
      <xdr:rowOff>0</xdr:rowOff>
    </xdr:from>
    <xdr:to>
      <xdr:col>1</xdr:col>
      <xdr:colOff>184150</xdr:colOff>
      <xdr:row>179</xdr:row>
      <xdr:rowOff>133350</xdr:rowOff>
    </xdr:to>
    <xdr:pic>
      <xdr:nvPicPr>
        <xdr:cNvPr id="56" name="Obrázek 55" descr="https://files.eliteprospects.com/layout/flags_s/4.png">
          <a:extLst>
            <a:ext uri="{FF2B5EF4-FFF2-40B4-BE49-F238E27FC236}">
              <a16:creationId xmlns:a16="http://schemas.microsoft.com/office/drawing/2014/main" id="{00000000-0008-0000-1500-00003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433768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180</xdr:row>
      <xdr:rowOff>0</xdr:rowOff>
    </xdr:from>
    <xdr:to>
      <xdr:col>1</xdr:col>
      <xdr:colOff>184150</xdr:colOff>
      <xdr:row>180</xdr:row>
      <xdr:rowOff>133350</xdr:rowOff>
    </xdr:to>
    <xdr:pic>
      <xdr:nvPicPr>
        <xdr:cNvPr id="57" name="Obrázek 56" descr="https://files.eliteprospects.com/layout/flags_s/4.png">
          <a:extLst>
            <a:ext uri="{FF2B5EF4-FFF2-40B4-BE49-F238E27FC236}">
              <a16:creationId xmlns:a16="http://schemas.microsoft.com/office/drawing/2014/main" id="{00000000-0008-0000-1500-00003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435673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181</xdr:row>
      <xdr:rowOff>0</xdr:rowOff>
    </xdr:from>
    <xdr:to>
      <xdr:col>1</xdr:col>
      <xdr:colOff>184150</xdr:colOff>
      <xdr:row>181</xdr:row>
      <xdr:rowOff>133350</xdr:rowOff>
    </xdr:to>
    <xdr:pic>
      <xdr:nvPicPr>
        <xdr:cNvPr id="58" name="Obrázek 57" descr="https://files.eliteprospects.com/layout/flags_s/31.png">
          <a:extLst>
            <a:ext uri="{FF2B5EF4-FFF2-40B4-BE49-F238E27FC236}">
              <a16:creationId xmlns:a16="http://schemas.microsoft.com/office/drawing/2014/main" id="{00000000-0008-0000-1500-00003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437578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182</xdr:row>
      <xdr:rowOff>0</xdr:rowOff>
    </xdr:from>
    <xdr:to>
      <xdr:col>1</xdr:col>
      <xdr:colOff>184150</xdr:colOff>
      <xdr:row>182</xdr:row>
      <xdr:rowOff>133350</xdr:rowOff>
    </xdr:to>
    <xdr:pic>
      <xdr:nvPicPr>
        <xdr:cNvPr id="59" name="Obrázek 58" descr="https://files.eliteprospects.com/layout/flags_s/31.png">
          <a:extLst>
            <a:ext uri="{FF2B5EF4-FFF2-40B4-BE49-F238E27FC236}">
              <a16:creationId xmlns:a16="http://schemas.microsoft.com/office/drawing/2014/main" id="{00000000-0008-0000-1500-00003B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43948350"/>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203</xdr:row>
      <xdr:rowOff>0</xdr:rowOff>
    </xdr:from>
    <xdr:to>
      <xdr:col>1</xdr:col>
      <xdr:colOff>184150</xdr:colOff>
      <xdr:row>203</xdr:row>
      <xdr:rowOff>133350</xdr:rowOff>
    </xdr:to>
    <xdr:pic>
      <xdr:nvPicPr>
        <xdr:cNvPr id="60" name="Obrázek 59" descr="https://files.eliteprospects.com/layout/flags_s/3.png">
          <a:extLst>
            <a:ext uri="{FF2B5EF4-FFF2-40B4-BE49-F238E27FC236}">
              <a16:creationId xmlns:a16="http://schemas.microsoft.com/office/drawing/2014/main" id="{00000000-0008-0000-1500-00003C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4801552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204</xdr:row>
      <xdr:rowOff>0</xdr:rowOff>
    </xdr:from>
    <xdr:to>
      <xdr:col>1</xdr:col>
      <xdr:colOff>184150</xdr:colOff>
      <xdr:row>204</xdr:row>
      <xdr:rowOff>133350</xdr:rowOff>
    </xdr:to>
    <xdr:pic>
      <xdr:nvPicPr>
        <xdr:cNvPr id="61" name="Obrázek 60" descr="https://files.eliteprospects.com/layout/flags_s/3.png">
          <a:extLst>
            <a:ext uri="{FF2B5EF4-FFF2-40B4-BE49-F238E27FC236}">
              <a16:creationId xmlns:a16="http://schemas.microsoft.com/office/drawing/2014/main" id="{00000000-0008-0000-1500-00003D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4820602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xdr:row>
      <xdr:rowOff>0</xdr:rowOff>
    </xdr:from>
    <xdr:to>
      <xdr:col>1</xdr:col>
      <xdr:colOff>184150</xdr:colOff>
      <xdr:row>205</xdr:row>
      <xdr:rowOff>133350</xdr:rowOff>
    </xdr:to>
    <xdr:pic>
      <xdr:nvPicPr>
        <xdr:cNvPr id="62" name="Obrázek 61" descr="https://files.eliteprospects.com/layout/flags_s/3.png">
          <a:extLst>
            <a:ext uri="{FF2B5EF4-FFF2-40B4-BE49-F238E27FC236}">
              <a16:creationId xmlns:a16="http://schemas.microsoft.com/office/drawing/2014/main" id="{00000000-0008-0000-1500-00003E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4839652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206</xdr:row>
      <xdr:rowOff>0</xdr:rowOff>
    </xdr:from>
    <xdr:to>
      <xdr:col>1</xdr:col>
      <xdr:colOff>184150</xdr:colOff>
      <xdr:row>206</xdr:row>
      <xdr:rowOff>133350</xdr:rowOff>
    </xdr:to>
    <xdr:pic>
      <xdr:nvPicPr>
        <xdr:cNvPr id="63" name="Obrázek 62" descr="https://files.eliteprospects.com/layout/flags_s/3.png">
          <a:extLst>
            <a:ext uri="{FF2B5EF4-FFF2-40B4-BE49-F238E27FC236}">
              <a16:creationId xmlns:a16="http://schemas.microsoft.com/office/drawing/2014/main" id="{00000000-0008-0000-1500-00003F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4858702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207</xdr:row>
      <xdr:rowOff>0</xdr:rowOff>
    </xdr:from>
    <xdr:to>
      <xdr:col>1</xdr:col>
      <xdr:colOff>184150</xdr:colOff>
      <xdr:row>207</xdr:row>
      <xdr:rowOff>133350</xdr:rowOff>
    </xdr:to>
    <xdr:pic>
      <xdr:nvPicPr>
        <xdr:cNvPr id="64" name="Obrázek 63" descr="https://files.eliteprospects.com/layout/flags_s/6.png">
          <a:extLst>
            <a:ext uri="{FF2B5EF4-FFF2-40B4-BE49-F238E27FC236}">
              <a16:creationId xmlns:a16="http://schemas.microsoft.com/office/drawing/2014/main" id="{00000000-0008-0000-1500-000040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4877752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208</xdr:row>
      <xdr:rowOff>0</xdr:rowOff>
    </xdr:from>
    <xdr:to>
      <xdr:col>1</xdr:col>
      <xdr:colOff>184150</xdr:colOff>
      <xdr:row>208</xdr:row>
      <xdr:rowOff>133350</xdr:rowOff>
    </xdr:to>
    <xdr:pic>
      <xdr:nvPicPr>
        <xdr:cNvPr id="65" name="Obrázek 64" descr="https://files.eliteprospects.com/layout/flags_s/6.png">
          <a:extLst>
            <a:ext uri="{FF2B5EF4-FFF2-40B4-BE49-F238E27FC236}">
              <a16:creationId xmlns:a16="http://schemas.microsoft.com/office/drawing/2014/main" id="{00000000-0008-0000-1500-000041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48968025"/>
          <a:ext cx="1841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209</xdr:row>
      <xdr:rowOff>0</xdr:rowOff>
    </xdr:from>
    <xdr:to>
      <xdr:col>1</xdr:col>
      <xdr:colOff>180975</xdr:colOff>
      <xdr:row>209</xdr:row>
      <xdr:rowOff>133350</xdr:rowOff>
    </xdr:to>
    <xdr:pic>
      <xdr:nvPicPr>
        <xdr:cNvPr id="66" name="Obrázek 65" descr="https://files.eliteprospects.com/layout/flags_s/8.png">
          <a:extLst>
            <a:ext uri="{FF2B5EF4-FFF2-40B4-BE49-F238E27FC236}">
              <a16:creationId xmlns:a16="http://schemas.microsoft.com/office/drawing/2014/main" id="{00000000-0008-0000-15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491585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xdr:row>
      <xdr:rowOff>0</xdr:rowOff>
    </xdr:from>
    <xdr:to>
      <xdr:col>1</xdr:col>
      <xdr:colOff>180975</xdr:colOff>
      <xdr:row>166</xdr:row>
      <xdr:rowOff>133350</xdr:rowOff>
    </xdr:to>
    <xdr:pic>
      <xdr:nvPicPr>
        <xdr:cNvPr id="67" name="Obrázek 66" descr="https://files.eliteprospects.com/layout/flags_s/8.png">
          <a:extLst>
            <a:ext uri="{FF2B5EF4-FFF2-40B4-BE49-F238E27FC236}">
              <a16:creationId xmlns:a16="http://schemas.microsoft.com/office/drawing/2014/main" id="{00000000-0008-0000-15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408813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175</xdr:row>
      <xdr:rowOff>0</xdr:rowOff>
    </xdr:from>
    <xdr:to>
      <xdr:col>1</xdr:col>
      <xdr:colOff>180975</xdr:colOff>
      <xdr:row>175</xdr:row>
      <xdr:rowOff>133350</xdr:rowOff>
    </xdr:to>
    <xdr:pic>
      <xdr:nvPicPr>
        <xdr:cNvPr id="68" name="Obrázek 67" descr="https://files.eliteprospects.com/layout/flags_s/8.png">
          <a:extLst>
            <a:ext uri="{FF2B5EF4-FFF2-40B4-BE49-F238E27FC236}">
              <a16:creationId xmlns:a16="http://schemas.microsoft.com/office/drawing/2014/main" id="{00000000-0008-0000-15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426053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187</xdr:row>
      <xdr:rowOff>0</xdr:rowOff>
    </xdr:from>
    <xdr:to>
      <xdr:col>1</xdr:col>
      <xdr:colOff>180975</xdr:colOff>
      <xdr:row>187</xdr:row>
      <xdr:rowOff>133350</xdr:rowOff>
    </xdr:to>
    <xdr:pic>
      <xdr:nvPicPr>
        <xdr:cNvPr id="69" name="Obrázek 68" descr="https://files.eliteprospects.com/layout/flags_s/8.png">
          <a:extLst>
            <a:ext uri="{FF2B5EF4-FFF2-40B4-BE49-F238E27FC236}">
              <a16:creationId xmlns:a16="http://schemas.microsoft.com/office/drawing/2014/main" id="{00000000-0008-0000-15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449008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242</xdr:row>
      <xdr:rowOff>0</xdr:rowOff>
    </xdr:from>
    <xdr:to>
      <xdr:col>1</xdr:col>
      <xdr:colOff>180975</xdr:colOff>
      <xdr:row>242</xdr:row>
      <xdr:rowOff>133350</xdr:rowOff>
    </xdr:to>
    <xdr:pic>
      <xdr:nvPicPr>
        <xdr:cNvPr id="70" name="Obrázek 69" descr="https://files.eliteprospects.com/layout/flags_s/21.png">
          <a:extLst>
            <a:ext uri="{FF2B5EF4-FFF2-40B4-BE49-F238E27FC236}">
              <a16:creationId xmlns:a16="http://schemas.microsoft.com/office/drawing/2014/main" id="{00000000-0008-0000-1500-000046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554926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243</xdr:row>
      <xdr:rowOff>0</xdr:rowOff>
    </xdr:from>
    <xdr:to>
      <xdr:col>1</xdr:col>
      <xdr:colOff>180975</xdr:colOff>
      <xdr:row>243</xdr:row>
      <xdr:rowOff>133350</xdr:rowOff>
    </xdr:to>
    <xdr:pic>
      <xdr:nvPicPr>
        <xdr:cNvPr id="71" name="Obrázek 70" descr="https://files.eliteprospects.com/layout/flags_s/21.png">
          <a:extLst>
            <a:ext uri="{FF2B5EF4-FFF2-40B4-BE49-F238E27FC236}">
              <a16:creationId xmlns:a16="http://schemas.microsoft.com/office/drawing/2014/main" id="{00000000-0008-0000-1500-00004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556831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244</xdr:row>
      <xdr:rowOff>0</xdr:rowOff>
    </xdr:from>
    <xdr:to>
      <xdr:col>1</xdr:col>
      <xdr:colOff>180975</xdr:colOff>
      <xdr:row>244</xdr:row>
      <xdr:rowOff>133350</xdr:rowOff>
    </xdr:to>
    <xdr:pic>
      <xdr:nvPicPr>
        <xdr:cNvPr id="72" name="Obrázek 71" descr="https://files.eliteprospects.com/layout/flags_s/19.png">
          <a:extLst>
            <a:ext uri="{FF2B5EF4-FFF2-40B4-BE49-F238E27FC236}">
              <a16:creationId xmlns:a16="http://schemas.microsoft.com/office/drawing/2014/main" id="{00000000-0008-0000-1500-000048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558736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245</xdr:row>
      <xdr:rowOff>0</xdr:rowOff>
    </xdr:from>
    <xdr:to>
      <xdr:col>1</xdr:col>
      <xdr:colOff>180975</xdr:colOff>
      <xdr:row>245</xdr:row>
      <xdr:rowOff>133350</xdr:rowOff>
    </xdr:to>
    <xdr:pic>
      <xdr:nvPicPr>
        <xdr:cNvPr id="73" name="Obrázek 72" descr="https://files.eliteprospects.com/layout/flags_s/8.png">
          <a:extLst>
            <a:ext uri="{FF2B5EF4-FFF2-40B4-BE49-F238E27FC236}">
              <a16:creationId xmlns:a16="http://schemas.microsoft.com/office/drawing/2014/main" id="{00000000-0008-0000-15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60641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246</xdr:row>
      <xdr:rowOff>0</xdr:rowOff>
    </xdr:from>
    <xdr:to>
      <xdr:col>1</xdr:col>
      <xdr:colOff>180975</xdr:colOff>
      <xdr:row>246</xdr:row>
      <xdr:rowOff>133350</xdr:rowOff>
    </xdr:to>
    <xdr:pic>
      <xdr:nvPicPr>
        <xdr:cNvPr id="74" name="Obrázek 73" descr="https://files.eliteprospects.com/layout/flags_s/8.png">
          <a:extLst>
            <a:ext uri="{FF2B5EF4-FFF2-40B4-BE49-F238E27FC236}">
              <a16:creationId xmlns:a16="http://schemas.microsoft.com/office/drawing/2014/main" id="{00000000-0008-0000-15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62546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247</xdr:row>
      <xdr:rowOff>0</xdr:rowOff>
    </xdr:from>
    <xdr:to>
      <xdr:col>1</xdr:col>
      <xdr:colOff>180975</xdr:colOff>
      <xdr:row>247</xdr:row>
      <xdr:rowOff>133350</xdr:rowOff>
    </xdr:to>
    <xdr:pic>
      <xdr:nvPicPr>
        <xdr:cNvPr id="75" name="Obrázek 74" descr="https://files.eliteprospects.com/layout/flags_s/8.png">
          <a:extLst>
            <a:ext uri="{FF2B5EF4-FFF2-40B4-BE49-F238E27FC236}">
              <a16:creationId xmlns:a16="http://schemas.microsoft.com/office/drawing/2014/main" id="{00000000-0008-0000-15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64451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248</xdr:row>
      <xdr:rowOff>0</xdr:rowOff>
    </xdr:from>
    <xdr:to>
      <xdr:col>1</xdr:col>
      <xdr:colOff>180975</xdr:colOff>
      <xdr:row>248</xdr:row>
      <xdr:rowOff>133350</xdr:rowOff>
    </xdr:to>
    <xdr:pic>
      <xdr:nvPicPr>
        <xdr:cNvPr id="76" name="Obrázek 75" descr="https://files.eliteprospects.com/layout/flags_s/8.png">
          <a:extLst>
            <a:ext uri="{FF2B5EF4-FFF2-40B4-BE49-F238E27FC236}">
              <a16:creationId xmlns:a16="http://schemas.microsoft.com/office/drawing/2014/main" id="{00000000-0008-0000-15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66356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249</xdr:row>
      <xdr:rowOff>0</xdr:rowOff>
    </xdr:from>
    <xdr:to>
      <xdr:col>1</xdr:col>
      <xdr:colOff>180975</xdr:colOff>
      <xdr:row>249</xdr:row>
      <xdr:rowOff>133350</xdr:rowOff>
    </xdr:to>
    <xdr:pic>
      <xdr:nvPicPr>
        <xdr:cNvPr id="77" name="Obrázek 76" descr="https://files.eliteprospects.com/layout/flags_s/8.png">
          <a:extLst>
            <a:ext uri="{FF2B5EF4-FFF2-40B4-BE49-F238E27FC236}">
              <a16:creationId xmlns:a16="http://schemas.microsoft.com/office/drawing/2014/main" id="{00000000-0008-0000-15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68261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253</xdr:row>
      <xdr:rowOff>0</xdr:rowOff>
    </xdr:from>
    <xdr:to>
      <xdr:col>1</xdr:col>
      <xdr:colOff>180975</xdr:colOff>
      <xdr:row>253</xdr:row>
      <xdr:rowOff>133350</xdr:rowOff>
    </xdr:to>
    <xdr:pic>
      <xdr:nvPicPr>
        <xdr:cNvPr id="78" name="Obrázek 77" descr="https://files.eliteprospects.com/layout/flags_s/4.png">
          <a:extLst>
            <a:ext uri="{FF2B5EF4-FFF2-40B4-BE49-F238E27FC236}">
              <a16:creationId xmlns:a16="http://schemas.microsoft.com/office/drawing/2014/main" id="{00000000-0008-0000-1500-00004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575976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254</xdr:row>
      <xdr:rowOff>0</xdr:rowOff>
    </xdr:from>
    <xdr:to>
      <xdr:col>1</xdr:col>
      <xdr:colOff>180975</xdr:colOff>
      <xdr:row>254</xdr:row>
      <xdr:rowOff>133350</xdr:rowOff>
    </xdr:to>
    <xdr:pic>
      <xdr:nvPicPr>
        <xdr:cNvPr id="79" name="Obrázek 78" descr="https://files.eliteprospects.com/layout/flags_s/4.png">
          <a:extLst>
            <a:ext uri="{FF2B5EF4-FFF2-40B4-BE49-F238E27FC236}">
              <a16:creationId xmlns:a16="http://schemas.microsoft.com/office/drawing/2014/main" id="{00000000-0008-0000-1500-00004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577881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255</xdr:row>
      <xdr:rowOff>0</xdr:rowOff>
    </xdr:from>
    <xdr:to>
      <xdr:col>1</xdr:col>
      <xdr:colOff>180975</xdr:colOff>
      <xdr:row>255</xdr:row>
      <xdr:rowOff>133350</xdr:rowOff>
    </xdr:to>
    <xdr:pic>
      <xdr:nvPicPr>
        <xdr:cNvPr id="80" name="Obrázek 79" descr="https://files.eliteprospects.com/layout/flags_s/9.png">
          <a:extLst>
            <a:ext uri="{FF2B5EF4-FFF2-40B4-BE49-F238E27FC236}">
              <a16:creationId xmlns:a16="http://schemas.microsoft.com/office/drawing/2014/main" id="{00000000-0008-0000-1500-000050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580072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256</xdr:row>
      <xdr:rowOff>0</xdr:rowOff>
    </xdr:from>
    <xdr:to>
      <xdr:col>1</xdr:col>
      <xdr:colOff>180975</xdr:colOff>
      <xdr:row>256</xdr:row>
      <xdr:rowOff>133350</xdr:rowOff>
    </xdr:to>
    <xdr:pic>
      <xdr:nvPicPr>
        <xdr:cNvPr id="81" name="Obrázek 80" descr="https://files.eliteprospects.com/layout/flags_s/8.png">
          <a:extLst>
            <a:ext uri="{FF2B5EF4-FFF2-40B4-BE49-F238E27FC236}">
              <a16:creationId xmlns:a16="http://schemas.microsoft.com/office/drawing/2014/main" id="{00000000-0008-0000-15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82739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260</xdr:row>
      <xdr:rowOff>0</xdr:rowOff>
    </xdr:from>
    <xdr:to>
      <xdr:col>1</xdr:col>
      <xdr:colOff>180975</xdr:colOff>
      <xdr:row>260</xdr:row>
      <xdr:rowOff>133350</xdr:rowOff>
    </xdr:to>
    <xdr:pic>
      <xdr:nvPicPr>
        <xdr:cNvPr id="82" name="Obrázek 81" descr="https://files.eliteprospects.com/layout/flags_s/8.png">
          <a:extLst>
            <a:ext uri="{FF2B5EF4-FFF2-40B4-BE49-F238E27FC236}">
              <a16:creationId xmlns:a16="http://schemas.microsoft.com/office/drawing/2014/main" id="{00000000-0008-0000-15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91216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261</xdr:row>
      <xdr:rowOff>0</xdr:rowOff>
    </xdr:from>
    <xdr:to>
      <xdr:col>1</xdr:col>
      <xdr:colOff>180975</xdr:colOff>
      <xdr:row>261</xdr:row>
      <xdr:rowOff>133350</xdr:rowOff>
    </xdr:to>
    <xdr:pic>
      <xdr:nvPicPr>
        <xdr:cNvPr id="83" name="Obrázek 82" descr="https://files.eliteprospects.com/layout/flags_s/8.png">
          <a:extLst>
            <a:ext uri="{FF2B5EF4-FFF2-40B4-BE49-F238E27FC236}">
              <a16:creationId xmlns:a16="http://schemas.microsoft.com/office/drawing/2014/main" id="{00000000-0008-0000-15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93121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262</xdr:row>
      <xdr:rowOff>0</xdr:rowOff>
    </xdr:from>
    <xdr:to>
      <xdr:col>1</xdr:col>
      <xdr:colOff>180975</xdr:colOff>
      <xdr:row>262</xdr:row>
      <xdr:rowOff>133350</xdr:rowOff>
    </xdr:to>
    <xdr:pic>
      <xdr:nvPicPr>
        <xdr:cNvPr id="84" name="Obrázek 83" descr="https://files.eliteprospects.com/layout/flags_s/8.png">
          <a:extLst>
            <a:ext uri="{FF2B5EF4-FFF2-40B4-BE49-F238E27FC236}">
              <a16:creationId xmlns:a16="http://schemas.microsoft.com/office/drawing/2014/main" id="{00000000-0008-0000-15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95503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263</xdr:row>
      <xdr:rowOff>0</xdr:rowOff>
    </xdr:from>
    <xdr:to>
      <xdr:col>1</xdr:col>
      <xdr:colOff>180975</xdr:colOff>
      <xdr:row>263</xdr:row>
      <xdr:rowOff>133350</xdr:rowOff>
    </xdr:to>
    <xdr:pic>
      <xdr:nvPicPr>
        <xdr:cNvPr id="85" name="Obrázek 84" descr="https://files.eliteprospects.com/layout/flags_s/8.png">
          <a:extLst>
            <a:ext uri="{FF2B5EF4-FFF2-40B4-BE49-F238E27FC236}">
              <a16:creationId xmlns:a16="http://schemas.microsoft.com/office/drawing/2014/main" id="{00000000-0008-0000-15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97408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264</xdr:row>
      <xdr:rowOff>0</xdr:rowOff>
    </xdr:from>
    <xdr:to>
      <xdr:col>1</xdr:col>
      <xdr:colOff>180975</xdr:colOff>
      <xdr:row>264</xdr:row>
      <xdr:rowOff>133350</xdr:rowOff>
    </xdr:to>
    <xdr:pic>
      <xdr:nvPicPr>
        <xdr:cNvPr id="86" name="Obrázek 85" descr="https://files.eliteprospects.com/layout/flags_s/8.png">
          <a:extLst>
            <a:ext uri="{FF2B5EF4-FFF2-40B4-BE49-F238E27FC236}">
              <a16:creationId xmlns:a16="http://schemas.microsoft.com/office/drawing/2014/main" id="{00000000-0008-0000-15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99313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265</xdr:row>
      <xdr:rowOff>0</xdr:rowOff>
    </xdr:from>
    <xdr:to>
      <xdr:col>1</xdr:col>
      <xdr:colOff>180975</xdr:colOff>
      <xdr:row>265</xdr:row>
      <xdr:rowOff>133350</xdr:rowOff>
    </xdr:to>
    <xdr:pic>
      <xdr:nvPicPr>
        <xdr:cNvPr id="87" name="Obrázek 86" descr="https://files.eliteprospects.com/layout/flags_s/8.png">
          <a:extLst>
            <a:ext uri="{FF2B5EF4-FFF2-40B4-BE49-F238E27FC236}">
              <a16:creationId xmlns:a16="http://schemas.microsoft.com/office/drawing/2014/main" id="{00000000-0008-0000-15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01218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271</xdr:row>
      <xdr:rowOff>0</xdr:rowOff>
    </xdr:from>
    <xdr:to>
      <xdr:col>1</xdr:col>
      <xdr:colOff>180975</xdr:colOff>
      <xdr:row>271</xdr:row>
      <xdr:rowOff>133350</xdr:rowOff>
    </xdr:to>
    <xdr:pic>
      <xdr:nvPicPr>
        <xdr:cNvPr id="88" name="Obrázek 87" descr="https://files.eliteprospects.com/layout/flags_s/3.png">
          <a:extLst>
            <a:ext uri="{FF2B5EF4-FFF2-40B4-BE49-F238E27FC236}">
              <a16:creationId xmlns:a16="http://schemas.microsoft.com/office/drawing/2014/main" id="{00000000-0008-0000-1500-00005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61293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272</xdr:row>
      <xdr:rowOff>0</xdr:rowOff>
    </xdr:from>
    <xdr:to>
      <xdr:col>1</xdr:col>
      <xdr:colOff>180975</xdr:colOff>
      <xdr:row>272</xdr:row>
      <xdr:rowOff>133350</xdr:rowOff>
    </xdr:to>
    <xdr:pic>
      <xdr:nvPicPr>
        <xdr:cNvPr id="89" name="Obrázek 88" descr="https://files.eliteprospects.com/layout/flags_s/31.png">
          <a:extLst>
            <a:ext uri="{FF2B5EF4-FFF2-40B4-BE49-F238E27FC236}">
              <a16:creationId xmlns:a16="http://schemas.microsoft.com/office/drawing/2014/main" id="{00000000-0008-0000-1500-00005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61483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273</xdr:row>
      <xdr:rowOff>0</xdr:rowOff>
    </xdr:from>
    <xdr:to>
      <xdr:col>1</xdr:col>
      <xdr:colOff>180975</xdr:colOff>
      <xdr:row>273</xdr:row>
      <xdr:rowOff>133350</xdr:rowOff>
    </xdr:to>
    <xdr:pic>
      <xdr:nvPicPr>
        <xdr:cNvPr id="90" name="Obrázek 89" descr="https://files.eliteprospects.com/layout/flags_s/31.png">
          <a:extLst>
            <a:ext uri="{FF2B5EF4-FFF2-40B4-BE49-F238E27FC236}">
              <a16:creationId xmlns:a16="http://schemas.microsoft.com/office/drawing/2014/main" id="{00000000-0008-0000-1500-00005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61674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274</xdr:row>
      <xdr:rowOff>0</xdr:rowOff>
    </xdr:from>
    <xdr:to>
      <xdr:col>1</xdr:col>
      <xdr:colOff>180975</xdr:colOff>
      <xdr:row>274</xdr:row>
      <xdr:rowOff>133350</xdr:rowOff>
    </xdr:to>
    <xdr:pic>
      <xdr:nvPicPr>
        <xdr:cNvPr id="91" name="Obrázek 90" descr="https://files.eliteprospects.com/layout/flags_s/8.png">
          <a:extLst>
            <a:ext uri="{FF2B5EF4-FFF2-40B4-BE49-F238E27FC236}">
              <a16:creationId xmlns:a16="http://schemas.microsoft.com/office/drawing/2014/main" id="{00000000-0008-0000-15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1864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275</xdr:row>
      <xdr:rowOff>0</xdr:rowOff>
    </xdr:from>
    <xdr:to>
      <xdr:col>1</xdr:col>
      <xdr:colOff>180975</xdr:colOff>
      <xdr:row>275</xdr:row>
      <xdr:rowOff>133350</xdr:rowOff>
    </xdr:to>
    <xdr:pic>
      <xdr:nvPicPr>
        <xdr:cNvPr id="92" name="Obrázek 91" descr="https://files.eliteprospects.com/layout/flags_s/8.png">
          <a:extLst>
            <a:ext uri="{FF2B5EF4-FFF2-40B4-BE49-F238E27FC236}">
              <a16:creationId xmlns:a16="http://schemas.microsoft.com/office/drawing/2014/main" id="{00000000-0008-0000-15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2055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276</xdr:row>
      <xdr:rowOff>0</xdr:rowOff>
    </xdr:from>
    <xdr:to>
      <xdr:col>1</xdr:col>
      <xdr:colOff>180975</xdr:colOff>
      <xdr:row>276</xdr:row>
      <xdr:rowOff>133350</xdr:rowOff>
    </xdr:to>
    <xdr:pic>
      <xdr:nvPicPr>
        <xdr:cNvPr id="93" name="Obrázek 92" descr="https://files.eliteprospects.com/layout/flags_s/8.png">
          <a:extLst>
            <a:ext uri="{FF2B5EF4-FFF2-40B4-BE49-F238E27FC236}">
              <a16:creationId xmlns:a16="http://schemas.microsoft.com/office/drawing/2014/main" id="{00000000-0008-0000-15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2245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277</xdr:row>
      <xdr:rowOff>0</xdr:rowOff>
    </xdr:from>
    <xdr:to>
      <xdr:col>1</xdr:col>
      <xdr:colOff>180975</xdr:colOff>
      <xdr:row>277</xdr:row>
      <xdr:rowOff>133350</xdr:rowOff>
    </xdr:to>
    <xdr:pic>
      <xdr:nvPicPr>
        <xdr:cNvPr id="94" name="Obrázek 93" descr="https://files.eliteprospects.com/layout/flags_s/31.png">
          <a:extLst>
            <a:ext uri="{FF2B5EF4-FFF2-40B4-BE49-F238E27FC236}">
              <a16:creationId xmlns:a16="http://schemas.microsoft.com/office/drawing/2014/main" id="{00000000-0008-0000-1500-00005E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62436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278</xdr:row>
      <xdr:rowOff>0</xdr:rowOff>
    </xdr:from>
    <xdr:to>
      <xdr:col>1</xdr:col>
      <xdr:colOff>180975</xdr:colOff>
      <xdr:row>278</xdr:row>
      <xdr:rowOff>133350</xdr:rowOff>
    </xdr:to>
    <xdr:pic>
      <xdr:nvPicPr>
        <xdr:cNvPr id="95" name="Obrázek 94" descr="https://files.eliteprospects.com/layout/flags_s/8.png">
          <a:extLst>
            <a:ext uri="{FF2B5EF4-FFF2-40B4-BE49-F238E27FC236}">
              <a16:creationId xmlns:a16="http://schemas.microsoft.com/office/drawing/2014/main" id="{00000000-0008-0000-15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2626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279</xdr:row>
      <xdr:rowOff>0</xdr:rowOff>
    </xdr:from>
    <xdr:to>
      <xdr:col>1</xdr:col>
      <xdr:colOff>180975</xdr:colOff>
      <xdr:row>279</xdr:row>
      <xdr:rowOff>133350</xdr:rowOff>
    </xdr:to>
    <xdr:pic>
      <xdr:nvPicPr>
        <xdr:cNvPr id="96" name="Obrázek 95" descr="https://files.eliteprospects.com/layout/flags_s/8.png">
          <a:extLst>
            <a:ext uri="{FF2B5EF4-FFF2-40B4-BE49-F238E27FC236}">
              <a16:creationId xmlns:a16="http://schemas.microsoft.com/office/drawing/2014/main" id="{00000000-0008-0000-15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2817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213</xdr:row>
      <xdr:rowOff>0</xdr:rowOff>
    </xdr:from>
    <xdr:to>
      <xdr:col>1</xdr:col>
      <xdr:colOff>180975</xdr:colOff>
      <xdr:row>213</xdr:row>
      <xdr:rowOff>133350</xdr:rowOff>
    </xdr:to>
    <xdr:pic>
      <xdr:nvPicPr>
        <xdr:cNvPr id="97" name="Obrázek 96" descr="https://files.eliteprospects.com/layout/flags_s/8.png">
          <a:extLst>
            <a:ext uri="{FF2B5EF4-FFF2-40B4-BE49-F238E27FC236}">
              <a16:creationId xmlns:a16="http://schemas.microsoft.com/office/drawing/2014/main" id="{00000000-0008-0000-15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499300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214</xdr:row>
      <xdr:rowOff>0</xdr:rowOff>
    </xdr:from>
    <xdr:to>
      <xdr:col>1</xdr:col>
      <xdr:colOff>180975</xdr:colOff>
      <xdr:row>214</xdr:row>
      <xdr:rowOff>133350</xdr:rowOff>
    </xdr:to>
    <xdr:pic>
      <xdr:nvPicPr>
        <xdr:cNvPr id="98" name="Obrázek 97" descr="https://files.eliteprospects.com/layout/flags_s/8.png">
          <a:extLst>
            <a:ext uri="{FF2B5EF4-FFF2-40B4-BE49-F238E27FC236}">
              <a16:creationId xmlns:a16="http://schemas.microsoft.com/office/drawing/2014/main" id="{00000000-0008-0000-15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01205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215</xdr:row>
      <xdr:rowOff>0</xdr:rowOff>
    </xdr:from>
    <xdr:to>
      <xdr:col>1</xdr:col>
      <xdr:colOff>180975</xdr:colOff>
      <xdr:row>215</xdr:row>
      <xdr:rowOff>133350</xdr:rowOff>
    </xdr:to>
    <xdr:pic>
      <xdr:nvPicPr>
        <xdr:cNvPr id="99" name="Obrázek 98" descr="https://files.eliteprospects.com/layout/flags_s/31.png">
          <a:extLst>
            <a:ext uri="{FF2B5EF4-FFF2-40B4-BE49-F238E27FC236}">
              <a16:creationId xmlns:a16="http://schemas.microsoft.com/office/drawing/2014/main" id="{00000000-0008-0000-1500-00006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503110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216</xdr:row>
      <xdr:rowOff>0</xdr:rowOff>
    </xdr:from>
    <xdr:to>
      <xdr:col>1</xdr:col>
      <xdr:colOff>180975</xdr:colOff>
      <xdr:row>216</xdr:row>
      <xdr:rowOff>133350</xdr:rowOff>
    </xdr:to>
    <xdr:pic>
      <xdr:nvPicPr>
        <xdr:cNvPr id="100" name="Obrázek 99" descr="https://files.eliteprospects.com/layout/flags_s/8.png">
          <a:extLst>
            <a:ext uri="{FF2B5EF4-FFF2-40B4-BE49-F238E27FC236}">
              <a16:creationId xmlns:a16="http://schemas.microsoft.com/office/drawing/2014/main" id="{00000000-0008-0000-15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05015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217</xdr:row>
      <xdr:rowOff>0</xdr:rowOff>
    </xdr:from>
    <xdr:to>
      <xdr:col>1</xdr:col>
      <xdr:colOff>180975</xdr:colOff>
      <xdr:row>217</xdr:row>
      <xdr:rowOff>133350</xdr:rowOff>
    </xdr:to>
    <xdr:pic>
      <xdr:nvPicPr>
        <xdr:cNvPr id="101" name="Obrázek 100" descr="https://files.eliteprospects.com/layout/flags_s/8.png">
          <a:extLst>
            <a:ext uri="{FF2B5EF4-FFF2-40B4-BE49-F238E27FC236}">
              <a16:creationId xmlns:a16="http://schemas.microsoft.com/office/drawing/2014/main" id="{00000000-0008-0000-15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06920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218</xdr:row>
      <xdr:rowOff>0</xdr:rowOff>
    </xdr:from>
    <xdr:to>
      <xdr:col>1</xdr:col>
      <xdr:colOff>180975</xdr:colOff>
      <xdr:row>218</xdr:row>
      <xdr:rowOff>133350</xdr:rowOff>
    </xdr:to>
    <xdr:pic>
      <xdr:nvPicPr>
        <xdr:cNvPr id="102" name="Obrázek 101" descr="https://files.eliteprospects.com/layout/flags_s/8.png">
          <a:extLst>
            <a:ext uri="{FF2B5EF4-FFF2-40B4-BE49-F238E27FC236}">
              <a16:creationId xmlns:a16="http://schemas.microsoft.com/office/drawing/2014/main" id="{00000000-0008-0000-15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08825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219</xdr:row>
      <xdr:rowOff>0</xdr:rowOff>
    </xdr:from>
    <xdr:to>
      <xdr:col>1</xdr:col>
      <xdr:colOff>180975</xdr:colOff>
      <xdr:row>219</xdr:row>
      <xdr:rowOff>133350</xdr:rowOff>
    </xdr:to>
    <xdr:pic>
      <xdr:nvPicPr>
        <xdr:cNvPr id="103" name="Obrázek 102" descr="https://files.eliteprospects.com/layout/flags_s/31.png">
          <a:extLst>
            <a:ext uri="{FF2B5EF4-FFF2-40B4-BE49-F238E27FC236}">
              <a16:creationId xmlns:a16="http://schemas.microsoft.com/office/drawing/2014/main" id="{00000000-0008-0000-1500-00006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510730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220</xdr:row>
      <xdr:rowOff>0</xdr:rowOff>
    </xdr:from>
    <xdr:to>
      <xdr:col>1</xdr:col>
      <xdr:colOff>180975</xdr:colOff>
      <xdr:row>220</xdr:row>
      <xdr:rowOff>133350</xdr:rowOff>
    </xdr:to>
    <xdr:pic>
      <xdr:nvPicPr>
        <xdr:cNvPr id="104" name="Obrázek 103" descr="https://files.eliteprospects.com/layout/flags_s/8.png">
          <a:extLst>
            <a:ext uri="{FF2B5EF4-FFF2-40B4-BE49-F238E27FC236}">
              <a16:creationId xmlns:a16="http://schemas.microsoft.com/office/drawing/2014/main" id="{00000000-0008-0000-15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12635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224</xdr:row>
      <xdr:rowOff>0</xdr:rowOff>
    </xdr:from>
    <xdr:to>
      <xdr:col>1</xdr:col>
      <xdr:colOff>180975</xdr:colOff>
      <xdr:row>224</xdr:row>
      <xdr:rowOff>133350</xdr:rowOff>
    </xdr:to>
    <xdr:pic>
      <xdr:nvPicPr>
        <xdr:cNvPr id="105" name="Obrázek 104" descr="https://files.eliteprospects.com/layout/flags_s/17.png">
          <a:extLst>
            <a:ext uri="{FF2B5EF4-FFF2-40B4-BE49-F238E27FC236}">
              <a16:creationId xmlns:a16="http://schemas.microsoft.com/office/drawing/2014/main" id="{00000000-0008-0000-1500-000069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520350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225</xdr:row>
      <xdr:rowOff>0</xdr:rowOff>
    </xdr:from>
    <xdr:to>
      <xdr:col>1</xdr:col>
      <xdr:colOff>180975</xdr:colOff>
      <xdr:row>225</xdr:row>
      <xdr:rowOff>133350</xdr:rowOff>
    </xdr:to>
    <xdr:pic>
      <xdr:nvPicPr>
        <xdr:cNvPr id="106" name="Obrázek 105" descr="https://files.eliteprospects.com/layout/flags_s/17.png">
          <a:extLst>
            <a:ext uri="{FF2B5EF4-FFF2-40B4-BE49-F238E27FC236}">
              <a16:creationId xmlns:a16="http://schemas.microsoft.com/office/drawing/2014/main" id="{00000000-0008-0000-1500-00006A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522255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226</xdr:row>
      <xdr:rowOff>0</xdr:rowOff>
    </xdr:from>
    <xdr:to>
      <xdr:col>1</xdr:col>
      <xdr:colOff>180975</xdr:colOff>
      <xdr:row>226</xdr:row>
      <xdr:rowOff>133350</xdr:rowOff>
    </xdr:to>
    <xdr:pic>
      <xdr:nvPicPr>
        <xdr:cNvPr id="107" name="Obrázek 106" descr="https://files.eliteprospects.com/layout/flags_s/17.png">
          <a:extLst>
            <a:ext uri="{FF2B5EF4-FFF2-40B4-BE49-F238E27FC236}">
              <a16:creationId xmlns:a16="http://schemas.microsoft.com/office/drawing/2014/main" id="{00000000-0008-0000-1500-00006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524160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227</xdr:row>
      <xdr:rowOff>0</xdr:rowOff>
    </xdr:from>
    <xdr:to>
      <xdr:col>1</xdr:col>
      <xdr:colOff>180975</xdr:colOff>
      <xdr:row>227</xdr:row>
      <xdr:rowOff>133350</xdr:rowOff>
    </xdr:to>
    <xdr:pic>
      <xdr:nvPicPr>
        <xdr:cNvPr id="108" name="Obrázek 107" descr="https://files.eliteprospects.com/layout/flags_s/31.png">
          <a:extLst>
            <a:ext uri="{FF2B5EF4-FFF2-40B4-BE49-F238E27FC236}">
              <a16:creationId xmlns:a16="http://schemas.microsoft.com/office/drawing/2014/main" id="{00000000-0008-0000-1500-00006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526161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228</xdr:row>
      <xdr:rowOff>0</xdr:rowOff>
    </xdr:from>
    <xdr:to>
      <xdr:col>1</xdr:col>
      <xdr:colOff>180975</xdr:colOff>
      <xdr:row>228</xdr:row>
      <xdr:rowOff>133350</xdr:rowOff>
    </xdr:to>
    <xdr:pic>
      <xdr:nvPicPr>
        <xdr:cNvPr id="109" name="Obrázek 108" descr="https://files.eliteprospects.com/layout/flags_s/31.png">
          <a:extLst>
            <a:ext uri="{FF2B5EF4-FFF2-40B4-BE49-F238E27FC236}">
              <a16:creationId xmlns:a16="http://schemas.microsoft.com/office/drawing/2014/main" id="{00000000-0008-0000-1500-00006D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528066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229</xdr:row>
      <xdr:rowOff>0</xdr:rowOff>
    </xdr:from>
    <xdr:to>
      <xdr:col>1</xdr:col>
      <xdr:colOff>180975</xdr:colOff>
      <xdr:row>229</xdr:row>
      <xdr:rowOff>133350</xdr:rowOff>
    </xdr:to>
    <xdr:pic>
      <xdr:nvPicPr>
        <xdr:cNvPr id="110" name="Obrázek 109" descr="https://files.eliteprospects.com/layout/flags_s/8.png">
          <a:extLst>
            <a:ext uri="{FF2B5EF4-FFF2-40B4-BE49-F238E27FC236}">
              <a16:creationId xmlns:a16="http://schemas.microsoft.com/office/drawing/2014/main" id="{00000000-0008-0000-15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29971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xdr:row>
      <xdr:rowOff>0</xdr:rowOff>
    </xdr:from>
    <xdr:to>
      <xdr:col>1</xdr:col>
      <xdr:colOff>180975</xdr:colOff>
      <xdr:row>230</xdr:row>
      <xdr:rowOff>133350</xdr:rowOff>
    </xdr:to>
    <xdr:pic>
      <xdr:nvPicPr>
        <xdr:cNvPr id="111" name="Obrázek 110" descr="https://files.eliteprospects.com/layout/flags_s/8.png">
          <a:extLst>
            <a:ext uri="{FF2B5EF4-FFF2-40B4-BE49-F238E27FC236}">
              <a16:creationId xmlns:a16="http://schemas.microsoft.com/office/drawing/2014/main" id="{00000000-0008-0000-1500-00006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31876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231</xdr:row>
      <xdr:rowOff>0</xdr:rowOff>
    </xdr:from>
    <xdr:to>
      <xdr:col>1</xdr:col>
      <xdr:colOff>180975</xdr:colOff>
      <xdr:row>231</xdr:row>
      <xdr:rowOff>133350</xdr:rowOff>
    </xdr:to>
    <xdr:pic>
      <xdr:nvPicPr>
        <xdr:cNvPr id="112" name="Obrázek 111" descr="https://files.eliteprospects.com/layout/flags_s/8.png">
          <a:extLst>
            <a:ext uri="{FF2B5EF4-FFF2-40B4-BE49-F238E27FC236}">
              <a16:creationId xmlns:a16="http://schemas.microsoft.com/office/drawing/2014/main" id="{00000000-0008-0000-1500-00007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33781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232</xdr:row>
      <xdr:rowOff>0</xdr:rowOff>
    </xdr:from>
    <xdr:to>
      <xdr:col>1</xdr:col>
      <xdr:colOff>180975</xdr:colOff>
      <xdr:row>232</xdr:row>
      <xdr:rowOff>133350</xdr:rowOff>
    </xdr:to>
    <xdr:pic>
      <xdr:nvPicPr>
        <xdr:cNvPr id="113" name="Obrázek 112" descr="https://files.eliteprospects.com/layout/flags_s/31.png">
          <a:extLst>
            <a:ext uri="{FF2B5EF4-FFF2-40B4-BE49-F238E27FC236}">
              <a16:creationId xmlns:a16="http://schemas.microsoft.com/office/drawing/2014/main" id="{00000000-0008-0000-1500-00007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535686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233</xdr:row>
      <xdr:rowOff>0</xdr:rowOff>
    </xdr:from>
    <xdr:to>
      <xdr:col>1</xdr:col>
      <xdr:colOff>180975</xdr:colOff>
      <xdr:row>233</xdr:row>
      <xdr:rowOff>133350</xdr:rowOff>
    </xdr:to>
    <xdr:pic>
      <xdr:nvPicPr>
        <xdr:cNvPr id="114" name="Obrázek 113" descr="https://files.eliteprospects.com/layout/flags_s/31.png">
          <a:extLst>
            <a:ext uri="{FF2B5EF4-FFF2-40B4-BE49-F238E27FC236}">
              <a16:creationId xmlns:a16="http://schemas.microsoft.com/office/drawing/2014/main" id="{00000000-0008-0000-1500-000072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537591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234</xdr:row>
      <xdr:rowOff>0</xdr:rowOff>
    </xdr:from>
    <xdr:to>
      <xdr:col>1</xdr:col>
      <xdr:colOff>180975</xdr:colOff>
      <xdr:row>234</xdr:row>
      <xdr:rowOff>133350</xdr:rowOff>
    </xdr:to>
    <xdr:pic>
      <xdr:nvPicPr>
        <xdr:cNvPr id="115" name="Obrázek 114" descr="https://files.eliteprospects.com/layout/flags_s/8.png">
          <a:extLst>
            <a:ext uri="{FF2B5EF4-FFF2-40B4-BE49-F238E27FC236}">
              <a16:creationId xmlns:a16="http://schemas.microsoft.com/office/drawing/2014/main" id="{00000000-0008-0000-1500-00007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39591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235</xdr:row>
      <xdr:rowOff>0</xdr:rowOff>
    </xdr:from>
    <xdr:to>
      <xdr:col>1</xdr:col>
      <xdr:colOff>180975</xdr:colOff>
      <xdr:row>235</xdr:row>
      <xdr:rowOff>133350</xdr:rowOff>
    </xdr:to>
    <xdr:pic>
      <xdr:nvPicPr>
        <xdr:cNvPr id="116" name="Obrázek 115" descr="https://files.eliteprospects.com/layout/flags_s/8.png">
          <a:extLst>
            <a:ext uri="{FF2B5EF4-FFF2-40B4-BE49-F238E27FC236}">
              <a16:creationId xmlns:a16="http://schemas.microsoft.com/office/drawing/2014/main" id="{00000000-0008-0000-1500-00007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41496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236</xdr:row>
      <xdr:rowOff>0</xdr:rowOff>
    </xdr:from>
    <xdr:to>
      <xdr:col>1</xdr:col>
      <xdr:colOff>180975</xdr:colOff>
      <xdr:row>236</xdr:row>
      <xdr:rowOff>133350</xdr:rowOff>
    </xdr:to>
    <xdr:pic>
      <xdr:nvPicPr>
        <xdr:cNvPr id="117" name="Obrázek 116" descr="https://files.eliteprospects.com/layout/flags_s/31.png">
          <a:extLst>
            <a:ext uri="{FF2B5EF4-FFF2-40B4-BE49-F238E27FC236}">
              <a16:creationId xmlns:a16="http://schemas.microsoft.com/office/drawing/2014/main" id="{00000000-0008-0000-1500-00007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543401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237</xdr:row>
      <xdr:rowOff>0</xdr:rowOff>
    </xdr:from>
    <xdr:to>
      <xdr:col>1</xdr:col>
      <xdr:colOff>180975</xdr:colOff>
      <xdr:row>237</xdr:row>
      <xdr:rowOff>133350</xdr:rowOff>
    </xdr:to>
    <xdr:pic>
      <xdr:nvPicPr>
        <xdr:cNvPr id="118" name="Obrázek 117" descr="https://files.eliteprospects.com/layout/flags_s/31.png">
          <a:extLst>
            <a:ext uri="{FF2B5EF4-FFF2-40B4-BE49-F238E27FC236}">
              <a16:creationId xmlns:a16="http://schemas.microsoft.com/office/drawing/2014/main" id="{00000000-0008-0000-1500-00007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545306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267</xdr:row>
      <xdr:rowOff>0</xdr:rowOff>
    </xdr:from>
    <xdr:to>
      <xdr:col>1</xdr:col>
      <xdr:colOff>180975</xdr:colOff>
      <xdr:row>267</xdr:row>
      <xdr:rowOff>133350</xdr:rowOff>
    </xdr:to>
    <xdr:pic>
      <xdr:nvPicPr>
        <xdr:cNvPr id="119" name="Obrázek 118" descr="https://files.eliteprospects.com/layout/flags_s/8.png">
          <a:extLst>
            <a:ext uri="{FF2B5EF4-FFF2-40B4-BE49-F238E27FC236}">
              <a16:creationId xmlns:a16="http://schemas.microsoft.com/office/drawing/2014/main" id="{00000000-0008-0000-15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05123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26</xdr:row>
      <xdr:rowOff>0</xdr:rowOff>
    </xdr:from>
    <xdr:to>
      <xdr:col>19</xdr:col>
      <xdr:colOff>304800</xdr:colOff>
      <xdr:row>27</xdr:row>
      <xdr:rowOff>82550</xdr:rowOff>
    </xdr:to>
    <xdr:sp macro="" textlink="">
      <xdr:nvSpPr>
        <xdr:cNvPr id="54273" name="AutoShape 1" descr=" Zavřít">
          <a:hlinkClick xmlns:r="http://schemas.openxmlformats.org/officeDocument/2006/relationships" r:id="rId11"/>
          <a:extLst>
            <a:ext uri="{FF2B5EF4-FFF2-40B4-BE49-F238E27FC236}">
              <a16:creationId xmlns:a16="http://schemas.microsoft.com/office/drawing/2014/main" id="{00000000-0008-0000-1500-000001D40000}"/>
            </a:ext>
          </a:extLst>
        </xdr:cNvPr>
        <xdr:cNvSpPr>
          <a:spLocks noChangeAspect="1" noChangeArrowheads="1"/>
        </xdr:cNvSpPr>
      </xdr:nvSpPr>
      <xdr:spPr bwMode="auto">
        <a:xfrm>
          <a:off x="162020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27</xdr:row>
      <xdr:rowOff>0</xdr:rowOff>
    </xdr:from>
    <xdr:to>
      <xdr:col>19</xdr:col>
      <xdr:colOff>304800</xdr:colOff>
      <xdr:row>27</xdr:row>
      <xdr:rowOff>304800</xdr:rowOff>
    </xdr:to>
    <xdr:sp macro="" textlink="">
      <xdr:nvSpPr>
        <xdr:cNvPr id="54274" name="AutoShape 2" descr="Obsah nápovědy">
          <a:hlinkClick xmlns:r="http://schemas.openxmlformats.org/officeDocument/2006/relationships" r:id="rId11"/>
          <a:extLst>
            <a:ext uri="{FF2B5EF4-FFF2-40B4-BE49-F238E27FC236}">
              <a16:creationId xmlns:a16="http://schemas.microsoft.com/office/drawing/2014/main" id="{00000000-0008-0000-1500-000002D40000}"/>
            </a:ext>
          </a:extLst>
        </xdr:cNvPr>
        <xdr:cNvSpPr>
          <a:spLocks noChangeAspect="1" noChangeArrowheads="1"/>
        </xdr:cNvSpPr>
      </xdr:nvSpPr>
      <xdr:spPr bwMode="auto">
        <a:xfrm>
          <a:off x="16202025" y="9696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79</xdr:row>
      <xdr:rowOff>0</xdr:rowOff>
    </xdr:from>
    <xdr:to>
      <xdr:col>2</xdr:col>
      <xdr:colOff>180975</xdr:colOff>
      <xdr:row>79</xdr:row>
      <xdr:rowOff>133350</xdr:rowOff>
    </xdr:to>
    <xdr:pic>
      <xdr:nvPicPr>
        <xdr:cNvPr id="130" name="Obrázek 129" descr="https://files.eliteprospects.com/layout/flags_s/8.png">
          <a:extLst>
            <a:ext uri="{FF2B5EF4-FFF2-40B4-BE49-F238E27FC236}">
              <a16:creationId xmlns:a16="http://schemas.microsoft.com/office/drawing/2014/main" id="{00000000-0008-0000-1500-00008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195453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80</xdr:row>
      <xdr:rowOff>0</xdr:rowOff>
    </xdr:from>
    <xdr:to>
      <xdr:col>2</xdr:col>
      <xdr:colOff>180975</xdr:colOff>
      <xdr:row>80</xdr:row>
      <xdr:rowOff>133350</xdr:rowOff>
    </xdr:to>
    <xdr:pic>
      <xdr:nvPicPr>
        <xdr:cNvPr id="131" name="Obrázek 130" descr="https://files.eliteprospects.com/layout/flags_s/8.png">
          <a:extLst>
            <a:ext uri="{FF2B5EF4-FFF2-40B4-BE49-F238E27FC236}">
              <a16:creationId xmlns:a16="http://schemas.microsoft.com/office/drawing/2014/main" id="{00000000-0008-0000-1500-00008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199358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81</xdr:row>
      <xdr:rowOff>0</xdr:rowOff>
    </xdr:from>
    <xdr:to>
      <xdr:col>2</xdr:col>
      <xdr:colOff>180975</xdr:colOff>
      <xdr:row>81</xdr:row>
      <xdr:rowOff>133350</xdr:rowOff>
    </xdr:to>
    <xdr:pic>
      <xdr:nvPicPr>
        <xdr:cNvPr id="132" name="Obrázek 131" descr="https://files.eliteprospects.com/layout/flags_s/8.png">
          <a:extLst>
            <a:ext uri="{FF2B5EF4-FFF2-40B4-BE49-F238E27FC236}">
              <a16:creationId xmlns:a16="http://schemas.microsoft.com/office/drawing/2014/main" id="{00000000-0008-0000-1500-00008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03168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82</xdr:row>
      <xdr:rowOff>0</xdr:rowOff>
    </xdr:from>
    <xdr:to>
      <xdr:col>2</xdr:col>
      <xdr:colOff>180975</xdr:colOff>
      <xdr:row>82</xdr:row>
      <xdr:rowOff>133350</xdr:rowOff>
    </xdr:to>
    <xdr:pic>
      <xdr:nvPicPr>
        <xdr:cNvPr id="133" name="Obrázek 132" descr="https://files.eliteprospects.com/layout/flags_s/8.png">
          <a:extLst>
            <a:ext uri="{FF2B5EF4-FFF2-40B4-BE49-F238E27FC236}">
              <a16:creationId xmlns:a16="http://schemas.microsoft.com/office/drawing/2014/main" id="{00000000-0008-0000-1500-00008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05168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83</xdr:row>
      <xdr:rowOff>0</xdr:rowOff>
    </xdr:from>
    <xdr:to>
      <xdr:col>2</xdr:col>
      <xdr:colOff>180975</xdr:colOff>
      <xdr:row>83</xdr:row>
      <xdr:rowOff>133350</xdr:rowOff>
    </xdr:to>
    <xdr:pic>
      <xdr:nvPicPr>
        <xdr:cNvPr id="134" name="Obrázek 133" descr="https://files.eliteprospects.com/layout/flags_s/8.png">
          <a:extLst>
            <a:ext uri="{FF2B5EF4-FFF2-40B4-BE49-F238E27FC236}">
              <a16:creationId xmlns:a16="http://schemas.microsoft.com/office/drawing/2014/main" id="{00000000-0008-0000-1500-00008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08978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84</xdr:row>
      <xdr:rowOff>0</xdr:rowOff>
    </xdr:from>
    <xdr:to>
      <xdr:col>2</xdr:col>
      <xdr:colOff>180975</xdr:colOff>
      <xdr:row>84</xdr:row>
      <xdr:rowOff>133350</xdr:rowOff>
    </xdr:to>
    <xdr:pic>
      <xdr:nvPicPr>
        <xdr:cNvPr id="135" name="Obrázek 134" descr="https://files.eliteprospects.com/layout/flags_s/8.png">
          <a:extLst>
            <a:ext uri="{FF2B5EF4-FFF2-40B4-BE49-F238E27FC236}">
              <a16:creationId xmlns:a16="http://schemas.microsoft.com/office/drawing/2014/main" id="{00000000-0008-0000-1500-00008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10978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85</xdr:row>
      <xdr:rowOff>0</xdr:rowOff>
    </xdr:from>
    <xdr:to>
      <xdr:col>2</xdr:col>
      <xdr:colOff>180975</xdr:colOff>
      <xdr:row>85</xdr:row>
      <xdr:rowOff>133350</xdr:rowOff>
    </xdr:to>
    <xdr:pic>
      <xdr:nvPicPr>
        <xdr:cNvPr id="136" name="Obrázek 135" descr="https://files.eliteprospects.com/layout/flags_s/8.png">
          <a:extLst>
            <a:ext uri="{FF2B5EF4-FFF2-40B4-BE49-F238E27FC236}">
              <a16:creationId xmlns:a16="http://schemas.microsoft.com/office/drawing/2014/main" id="{00000000-0008-0000-1500-00008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1288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86</xdr:row>
      <xdr:rowOff>0</xdr:rowOff>
    </xdr:from>
    <xdr:to>
      <xdr:col>2</xdr:col>
      <xdr:colOff>180975</xdr:colOff>
      <xdr:row>86</xdr:row>
      <xdr:rowOff>133350</xdr:rowOff>
    </xdr:to>
    <xdr:pic>
      <xdr:nvPicPr>
        <xdr:cNvPr id="137" name="Obrázek 136" descr="https://files.eliteprospects.com/layout/flags_s/8.png">
          <a:extLst>
            <a:ext uri="{FF2B5EF4-FFF2-40B4-BE49-F238E27FC236}">
              <a16:creationId xmlns:a16="http://schemas.microsoft.com/office/drawing/2014/main" id="{00000000-0008-0000-1500-00008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14884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90</xdr:row>
      <xdr:rowOff>0</xdr:rowOff>
    </xdr:from>
    <xdr:to>
      <xdr:col>2</xdr:col>
      <xdr:colOff>180975</xdr:colOff>
      <xdr:row>90</xdr:row>
      <xdr:rowOff>133350</xdr:rowOff>
    </xdr:to>
    <xdr:pic>
      <xdr:nvPicPr>
        <xdr:cNvPr id="138" name="Obrázek 137" descr="https://files.eliteprospects.com/layout/flags_s/8.png">
          <a:extLst>
            <a:ext uri="{FF2B5EF4-FFF2-40B4-BE49-F238E27FC236}">
              <a16:creationId xmlns:a16="http://schemas.microsoft.com/office/drawing/2014/main" id="{00000000-0008-0000-1500-00008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22789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91</xdr:row>
      <xdr:rowOff>0</xdr:rowOff>
    </xdr:from>
    <xdr:to>
      <xdr:col>2</xdr:col>
      <xdr:colOff>180975</xdr:colOff>
      <xdr:row>91</xdr:row>
      <xdr:rowOff>133350</xdr:rowOff>
    </xdr:to>
    <xdr:pic>
      <xdr:nvPicPr>
        <xdr:cNvPr id="139" name="Obrázek 138" descr="https://files.eliteprospects.com/layout/flags_s/8.png">
          <a:extLst>
            <a:ext uri="{FF2B5EF4-FFF2-40B4-BE49-F238E27FC236}">
              <a16:creationId xmlns:a16="http://schemas.microsoft.com/office/drawing/2014/main" id="{00000000-0008-0000-1500-00008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26599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92</xdr:row>
      <xdr:rowOff>0</xdr:rowOff>
    </xdr:from>
    <xdr:to>
      <xdr:col>2</xdr:col>
      <xdr:colOff>180975</xdr:colOff>
      <xdr:row>92</xdr:row>
      <xdr:rowOff>133350</xdr:rowOff>
    </xdr:to>
    <xdr:pic>
      <xdr:nvPicPr>
        <xdr:cNvPr id="140" name="Obrázek 139" descr="https://files.eliteprospects.com/layout/flags_s/8.png">
          <a:extLst>
            <a:ext uri="{FF2B5EF4-FFF2-40B4-BE49-F238E27FC236}">
              <a16:creationId xmlns:a16="http://schemas.microsoft.com/office/drawing/2014/main" id="{00000000-0008-0000-1500-00008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28600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93</xdr:row>
      <xdr:rowOff>0</xdr:rowOff>
    </xdr:from>
    <xdr:to>
      <xdr:col>2</xdr:col>
      <xdr:colOff>180975</xdr:colOff>
      <xdr:row>93</xdr:row>
      <xdr:rowOff>133350</xdr:rowOff>
    </xdr:to>
    <xdr:pic>
      <xdr:nvPicPr>
        <xdr:cNvPr id="141" name="Obrázek 140" descr="https://files.eliteprospects.com/layout/flags_s/31.png">
          <a:extLst>
            <a:ext uri="{FF2B5EF4-FFF2-40B4-BE49-F238E27FC236}">
              <a16:creationId xmlns:a16="http://schemas.microsoft.com/office/drawing/2014/main" id="{00000000-0008-0000-1500-00008D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019425" y="232410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94</xdr:row>
      <xdr:rowOff>0</xdr:rowOff>
    </xdr:from>
    <xdr:to>
      <xdr:col>2</xdr:col>
      <xdr:colOff>180975</xdr:colOff>
      <xdr:row>94</xdr:row>
      <xdr:rowOff>133350</xdr:rowOff>
    </xdr:to>
    <xdr:pic>
      <xdr:nvPicPr>
        <xdr:cNvPr id="142" name="Obrázek 141" descr="https://files.eliteprospects.com/layout/flags_s/8.png">
          <a:extLst>
            <a:ext uri="{FF2B5EF4-FFF2-40B4-BE49-F238E27FC236}">
              <a16:creationId xmlns:a16="http://schemas.microsoft.com/office/drawing/2014/main" id="{00000000-0008-0000-1500-00008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36315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95</xdr:row>
      <xdr:rowOff>0</xdr:rowOff>
    </xdr:from>
    <xdr:to>
      <xdr:col>2</xdr:col>
      <xdr:colOff>180975</xdr:colOff>
      <xdr:row>95</xdr:row>
      <xdr:rowOff>133350</xdr:rowOff>
    </xdr:to>
    <xdr:pic>
      <xdr:nvPicPr>
        <xdr:cNvPr id="143" name="Obrázek 142" descr="https://files.eliteprospects.com/layout/flags_s/8.png">
          <a:extLst>
            <a:ext uri="{FF2B5EF4-FFF2-40B4-BE49-F238E27FC236}">
              <a16:creationId xmlns:a16="http://schemas.microsoft.com/office/drawing/2014/main" id="{00000000-0008-0000-1500-00008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40125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96</xdr:row>
      <xdr:rowOff>0</xdr:rowOff>
    </xdr:from>
    <xdr:to>
      <xdr:col>2</xdr:col>
      <xdr:colOff>180975</xdr:colOff>
      <xdr:row>96</xdr:row>
      <xdr:rowOff>133350</xdr:rowOff>
    </xdr:to>
    <xdr:pic>
      <xdr:nvPicPr>
        <xdr:cNvPr id="144" name="Obrázek 143" descr="https://files.eliteprospects.com/layout/flags_s/8.png">
          <a:extLst>
            <a:ext uri="{FF2B5EF4-FFF2-40B4-BE49-F238E27FC236}">
              <a16:creationId xmlns:a16="http://schemas.microsoft.com/office/drawing/2014/main" id="{00000000-0008-0000-1500-00009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42601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97</xdr:row>
      <xdr:rowOff>0</xdr:rowOff>
    </xdr:from>
    <xdr:to>
      <xdr:col>2</xdr:col>
      <xdr:colOff>180975</xdr:colOff>
      <xdr:row>97</xdr:row>
      <xdr:rowOff>133350</xdr:rowOff>
    </xdr:to>
    <xdr:pic>
      <xdr:nvPicPr>
        <xdr:cNvPr id="145" name="Obrázek 144" descr="https://files.eliteprospects.com/layout/flags_s/31.png">
          <a:extLst>
            <a:ext uri="{FF2B5EF4-FFF2-40B4-BE49-F238E27FC236}">
              <a16:creationId xmlns:a16="http://schemas.microsoft.com/office/drawing/2014/main" id="{00000000-0008-0000-1500-00009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019425" y="246411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98</xdr:row>
      <xdr:rowOff>0</xdr:rowOff>
    </xdr:from>
    <xdr:to>
      <xdr:col>2</xdr:col>
      <xdr:colOff>180975</xdr:colOff>
      <xdr:row>98</xdr:row>
      <xdr:rowOff>133350</xdr:rowOff>
    </xdr:to>
    <xdr:pic>
      <xdr:nvPicPr>
        <xdr:cNvPr id="146" name="Obrázek 145" descr="https://files.eliteprospects.com/layout/flags_s/8.png">
          <a:extLst>
            <a:ext uri="{FF2B5EF4-FFF2-40B4-BE49-F238E27FC236}">
              <a16:creationId xmlns:a16="http://schemas.microsoft.com/office/drawing/2014/main" id="{00000000-0008-0000-1500-00009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50221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99</xdr:row>
      <xdr:rowOff>0</xdr:rowOff>
    </xdr:from>
    <xdr:to>
      <xdr:col>2</xdr:col>
      <xdr:colOff>180975</xdr:colOff>
      <xdr:row>99</xdr:row>
      <xdr:rowOff>133350</xdr:rowOff>
    </xdr:to>
    <xdr:pic>
      <xdr:nvPicPr>
        <xdr:cNvPr id="147" name="Obrázek 146" descr="https://files.eliteprospects.com/layout/flags_s/8.png">
          <a:extLst>
            <a:ext uri="{FF2B5EF4-FFF2-40B4-BE49-F238E27FC236}">
              <a16:creationId xmlns:a16="http://schemas.microsoft.com/office/drawing/2014/main" id="{00000000-0008-0000-1500-00009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52126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100</xdr:row>
      <xdr:rowOff>0</xdr:rowOff>
    </xdr:from>
    <xdr:to>
      <xdr:col>2</xdr:col>
      <xdr:colOff>180975</xdr:colOff>
      <xdr:row>100</xdr:row>
      <xdr:rowOff>133350</xdr:rowOff>
    </xdr:to>
    <xdr:pic>
      <xdr:nvPicPr>
        <xdr:cNvPr id="148" name="Obrázek 147" descr="https://files.eliteprospects.com/layout/flags_s/8.png">
          <a:extLst>
            <a:ext uri="{FF2B5EF4-FFF2-40B4-BE49-F238E27FC236}">
              <a16:creationId xmlns:a16="http://schemas.microsoft.com/office/drawing/2014/main" id="{00000000-0008-0000-1500-00009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54127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104</xdr:row>
      <xdr:rowOff>0</xdr:rowOff>
    </xdr:from>
    <xdr:to>
      <xdr:col>2</xdr:col>
      <xdr:colOff>180975</xdr:colOff>
      <xdr:row>104</xdr:row>
      <xdr:rowOff>133350</xdr:rowOff>
    </xdr:to>
    <xdr:pic>
      <xdr:nvPicPr>
        <xdr:cNvPr id="149" name="Obrázek 148" descr="https://files.eliteprospects.com/layout/flags_s/8.png">
          <a:extLst>
            <a:ext uri="{FF2B5EF4-FFF2-40B4-BE49-F238E27FC236}">
              <a16:creationId xmlns:a16="http://schemas.microsoft.com/office/drawing/2014/main" id="{00000000-0008-0000-1500-00009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62032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105</xdr:row>
      <xdr:rowOff>0</xdr:rowOff>
    </xdr:from>
    <xdr:to>
      <xdr:col>2</xdr:col>
      <xdr:colOff>180975</xdr:colOff>
      <xdr:row>105</xdr:row>
      <xdr:rowOff>133350</xdr:rowOff>
    </xdr:to>
    <xdr:pic>
      <xdr:nvPicPr>
        <xdr:cNvPr id="150" name="Obrázek 149" descr="https://files.eliteprospects.com/layout/flags_s/8.png">
          <a:extLst>
            <a:ext uri="{FF2B5EF4-FFF2-40B4-BE49-F238E27FC236}">
              <a16:creationId xmlns:a16="http://schemas.microsoft.com/office/drawing/2014/main" id="{00000000-0008-0000-1500-00009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65842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106</xdr:row>
      <xdr:rowOff>0</xdr:rowOff>
    </xdr:from>
    <xdr:to>
      <xdr:col>2</xdr:col>
      <xdr:colOff>180975</xdr:colOff>
      <xdr:row>106</xdr:row>
      <xdr:rowOff>133350</xdr:rowOff>
    </xdr:to>
    <xdr:pic>
      <xdr:nvPicPr>
        <xdr:cNvPr id="151" name="Obrázek 150" descr="https://files.eliteprospects.com/layout/flags_s/8.png">
          <a:extLst>
            <a:ext uri="{FF2B5EF4-FFF2-40B4-BE49-F238E27FC236}">
              <a16:creationId xmlns:a16="http://schemas.microsoft.com/office/drawing/2014/main" id="{00000000-0008-0000-1500-00009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67843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107</xdr:row>
      <xdr:rowOff>0</xdr:rowOff>
    </xdr:from>
    <xdr:to>
      <xdr:col>2</xdr:col>
      <xdr:colOff>180975</xdr:colOff>
      <xdr:row>107</xdr:row>
      <xdr:rowOff>133350</xdr:rowOff>
    </xdr:to>
    <xdr:pic>
      <xdr:nvPicPr>
        <xdr:cNvPr id="152" name="Obrázek 151" descr="https://files.eliteprospects.com/layout/flags_s/8.png">
          <a:extLst>
            <a:ext uri="{FF2B5EF4-FFF2-40B4-BE49-F238E27FC236}">
              <a16:creationId xmlns:a16="http://schemas.microsoft.com/office/drawing/2014/main" id="{00000000-0008-0000-1500-00009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716530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108</xdr:row>
      <xdr:rowOff>0</xdr:rowOff>
    </xdr:from>
    <xdr:to>
      <xdr:col>2</xdr:col>
      <xdr:colOff>180975</xdr:colOff>
      <xdr:row>108</xdr:row>
      <xdr:rowOff>133350</xdr:rowOff>
    </xdr:to>
    <xdr:pic>
      <xdr:nvPicPr>
        <xdr:cNvPr id="153" name="Obrázek 152" descr="https://files.eliteprospects.com/layout/flags_s/31.png">
          <a:extLst>
            <a:ext uri="{FF2B5EF4-FFF2-40B4-BE49-F238E27FC236}">
              <a16:creationId xmlns:a16="http://schemas.microsoft.com/office/drawing/2014/main" id="{00000000-0008-0000-1500-00009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019425" y="273653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109</xdr:row>
      <xdr:rowOff>0</xdr:rowOff>
    </xdr:from>
    <xdr:to>
      <xdr:col>2</xdr:col>
      <xdr:colOff>180975</xdr:colOff>
      <xdr:row>109</xdr:row>
      <xdr:rowOff>133350</xdr:rowOff>
    </xdr:to>
    <xdr:pic>
      <xdr:nvPicPr>
        <xdr:cNvPr id="154" name="Obrázek 153" descr="https://files.eliteprospects.com/layout/flags_s/8.png">
          <a:extLst>
            <a:ext uri="{FF2B5EF4-FFF2-40B4-BE49-F238E27FC236}">
              <a16:creationId xmlns:a16="http://schemas.microsoft.com/office/drawing/2014/main" id="{00000000-0008-0000-1500-00009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77463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110</xdr:row>
      <xdr:rowOff>0</xdr:rowOff>
    </xdr:from>
    <xdr:to>
      <xdr:col>2</xdr:col>
      <xdr:colOff>180975</xdr:colOff>
      <xdr:row>110</xdr:row>
      <xdr:rowOff>133350</xdr:rowOff>
    </xdr:to>
    <xdr:pic>
      <xdr:nvPicPr>
        <xdr:cNvPr id="155" name="Obrázek 154" descr="https://files.eliteprospects.com/layout/flags_s/8.png">
          <a:extLst>
            <a:ext uri="{FF2B5EF4-FFF2-40B4-BE49-F238E27FC236}">
              <a16:creationId xmlns:a16="http://schemas.microsoft.com/office/drawing/2014/main" id="{00000000-0008-0000-1500-00009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81368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111</xdr:row>
      <xdr:rowOff>0</xdr:rowOff>
    </xdr:from>
    <xdr:to>
      <xdr:col>2</xdr:col>
      <xdr:colOff>180975</xdr:colOff>
      <xdr:row>111</xdr:row>
      <xdr:rowOff>133350</xdr:rowOff>
    </xdr:to>
    <xdr:pic>
      <xdr:nvPicPr>
        <xdr:cNvPr id="156" name="Obrázek 155" descr="https://files.eliteprospects.com/layout/flags_s/8.png">
          <a:extLst>
            <a:ext uri="{FF2B5EF4-FFF2-40B4-BE49-F238E27FC236}">
              <a16:creationId xmlns:a16="http://schemas.microsoft.com/office/drawing/2014/main" id="{00000000-0008-0000-1500-00009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83273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112</xdr:row>
      <xdr:rowOff>0</xdr:rowOff>
    </xdr:from>
    <xdr:to>
      <xdr:col>2</xdr:col>
      <xdr:colOff>180975</xdr:colOff>
      <xdr:row>112</xdr:row>
      <xdr:rowOff>133350</xdr:rowOff>
    </xdr:to>
    <xdr:pic>
      <xdr:nvPicPr>
        <xdr:cNvPr id="157" name="Obrázek 156" descr="https://files.eliteprospects.com/layout/flags_s/8.png">
          <a:extLst>
            <a:ext uri="{FF2B5EF4-FFF2-40B4-BE49-F238E27FC236}">
              <a16:creationId xmlns:a16="http://schemas.microsoft.com/office/drawing/2014/main" id="{00000000-0008-0000-1500-00009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85273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116</xdr:row>
      <xdr:rowOff>0</xdr:rowOff>
    </xdr:from>
    <xdr:to>
      <xdr:col>2</xdr:col>
      <xdr:colOff>180975</xdr:colOff>
      <xdr:row>116</xdr:row>
      <xdr:rowOff>133350</xdr:rowOff>
    </xdr:to>
    <xdr:pic>
      <xdr:nvPicPr>
        <xdr:cNvPr id="158" name="Obrázek 157" descr="https://files.eliteprospects.com/layout/flags_s/8.png">
          <a:extLst>
            <a:ext uri="{FF2B5EF4-FFF2-40B4-BE49-F238E27FC236}">
              <a16:creationId xmlns:a16="http://schemas.microsoft.com/office/drawing/2014/main" id="{00000000-0008-0000-1500-00009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93179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117</xdr:row>
      <xdr:rowOff>0</xdr:rowOff>
    </xdr:from>
    <xdr:to>
      <xdr:col>2</xdr:col>
      <xdr:colOff>180975</xdr:colOff>
      <xdr:row>117</xdr:row>
      <xdr:rowOff>133350</xdr:rowOff>
    </xdr:to>
    <xdr:pic>
      <xdr:nvPicPr>
        <xdr:cNvPr id="159" name="Obrázek 158" descr="https://files.eliteprospects.com/layout/flags_s/6.png">
          <a:extLst>
            <a:ext uri="{FF2B5EF4-FFF2-40B4-BE49-F238E27FC236}">
              <a16:creationId xmlns:a16="http://schemas.microsoft.com/office/drawing/2014/main" id="{00000000-0008-0000-1500-00009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19425" y="296989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118</xdr:row>
      <xdr:rowOff>0</xdr:rowOff>
    </xdr:from>
    <xdr:to>
      <xdr:col>2</xdr:col>
      <xdr:colOff>180975</xdr:colOff>
      <xdr:row>118</xdr:row>
      <xdr:rowOff>133350</xdr:rowOff>
    </xdr:to>
    <xdr:pic>
      <xdr:nvPicPr>
        <xdr:cNvPr id="160" name="Obrázek 159" descr="https://files.eliteprospects.com/layout/flags_s/8.png">
          <a:extLst>
            <a:ext uri="{FF2B5EF4-FFF2-40B4-BE49-F238E27FC236}">
              <a16:creationId xmlns:a16="http://schemas.microsoft.com/office/drawing/2014/main" id="{00000000-0008-0000-1500-0000A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298894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119</xdr:row>
      <xdr:rowOff>0</xdr:rowOff>
    </xdr:from>
    <xdr:to>
      <xdr:col>2</xdr:col>
      <xdr:colOff>180975</xdr:colOff>
      <xdr:row>119</xdr:row>
      <xdr:rowOff>133350</xdr:rowOff>
    </xdr:to>
    <xdr:pic>
      <xdr:nvPicPr>
        <xdr:cNvPr id="161" name="Obrázek 160" descr="https://files.eliteprospects.com/layout/flags_s/8.png">
          <a:extLst>
            <a:ext uri="{FF2B5EF4-FFF2-40B4-BE49-F238E27FC236}">
              <a16:creationId xmlns:a16="http://schemas.microsoft.com/office/drawing/2014/main" id="{00000000-0008-0000-1500-0000A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301085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120</xdr:row>
      <xdr:rowOff>0</xdr:rowOff>
    </xdr:from>
    <xdr:to>
      <xdr:col>2</xdr:col>
      <xdr:colOff>180975</xdr:colOff>
      <xdr:row>120</xdr:row>
      <xdr:rowOff>133350</xdr:rowOff>
    </xdr:to>
    <xdr:pic>
      <xdr:nvPicPr>
        <xdr:cNvPr id="162" name="Obrázek 161" descr="https://files.eliteprospects.com/layout/flags_s/8.png">
          <a:extLst>
            <a:ext uri="{FF2B5EF4-FFF2-40B4-BE49-F238E27FC236}">
              <a16:creationId xmlns:a16="http://schemas.microsoft.com/office/drawing/2014/main" id="{00000000-0008-0000-1500-0000A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302990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121</xdr:row>
      <xdr:rowOff>0</xdr:rowOff>
    </xdr:from>
    <xdr:to>
      <xdr:col>2</xdr:col>
      <xdr:colOff>180975</xdr:colOff>
      <xdr:row>121</xdr:row>
      <xdr:rowOff>133350</xdr:rowOff>
    </xdr:to>
    <xdr:pic>
      <xdr:nvPicPr>
        <xdr:cNvPr id="163" name="Obrázek 162" descr="https://files.eliteprospects.com/layout/flags_s/8.png">
          <a:extLst>
            <a:ext uri="{FF2B5EF4-FFF2-40B4-BE49-F238E27FC236}">
              <a16:creationId xmlns:a16="http://schemas.microsoft.com/office/drawing/2014/main" id="{00000000-0008-0000-1500-0000A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306800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125</xdr:row>
      <xdr:rowOff>0</xdr:rowOff>
    </xdr:from>
    <xdr:to>
      <xdr:col>2</xdr:col>
      <xdr:colOff>180975</xdr:colOff>
      <xdr:row>125</xdr:row>
      <xdr:rowOff>133350</xdr:rowOff>
    </xdr:to>
    <xdr:pic>
      <xdr:nvPicPr>
        <xdr:cNvPr id="164" name="Obrázek 163" descr="https://files.eliteprospects.com/layout/flags_s/8.png">
          <a:extLst>
            <a:ext uri="{FF2B5EF4-FFF2-40B4-BE49-F238E27FC236}">
              <a16:creationId xmlns:a16="http://schemas.microsoft.com/office/drawing/2014/main" id="{00000000-0008-0000-1500-0000A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314515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126</xdr:row>
      <xdr:rowOff>0</xdr:rowOff>
    </xdr:from>
    <xdr:to>
      <xdr:col>2</xdr:col>
      <xdr:colOff>180975</xdr:colOff>
      <xdr:row>126</xdr:row>
      <xdr:rowOff>133350</xdr:rowOff>
    </xdr:to>
    <xdr:pic>
      <xdr:nvPicPr>
        <xdr:cNvPr id="165" name="Obrázek 164" descr="https://files.eliteprospects.com/layout/flags_s/8.png">
          <a:extLst>
            <a:ext uri="{FF2B5EF4-FFF2-40B4-BE49-F238E27FC236}">
              <a16:creationId xmlns:a16="http://schemas.microsoft.com/office/drawing/2014/main" id="{00000000-0008-0000-1500-0000A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318325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127</xdr:row>
      <xdr:rowOff>0</xdr:rowOff>
    </xdr:from>
    <xdr:to>
      <xdr:col>2</xdr:col>
      <xdr:colOff>180975</xdr:colOff>
      <xdr:row>127</xdr:row>
      <xdr:rowOff>133350</xdr:rowOff>
    </xdr:to>
    <xdr:pic>
      <xdr:nvPicPr>
        <xdr:cNvPr id="166" name="Obrázek 165" descr="https://files.eliteprospects.com/layout/flags_s/31.png">
          <a:extLst>
            <a:ext uri="{FF2B5EF4-FFF2-40B4-BE49-F238E27FC236}">
              <a16:creationId xmlns:a16="http://schemas.microsoft.com/office/drawing/2014/main" id="{00000000-0008-0000-1500-0000A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019425" y="322135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128</xdr:row>
      <xdr:rowOff>0</xdr:rowOff>
    </xdr:from>
    <xdr:to>
      <xdr:col>2</xdr:col>
      <xdr:colOff>180975</xdr:colOff>
      <xdr:row>128</xdr:row>
      <xdr:rowOff>133350</xdr:rowOff>
    </xdr:to>
    <xdr:pic>
      <xdr:nvPicPr>
        <xdr:cNvPr id="167" name="Obrázek 166" descr="https://files.eliteprospects.com/layout/flags_s/8.png">
          <a:extLst>
            <a:ext uri="{FF2B5EF4-FFF2-40B4-BE49-F238E27FC236}">
              <a16:creationId xmlns:a16="http://schemas.microsoft.com/office/drawing/2014/main" id="{00000000-0008-0000-1500-0000A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325945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129</xdr:row>
      <xdr:rowOff>0</xdr:rowOff>
    </xdr:from>
    <xdr:to>
      <xdr:col>2</xdr:col>
      <xdr:colOff>180975</xdr:colOff>
      <xdr:row>129</xdr:row>
      <xdr:rowOff>133350</xdr:rowOff>
    </xdr:to>
    <xdr:pic>
      <xdr:nvPicPr>
        <xdr:cNvPr id="168" name="Obrázek 167" descr="https://files.eliteprospects.com/layout/flags_s/8.png">
          <a:extLst>
            <a:ext uri="{FF2B5EF4-FFF2-40B4-BE49-F238E27FC236}">
              <a16:creationId xmlns:a16="http://schemas.microsoft.com/office/drawing/2014/main" id="{00000000-0008-0000-1500-0000A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329755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130</xdr:row>
      <xdr:rowOff>0</xdr:rowOff>
    </xdr:from>
    <xdr:to>
      <xdr:col>2</xdr:col>
      <xdr:colOff>180975</xdr:colOff>
      <xdr:row>130</xdr:row>
      <xdr:rowOff>133350</xdr:rowOff>
    </xdr:to>
    <xdr:pic>
      <xdr:nvPicPr>
        <xdr:cNvPr id="169" name="Obrázek 168" descr="https://files.eliteprospects.com/layout/flags_s/8.png">
          <a:extLst>
            <a:ext uri="{FF2B5EF4-FFF2-40B4-BE49-F238E27FC236}">
              <a16:creationId xmlns:a16="http://schemas.microsoft.com/office/drawing/2014/main" id="{00000000-0008-0000-1500-0000A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331660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131</xdr:row>
      <xdr:rowOff>0</xdr:rowOff>
    </xdr:from>
    <xdr:to>
      <xdr:col>2</xdr:col>
      <xdr:colOff>180975</xdr:colOff>
      <xdr:row>131</xdr:row>
      <xdr:rowOff>133350</xdr:rowOff>
    </xdr:to>
    <xdr:pic>
      <xdr:nvPicPr>
        <xdr:cNvPr id="170" name="Obrázek 169" descr="https://files.eliteprospects.com/layout/flags_s/31.png">
          <a:extLst>
            <a:ext uri="{FF2B5EF4-FFF2-40B4-BE49-F238E27FC236}">
              <a16:creationId xmlns:a16="http://schemas.microsoft.com/office/drawing/2014/main" id="{00000000-0008-0000-1500-0000A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019425" y="335470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132</xdr:row>
      <xdr:rowOff>0</xdr:rowOff>
    </xdr:from>
    <xdr:to>
      <xdr:col>2</xdr:col>
      <xdr:colOff>180975</xdr:colOff>
      <xdr:row>132</xdr:row>
      <xdr:rowOff>133350</xdr:rowOff>
    </xdr:to>
    <xdr:pic>
      <xdr:nvPicPr>
        <xdr:cNvPr id="171" name="Obrázek 170" descr="https://files.eliteprospects.com/layout/flags_s/8.png">
          <a:extLst>
            <a:ext uri="{FF2B5EF4-FFF2-40B4-BE49-F238E27FC236}">
              <a16:creationId xmlns:a16="http://schemas.microsoft.com/office/drawing/2014/main" id="{00000000-0008-0000-1500-0000A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339280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133</xdr:row>
      <xdr:rowOff>0</xdr:rowOff>
    </xdr:from>
    <xdr:to>
      <xdr:col>2</xdr:col>
      <xdr:colOff>180975</xdr:colOff>
      <xdr:row>133</xdr:row>
      <xdr:rowOff>133350</xdr:rowOff>
    </xdr:to>
    <xdr:pic>
      <xdr:nvPicPr>
        <xdr:cNvPr id="172" name="Obrázek 171" descr="https://files.eliteprospects.com/layout/flags_s/8.png">
          <a:extLst>
            <a:ext uri="{FF2B5EF4-FFF2-40B4-BE49-F238E27FC236}">
              <a16:creationId xmlns:a16="http://schemas.microsoft.com/office/drawing/2014/main" id="{00000000-0008-0000-1500-0000A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341185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137</xdr:row>
      <xdr:rowOff>0</xdr:rowOff>
    </xdr:from>
    <xdr:to>
      <xdr:col>2</xdr:col>
      <xdr:colOff>180975</xdr:colOff>
      <xdr:row>137</xdr:row>
      <xdr:rowOff>133350</xdr:rowOff>
    </xdr:to>
    <xdr:pic>
      <xdr:nvPicPr>
        <xdr:cNvPr id="173" name="Obrázek 172" descr="https://files.eliteprospects.com/layout/flags_s/8.png">
          <a:extLst>
            <a:ext uri="{FF2B5EF4-FFF2-40B4-BE49-F238E27FC236}">
              <a16:creationId xmlns:a16="http://schemas.microsoft.com/office/drawing/2014/main" id="{00000000-0008-0000-1500-0000A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324516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138</xdr:row>
      <xdr:rowOff>0</xdr:rowOff>
    </xdr:from>
    <xdr:to>
      <xdr:col>2</xdr:col>
      <xdr:colOff>180975</xdr:colOff>
      <xdr:row>138</xdr:row>
      <xdr:rowOff>133350</xdr:rowOff>
    </xdr:to>
    <xdr:pic>
      <xdr:nvPicPr>
        <xdr:cNvPr id="174" name="Obrázek 173" descr="https://files.eliteprospects.com/layout/flags_s/8.png">
          <a:extLst>
            <a:ext uri="{FF2B5EF4-FFF2-40B4-BE49-F238E27FC236}">
              <a16:creationId xmlns:a16="http://schemas.microsoft.com/office/drawing/2014/main" id="{00000000-0008-0000-1500-0000A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326421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139</xdr:row>
      <xdr:rowOff>0</xdr:rowOff>
    </xdr:from>
    <xdr:to>
      <xdr:col>2</xdr:col>
      <xdr:colOff>180975</xdr:colOff>
      <xdr:row>139</xdr:row>
      <xdr:rowOff>133350</xdr:rowOff>
    </xdr:to>
    <xdr:pic>
      <xdr:nvPicPr>
        <xdr:cNvPr id="175" name="Obrázek 174" descr="https://files.eliteprospects.com/layout/flags_s/8.png">
          <a:extLst>
            <a:ext uri="{FF2B5EF4-FFF2-40B4-BE49-F238E27FC236}">
              <a16:creationId xmlns:a16="http://schemas.microsoft.com/office/drawing/2014/main" id="{00000000-0008-0000-1500-0000A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328326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140</xdr:row>
      <xdr:rowOff>0</xdr:rowOff>
    </xdr:from>
    <xdr:to>
      <xdr:col>2</xdr:col>
      <xdr:colOff>180975</xdr:colOff>
      <xdr:row>140</xdr:row>
      <xdr:rowOff>133350</xdr:rowOff>
    </xdr:to>
    <xdr:pic>
      <xdr:nvPicPr>
        <xdr:cNvPr id="176" name="Obrázek 175" descr="https://files.eliteprospects.com/layout/flags_s/8.png">
          <a:extLst>
            <a:ext uri="{FF2B5EF4-FFF2-40B4-BE49-F238E27FC236}">
              <a16:creationId xmlns:a16="http://schemas.microsoft.com/office/drawing/2014/main" id="{00000000-0008-0000-1500-0000B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330231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141</xdr:row>
      <xdr:rowOff>0</xdr:rowOff>
    </xdr:from>
    <xdr:to>
      <xdr:col>2</xdr:col>
      <xdr:colOff>180975</xdr:colOff>
      <xdr:row>141</xdr:row>
      <xdr:rowOff>133350</xdr:rowOff>
    </xdr:to>
    <xdr:pic>
      <xdr:nvPicPr>
        <xdr:cNvPr id="177" name="Obrázek 176" descr="https://files.eliteprospects.com/layout/flags_s/8.png">
          <a:extLst>
            <a:ext uri="{FF2B5EF4-FFF2-40B4-BE49-F238E27FC236}">
              <a16:creationId xmlns:a16="http://schemas.microsoft.com/office/drawing/2014/main" id="{00000000-0008-0000-1500-0000B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334041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142</xdr:row>
      <xdr:rowOff>0</xdr:rowOff>
    </xdr:from>
    <xdr:to>
      <xdr:col>2</xdr:col>
      <xdr:colOff>180975</xdr:colOff>
      <xdr:row>142</xdr:row>
      <xdr:rowOff>133350</xdr:rowOff>
    </xdr:to>
    <xdr:pic>
      <xdr:nvPicPr>
        <xdr:cNvPr id="178" name="Obrázek 177" descr="https://files.eliteprospects.com/layout/flags_s/8.png">
          <a:extLst>
            <a:ext uri="{FF2B5EF4-FFF2-40B4-BE49-F238E27FC236}">
              <a16:creationId xmlns:a16="http://schemas.microsoft.com/office/drawing/2014/main" id="{00000000-0008-0000-1500-0000B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335946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143</xdr:row>
      <xdr:rowOff>0</xdr:rowOff>
    </xdr:from>
    <xdr:to>
      <xdr:col>2</xdr:col>
      <xdr:colOff>180975</xdr:colOff>
      <xdr:row>143</xdr:row>
      <xdr:rowOff>133350</xdr:rowOff>
    </xdr:to>
    <xdr:pic>
      <xdr:nvPicPr>
        <xdr:cNvPr id="179" name="Obrázek 178" descr="https://files.eliteprospects.com/layout/flags_s/8.png">
          <a:extLst>
            <a:ext uri="{FF2B5EF4-FFF2-40B4-BE49-F238E27FC236}">
              <a16:creationId xmlns:a16="http://schemas.microsoft.com/office/drawing/2014/main" id="{00000000-0008-0000-1500-0000B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9425" y="3378517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xdr:row>
      <xdr:rowOff>0</xdr:rowOff>
    </xdr:from>
    <xdr:to>
      <xdr:col>1</xdr:col>
      <xdr:colOff>180975</xdr:colOff>
      <xdr:row>148</xdr:row>
      <xdr:rowOff>133350</xdr:rowOff>
    </xdr:to>
    <xdr:pic>
      <xdr:nvPicPr>
        <xdr:cNvPr id="194" name="Obrázek 193" descr="https://files.eliteprospects.com/layout/flags_s/3.png">
          <a:extLst>
            <a:ext uri="{FF2B5EF4-FFF2-40B4-BE49-F238E27FC236}">
              <a16:creationId xmlns:a16="http://schemas.microsoft.com/office/drawing/2014/main" id="{00000000-0008-0000-1500-0000C2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344519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xdr:row>
      <xdr:rowOff>0</xdr:rowOff>
    </xdr:from>
    <xdr:to>
      <xdr:col>1</xdr:col>
      <xdr:colOff>180975</xdr:colOff>
      <xdr:row>148</xdr:row>
      <xdr:rowOff>133350</xdr:rowOff>
    </xdr:to>
    <xdr:pic>
      <xdr:nvPicPr>
        <xdr:cNvPr id="195" name="Obrázek 194" descr="https://files.eliteprospects.com/layout/flags_s/3.png">
          <a:extLst>
            <a:ext uri="{FF2B5EF4-FFF2-40B4-BE49-F238E27FC236}">
              <a16:creationId xmlns:a16="http://schemas.microsoft.com/office/drawing/2014/main" id="{00000000-0008-0000-1500-0000C3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346424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xdr:row>
      <xdr:rowOff>0</xdr:rowOff>
    </xdr:from>
    <xdr:to>
      <xdr:col>1</xdr:col>
      <xdr:colOff>180975</xdr:colOff>
      <xdr:row>148</xdr:row>
      <xdr:rowOff>133350</xdr:rowOff>
    </xdr:to>
    <xdr:pic>
      <xdr:nvPicPr>
        <xdr:cNvPr id="196" name="Obrázek 195" descr="https://files.eliteprospects.com/layout/flags_s/3.png">
          <a:extLst>
            <a:ext uri="{FF2B5EF4-FFF2-40B4-BE49-F238E27FC236}">
              <a16:creationId xmlns:a16="http://schemas.microsoft.com/office/drawing/2014/main" id="{00000000-0008-0000-1500-0000C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348329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xdr:row>
      <xdr:rowOff>0</xdr:rowOff>
    </xdr:from>
    <xdr:to>
      <xdr:col>1</xdr:col>
      <xdr:colOff>180975</xdr:colOff>
      <xdr:row>148</xdr:row>
      <xdr:rowOff>133350</xdr:rowOff>
    </xdr:to>
    <xdr:pic>
      <xdr:nvPicPr>
        <xdr:cNvPr id="197" name="Obrázek 196" descr="https://files.eliteprospects.com/layout/flags_s/3.png">
          <a:extLst>
            <a:ext uri="{FF2B5EF4-FFF2-40B4-BE49-F238E27FC236}">
              <a16:creationId xmlns:a16="http://schemas.microsoft.com/office/drawing/2014/main" id="{00000000-0008-0000-1500-0000C5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350234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xdr:row>
      <xdr:rowOff>0</xdr:rowOff>
    </xdr:from>
    <xdr:to>
      <xdr:col>1</xdr:col>
      <xdr:colOff>180975</xdr:colOff>
      <xdr:row>148</xdr:row>
      <xdr:rowOff>133350</xdr:rowOff>
    </xdr:to>
    <xdr:pic>
      <xdr:nvPicPr>
        <xdr:cNvPr id="198" name="Obrázek 197" descr="https://files.eliteprospects.com/layout/flags_s/3.png">
          <a:extLst>
            <a:ext uri="{FF2B5EF4-FFF2-40B4-BE49-F238E27FC236}">
              <a16:creationId xmlns:a16="http://schemas.microsoft.com/office/drawing/2014/main" id="{00000000-0008-0000-1500-0000C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352139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xdr:row>
      <xdr:rowOff>0</xdr:rowOff>
    </xdr:from>
    <xdr:to>
      <xdr:col>1</xdr:col>
      <xdr:colOff>180975</xdr:colOff>
      <xdr:row>148</xdr:row>
      <xdr:rowOff>133350</xdr:rowOff>
    </xdr:to>
    <xdr:pic>
      <xdr:nvPicPr>
        <xdr:cNvPr id="199" name="Obrázek 198" descr="https://files.eliteprospects.com/layout/flags_s/16.png">
          <a:extLst>
            <a:ext uri="{FF2B5EF4-FFF2-40B4-BE49-F238E27FC236}">
              <a16:creationId xmlns:a16="http://schemas.microsoft.com/office/drawing/2014/main" id="{00000000-0008-0000-1500-0000C7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354044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151</xdr:row>
      <xdr:rowOff>0</xdr:rowOff>
    </xdr:from>
    <xdr:to>
      <xdr:col>1</xdr:col>
      <xdr:colOff>180975</xdr:colOff>
      <xdr:row>151</xdr:row>
      <xdr:rowOff>133350</xdr:rowOff>
    </xdr:to>
    <xdr:pic>
      <xdr:nvPicPr>
        <xdr:cNvPr id="200" name="Obrázek 199" descr="https://files.eliteprospects.com/layout/flags_s/6.png">
          <a:extLst>
            <a:ext uri="{FF2B5EF4-FFF2-40B4-BE49-F238E27FC236}">
              <a16:creationId xmlns:a16="http://schemas.microsoft.com/office/drawing/2014/main" id="{00000000-0008-0000-1500-0000C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355949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152</xdr:row>
      <xdr:rowOff>0</xdr:rowOff>
    </xdr:from>
    <xdr:to>
      <xdr:col>1</xdr:col>
      <xdr:colOff>180975</xdr:colOff>
      <xdr:row>152</xdr:row>
      <xdr:rowOff>133350</xdr:rowOff>
    </xdr:to>
    <xdr:pic>
      <xdr:nvPicPr>
        <xdr:cNvPr id="201" name="Obrázek 200" descr="https://files.eliteprospects.com/layout/flags_s/3.png">
          <a:extLst>
            <a:ext uri="{FF2B5EF4-FFF2-40B4-BE49-F238E27FC236}">
              <a16:creationId xmlns:a16="http://schemas.microsoft.com/office/drawing/2014/main" id="{00000000-0008-0000-1500-0000C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357854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152</xdr:row>
      <xdr:rowOff>0</xdr:rowOff>
    </xdr:from>
    <xdr:to>
      <xdr:col>1</xdr:col>
      <xdr:colOff>180975</xdr:colOff>
      <xdr:row>152</xdr:row>
      <xdr:rowOff>133350</xdr:rowOff>
    </xdr:to>
    <xdr:pic>
      <xdr:nvPicPr>
        <xdr:cNvPr id="202" name="Obrázek 201" descr="https://files.eliteprospects.com/layout/flags_s/2.png">
          <a:extLst>
            <a:ext uri="{FF2B5EF4-FFF2-40B4-BE49-F238E27FC236}">
              <a16:creationId xmlns:a16="http://schemas.microsoft.com/office/drawing/2014/main" id="{00000000-0008-0000-1500-0000CA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9600" y="359759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150</xdr:row>
      <xdr:rowOff>0</xdr:rowOff>
    </xdr:from>
    <xdr:to>
      <xdr:col>1</xdr:col>
      <xdr:colOff>180975</xdr:colOff>
      <xdr:row>150</xdr:row>
      <xdr:rowOff>133350</xdr:rowOff>
    </xdr:to>
    <xdr:pic>
      <xdr:nvPicPr>
        <xdr:cNvPr id="203" name="Obrázek 202" descr="https://files.eliteprospects.com/layout/flags_s/3.png">
          <a:extLst>
            <a:ext uri="{FF2B5EF4-FFF2-40B4-BE49-F238E27FC236}">
              <a16:creationId xmlns:a16="http://schemas.microsoft.com/office/drawing/2014/main" id="{00000000-0008-0000-1500-0000C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361664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150</xdr:row>
      <xdr:rowOff>0</xdr:rowOff>
    </xdr:from>
    <xdr:to>
      <xdr:col>1</xdr:col>
      <xdr:colOff>180975</xdr:colOff>
      <xdr:row>150</xdr:row>
      <xdr:rowOff>133350</xdr:rowOff>
    </xdr:to>
    <xdr:pic>
      <xdr:nvPicPr>
        <xdr:cNvPr id="204" name="Obrázek 203" descr="https://files.eliteprospects.com/layout/flags_s/16.png">
          <a:extLst>
            <a:ext uri="{FF2B5EF4-FFF2-40B4-BE49-F238E27FC236}">
              <a16:creationId xmlns:a16="http://schemas.microsoft.com/office/drawing/2014/main" id="{00000000-0008-0000-1500-0000CC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363569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149</xdr:row>
      <xdr:rowOff>0</xdr:rowOff>
    </xdr:from>
    <xdr:to>
      <xdr:col>1</xdr:col>
      <xdr:colOff>180975</xdr:colOff>
      <xdr:row>149</xdr:row>
      <xdr:rowOff>133350</xdr:rowOff>
    </xdr:to>
    <xdr:pic>
      <xdr:nvPicPr>
        <xdr:cNvPr id="205" name="Obrázek 204" descr="https://files.eliteprospects.com/layout/flags_s/8.png">
          <a:extLst>
            <a:ext uri="{FF2B5EF4-FFF2-40B4-BE49-F238E27FC236}">
              <a16:creationId xmlns:a16="http://schemas.microsoft.com/office/drawing/2014/main" id="{00000000-0008-0000-1500-0000C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365474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149</xdr:row>
      <xdr:rowOff>0</xdr:rowOff>
    </xdr:from>
    <xdr:to>
      <xdr:col>1</xdr:col>
      <xdr:colOff>180975</xdr:colOff>
      <xdr:row>149</xdr:row>
      <xdr:rowOff>133350</xdr:rowOff>
    </xdr:to>
    <xdr:pic>
      <xdr:nvPicPr>
        <xdr:cNvPr id="206" name="Obrázek 205" descr="https://files.eliteprospects.com/layout/flags_s/31.png">
          <a:extLst>
            <a:ext uri="{FF2B5EF4-FFF2-40B4-BE49-F238E27FC236}">
              <a16:creationId xmlns:a16="http://schemas.microsoft.com/office/drawing/2014/main" id="{00000000-0008-0000-1500-0000CE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367379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149</xdr:row>
      <xdr:rowOff>0</xdr:rowOff>
    </xdr:from>
    <xdr:to>
      <xdr:col>1</xdr:col>
      <xdr:colOff>180975</xdr:colOff>
      <xdr:row>149</xdr:row>
      <xdr:rowOff>133350</xdr:rowOff>
    </xdr:to>
    <xdr:pic>
      <xdr:nvPicPr>
        <xdr:cNvPr id="207" name="Obrázek 206" descr="https://files.eliteprospects.com/layout/flags_s/16.png">
          <a:extLst>
            <a:ext uri="{FF2B5EF4-FFF2-40B4-BE49-F238E27FC236}">
              <a16:creationId xmlns:a16="http://schemas.microsoft.com/office/drawing/2014/main" id="{00000000-0008-0000-1500-0000CF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36928425"/>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155</xdr:row>
      <xdr:rowOff>0</xdr:rowOff>
    </xdr:from>
    <xdr:to>
      <xdr:col>1</xdr:col>
      <xdr:colOff>180975</xdr:colOff>
      <xdr:row>155</xdr:row>
      <xdr:rowOff>133350</xdr:rowOff>
    </xdr:to>
    <xdr:pic>
      <xdr:nvPicPr>
        <xdr:cNvPr id="208" name="Obrázek 207" descr="https://files.eliteprospects.com/layout/flags_s/6.png">
          <a:extLst>
            <a:ext uri="{FF2B5EF4-FFF2-40B4-BE49-F238E27FC236}">
              <a16:creationId xmlns:a16="http://schemas.microsoft.com/office/drawing/2014/main" id="{00000000-0008-0000-1500-0000D0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361759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155</xdr:row>
      <xdr:rowOff>0</xdr:rowOff>
    </xdr:from>
    <xdr:to>
      <xdr:col>1</xdr:col>
      <xdr:colOff>180975</xdr:colOff>
      <xdr:row>155</xdr:row>
      <xdr:rowOff>133350</xdr:rowOff>
    </xdr:to>
    <xdr:pic>
      <xdr:nvPicPr>
        <xdr:cNvPr id="209" name="Obrázek 208" descr="https://files.eliteprospects.com/layout/flags_s/16.png">
          <a:extLst>
            <a:ext uri="{FF2B5EF4-FFF2-40B4-BE49-F238E27FC236}">
              <a16:creationId xmlns:a16="http://schemas.microsoft.com/office/drawing/2014/main" id="{00000000-0008-0000-1500-0000D1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363664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157</xdr:row>
      <xdr:rowOff>0</xdr:rowOff>
    </xdr:from>
    <xdr:to>
      <xdr:col>1</xdr:col>
      <xdr:colOff>180975</xdr:colOff>
      <xdr:row>157</xdr:row>
      <xdr:rowOff>133350</xdr:rowOff>
    </xdr:to>
    <xdr:pic>
      <xdr:nvPicPr>
        <xdr:cNvPr id="210" name="Obrázek 209" descr="https://files.eliteprospects.com/layout/flags_s/8.png">
          <a:extLst>
            <a:ext uri="{FF2B5EF4-FFF2-40B4-BE49-F238E27FC236}">
              <a16:creationId xmlns:a16="http://schemas.microsoft.com/office/drawing/2014/main" id="{00000000-0008-0000-1500-0000D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365569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156</xdr:row>
      <xdr:rowOff>0</xdr:rowOff>
    </xdr:from>
    <xdr:to>
      <xdr:col>1</xdr:col>
      <xdr:colOff>180975</xdr:colOff>
      <xdr:row>156</xdr:row>
      <xdr:rowOff>133350</xdr:rowOff>
    </xdr:to>
    <xdr:pic>
      <xdr:nvPicPr>
        <xdr:cNvPr id="211" name="Obrázek 210" descr="https://files.eliteprospects.com/layout/flags_s/16.png">
          <a:extLst>
            <a:ext uri="{FF2B5EF4-FFF2-40B4-BE49-F238E27FC236}">
              <a16:creationId xmlns:a16="http://schemas.microsoft.com/office/drawing/2014/main" id="{00000000-0008-0000-1500-0000D3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36747450"/>
          <a:ext cx="1809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12</xdr:col>
      <xdr:colOff>554355</xdr:colOff>
      <xdr:row>101</xdr:row>
      <xdr:rowOff>70485</xdr:rowOff>
    </xdr:from>
    <xdr:to>
      <xdr:col>26</xdr:col>
      <xdr:colOff>1773555</xdr:colOff>
      <xdr:row>121</xdr:row>
      <xdr:rowOff>3811</xdr:rowOff>
    </xdr:to>
    <xdr:graphicFrame macro="">
      <xdr:nvGraphicFramePr>
        <xdr:cNvPr id="2" name="Graf 1">
          <a:extLst>
            <a:ext uri="{FF2B5EF4-FFF2-40B4-BE49-F238E27FC236}">
              <a16:creationId xmlns:a16="http://schemas.microsoft.com/office/drawing/2014/main" id="{00000000-0008-0000-1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552450</xdr:colOff>
      <xdr:row>75</xdr:row>
      <xdr:rowOff>123825</xdr:rowOff>
    </xdr:from>
    <xdr:to>
      <xdr:col>26</xdr:col>
      <xdr:colOff>1819270</xdr:colOff>
      <xdr:row>100</xdr:row>
      <xdr:rowOff>45720</xdr:rowOff>
    </xdr:to>
    <xdr:graphicFrame macro="">
      <xdr:nvGraphicFramePr>
        <xdr:cNvPr id="3" name="Graf 2">
          <a:extLst>
            <a:ext uri="{FF2B5EF4-FFF2-40B4-BE49-F238E27FC236}">
              <a16:creationId xmlns:a16="http://schemas.microsoft.com/office/drawing/2014/main" id="{00000000-0008-0000-1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14</xdr:col>
      <xdr:colOff>116205</xdr:colOff>
      <xdr:row>101</xdr:row>
      <xdr:rowOff>60960</xdr:rowOff>
    </xdr:from>
    <xdr:to>
      <xdr:col>27</xdr:col>
      <xdr:colOff>201930</xdr:colOff>
      <xdr:row>120</xdr:row>
      <xdr:rowOff>184786</xdr:rowOff>
    </xdr:to>
    <xdr:graphicFrame macro="">
      <xdr:nvGraphicFramePr>
        <xdr:cNvPr id="2" name="Graf 1">
          <a:extLst>
            <a:ext uri="{FF2B5EF4-FFF2-40B4-BE49-F238E27FC236}">
              <a16:creationId xmlns:a16="http://schemas.microsoft.com/office/drawing/2014/main" id="{85E02699-5BA6-47AC-B1C8-F9EA901A3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885825</xdr:colOff>
      <xdr:row>75</xdr:row>
      <xdr:rowOff>85725</xdr:rowOff>
    </xdr:from>
    <xdr:to>
      <xdr:col>27</xdr:col>
      <xdr:colOff>1019170</xdr:colOff>
      <xdr:row>100</xdr:row>
      <xdr:rowOff>7620</xdr:rowOff>
    </xdr:to>
    <xdr:graphicFrame macro="">
      <xdr:nvGraphicFramePr>
        <xdr:cNvPr id="3" name="Graf 2">
          <a:extLst>
            <a:ext uri="{FF2B5EF4-FFF2-40B4-BE49-F238E27FC236}">
              <a16:creationId xmlns:a16="http://schemas.microsoft.com/office/drawing/2014/main" id="{E69E4408-A1B4-479A-A4EF-7CD1F3567F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35</xdr:row>
      <xdr:rowOff>0</xdr:rowOff>
    </xdr:from>
    <xdr:to>
      <xdr:col>0</xdr:col>
      <xdr:colOff>304800</xdr:colOff>
      <xdr:row>36</xdr:row>
      <xdr:rowOff>121920</xdr:rowOff>
    </xdr:to>
    <xdr:sp macro="" textlink="">
      <xdr:nvSpPr>
        <xdr:cNvPr id="82945" name="AutoShape 1" descr=" Zavřít">
          <a:hlinkClick xmlns:r="http://schemas.openxmlformats.org/officeDocument/2006/relationships" r:id="rId1"/>
          <a:extLst>
            <a:ext uri="{FF2B5EF4-FFF2-40B4-BE49-F238E27FC236}">
              <a16:creationId xmlns:a16="http://schemas.microsoft.com/office/drawing/2014/main" id="{ED8F36A6-F010-C26C-97B8-E9479B088EF6}"/>
            </a:ext>
          </a:extLst>
        </xdr:cNvPr>
        <xdr:cNvSpPr>
          <a:spLocks noChangeAspect="1" noChangeArrowheads="1"/>
        </xdr:cNvSpPr>
      </xdr:nvSpPr>
      <xdr:spPr bwMode="auto">
        <a:xfrm>
          <a:off x="0" y="17175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304800</xdr:colOff>
      <xdr:row>36</xdr:row>
      <xdr:rowOff>121920</xdr:rowOff>
    </xdr:to>
    <xdr:sp macro="" textlink="">
      <xdr:nvSpPr>
        <xdr:cNvPr id="82946" name="AutoShape 2" descr="Obsah nápovědy">
          <a:hlinkClick xmlns:r="http://schemas.openxmlformats.org/officeDocument/2006/relationships" r:id="rId1"/>
          <a:extLst>
            <a:ext uri="{FF2B5EF4-FFF2-40B4-BE49-F238E27FC236}">
              <a16:creationId xmlns:a16="http://schemas.microsoft.com/office/drawing/2014/main" id="{6F9204F4-6607-0A69-E9E0-CDD9E0129767}"/>
            </a:ext>
          </a:extLst>
        </xdr:cNvPr>
        <xdr:cNvSpPr>
          <a:spLocks noChangeAspect="1" noChangeArrowheads="1"/>
        </xdr:cNvSpPr>
      </xdr:nvSpPr>
      <xdr:spPr bwMode="auto">
        <a:xfrm>
          <a:off x="0" y="17419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xdr:from>
      <xdr:col>12</xdr:col>
      <xdr:colOff>554355</xdr:colOff>
      <xdr:row>101</xdr:row>
      <xdr:rowOff>70485</xdr:rowOff>
    </xdr:from>
    <xdr:to>
      <xdr:col>26</xdr:col>
      <xdr:colOff>1773555</xdr:colOff>
      <xdr:row>121</xdr:row>
      <xdr:rowOff>3811</xdr:rowOff>
    </xdr:to>
    <xdr:graphicFrame macro="">
      <xdr:nvGraphicFramePr>
        <xdr:cNvPr id="2" name="Graf 1">
          <a:extLst>
            <a:ext uri="{FF2B5EF4-FFF2-40B4-BE49-F238E27FC236}">
              <a16:creationId xmlns:a16="http://schemas.microsoft.com/office/drawing/2014/main" id="{48E8C21A-C3A1-408F-B1BC-78DBA1DF1E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552450</xdr:colOff>
      <xdr:row>75</xdr:row>
      <xdr:rowOff>123825</xdr:rowOff>
    </xdr:from>
    <xdr:to>
      <xdr:col>26</xdr:col>
      <xdr:colOff>1819270</xdr:colOff>
      <xdr:row>100</xdr:row>
      <xdr:rowOff>45720</xdr:rowOff>
    </xdr:to>
    <xdr:graphicFrame macro="">
      <xdr:nvGraphicFramePr>
        <xdr:cNvPr id="3" name="Graf 2">
          <a:extLst>
            <a:ext uri="{FF2B5EF4-FFF2-40B4-BE49-F238E27FC236}">
              <a16:creationId xmlns:a16="http://schemas.microsoft.com/office/drawing/2014/main" id="{7C9412E0-53BF-4864-AC98-FA009E731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295274</xdr:colOff>
      <xdr:row>229</xdr:row>
      <xdr:rowOff>152400</xdr:rowOff>
    </xdr:from>
    <xdr:to>
      <xdr:col>10</xdr:col>
      <xdr:colOff>4333874</xdr:colOff>
      <xdr:row>267</xdr:row>
      <xdr:rowOff>171450</xdr:rowOff>
    </xdr:to>
    <xdr:graphicFrame macro="">
      <xdr:nvGraphicFramePr>
        <xdr:cNvPr id="2" name="Graf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Jakub Lánský" id="{A74D3D16-E4E9-474F-8D52-A0703DEAFADA}" userId="02acceb45edb4b70" providerId="Windows Live"/>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0" xr16:uid="{57B73DEE-047C-49A2-8F76-5C3B7475686D}" autoFormatId="16" applyNumberFormats="0" applyBorderFormats="0" applyFontFormats="0" applyPatternFormats="0" applyAlignmentFormats="0" applyWidthHeightFormats="0">
  <queryTableRefresh nextId="38">
    <queryTableFields count="37">
      <queryTableField id="1" name="Sezóna" tableColumnId="1"/>
      <queryTableField id="2" name="Odehr. z." tableColumnId="2"/>
      <queryTableField id="3" name="Kolo" tableColumnId="3"/>
      <queryTableField id="4" name="Datum" tableColumnId="4"/>
      <queryTableField id="5" name="Soupeř" tableColumnId="5"/>
      <queryTableField id="6" name="Doma/venku" tableColumnId="6"/>
      <queryTableField id="7" name="Výsledek pro LIT" tableColumnId="7"/>
      <queryTableField id="8" name="Výsledek" tableColumnId="8"/>
      <queryTableField id="9" name="Góly LIT" tableColumnId="9"/>
      <queryTableField id="10" name="Góly soupeř" tableColumnId="10"/>
      <queryTableField id="11" name="G LIT 60(BEZ EN)" tableColumnId="11"/>
      <queryTableField id="12" name="G Soupeř 60(BEZ EN)" tableColumnId="12"/>
      <queryTableField id="13" name="Umístění LIT" tableColumnId="13"/>
      <queryTableField id="14" name="Tabulka pravdy" tableColumnId="14"/>
      <queryTableField id="15" name="Bodů celkově" tableColumnId="15"/>
      <queryTableField id="16" name="Góly v přesilovce" tableColumnId="16"/>
      <queryTableField id="17" name="Góly v oslabení" tableColumnId="17"/>
      <queryTableField id="18" name="Góly inkas. v přesilovce" tableColumnId="18"/>
      <queryTableField id="19" name="Góly inkas. v oslabení" tableColumnId="19"/>
      <queryTableField id="20" name="Počet přesilovek" tableColumnId="20"/>
      <queryTableField id="21" name="Počet oslabení" tableColumnId="21"/>
      <queryTableField id="22" name="Počet diváků" tableColumnId="22"/>
      <queryTableField id="23" name="1. třetina" tableColumnId="23"/>
      <queryTableField id="24" name="2. třetina" tableColumnId="24"/>
      <queryTableField id="25" name="3. třetina" tableColumnId="25"/>
      <queryTableField id="26" name="Prodl./Náj." tableColumnId="26"/>
      <queryTableField id="27" name="Průběh zápasu" tableColumnId="27"/>
      <queryTableField id="28" name="1. gól" tableColumnId="28"/>
      <queryTableField id="29" name="2. gól" tableColumnId="29"/>
      <queryTableField id="30" name="3. gól" tableColumnId="30"/>
      <queryTableField id="31" name="4. gól" tableColumnId="31"/>
      <queryTableField id="32" name="5. gól" tableColumnId="32"/>
      <queryTableField id="33" name="6. gól" tableColumnId="33"/>
      <queryTableField id="34" name="7. gól" tableColumnId="34"/>
      <queryTableField id="35" name="8. gól" tableColumnId="35"/>
      <queryTableField id="36" name="Nájezdy" tableColumnId="36"/>
      <queryTableField id="37" name="Sestava" tableColumnId="37"/>
    </queryTableFields>
  </queryTableRefresh>
</queryTable>
</file>

<file path=xl/tables/_rels/table1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820508B-E825-44E4-9534-1E86B004D590}" name="Zapasy20172018" displayName="Zapasy20172018" ref="A2:M72" totalsRowShown="0" headerRowDxfId="1048" dataDxfId="1047">
  <autoFilter ref="A2:M72" xr:uid="{E820508B-E825-44E4-9534-1E86B004D590}"/>
  <tableColumns count="13">
    <tableColumn id="1" xr3:uid="{588F9760-BE19-46AB-8C78-BE318A375821}" name="Sezóna" dataDxfId="1046">
      <calculatedColumnFormula>A2</calculatedColumnFormula>
    </tableColumn>
    <tableColumn id="2" xr3:uid="{DD38ECF4-2EED-409C-A40D-E7DFEE2DC24E}" name="Odehr. z." dataDxfId="1045"/>
    <tableColumn id="3" xr3:uid="{0E927BF2-6A99-40DD-87CD-733E77F51FFA}" name="Kolo" dataDxfId="1044"/>
    <tableColumn id="4" xr3:uid="{630B9C55-5F62-4A0A-9A4A-32648A369E16}" name="Soupeř" dataDxfId="1043"/>
    <tableColumn id="5" xr3:uid="{865B7151-2AB9-4503-B4BF-8920F9CBD546}" name="Datum" dataDxfId="1042"/>
    <tableColumn id="6" xr3:uid="{DC68C310-85E9-4061-8A8A-65BD0A0A4698}" name="Den" dataDxfId="1041"/>
    <tableColumn id="7" xr3:uid="{86DDC159-00A8-4FA8-9E85-0DB3C956E069}" name="Doma/venku" dataDxfId="1040"/>
    <tableColumn id="8" xr3:uid="{2E548D63-6538-4760-8D7F-A5568B0FFFC9}" name="Výsledek pro LIT" dataDxfId="1039"/>
    <tableColumn id="9" xr3:uid="{13E65E5B-1507-4F70-8FA9-2B97189AE33C}" name="Získáno bodů" dataDxfId="1038"/>
    <tableColumn id="10" xr3:uid="{018A3021-C835-497B-83E9-D4AEBBBA4BBE}" name="Plus/mínus" dataDxfId="1037"/>
    <tableColumn id="11" xr3:uid="{A1A0F720-176E-47A4-9A64-E68F3E0AE195}" name="Góly Litvínov" dataDxfId="1036"/>
    <tableColumn id="12" xr3:uid="{7DE4D468-1F75-41DB-A3D6-FC69E9A32A7F}" name="Soupiska LIT" dataDxfId="1035"/>
    <tableColumn id="13" xr3:uid="{8C047E29-EB44-4AE1-8BCC-072811F472B6}" name="Sloupec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BEA0263-F617-47EA-8D7C-09A88C692A22}" name="Zapasy20182019" displayName="Zapasy20182019" ref="A2:AK61" totalsRowCount="1" headerRowDxfId="1034" dataDxfId="1033" tableBorderDxfId="1032">
  <autoFilter ref="A2:AK60" xr:uid="{8BEA0263-F617-47EA-8D7C-09A88C692A22}"/>
  <tableColumns count="37">
    <tableColumn id="1" xr3:uid="{59D4134B-198C-4CC9-907D-4C8B274657E4}" name="Sezóna" totalsRowLabel="Celkem" dataDxfId="1031" totalsRowDxfId="1030">
      <calculatedColumnFormula>A2</calculatedColumnFormula>
    </tableColumn>
    <tableColumn id="2" xr3:uid="{E11DF32F-66C2-4AC6-9C6F-DF6806F7877F}" name="Odehr. z." dataDxfId="1029" totalsRowDxfId="1028"/>
    <tableColumn id="3" xr3:uid="{62D75B96-4F55-4F52-A676-72F0279A5F69}" name="Kolo" dataDxfId="1027" totalsRowDxfId="1026"/>
    <tableColumn id="4" xr3:uid="{F313F9ED-6D4E-41C1-A14E-F59876513909}" name="Datum" dataDxfId="1025" totalsRowDxfId="1024"/>
    <tableColumn id="5" xr3:uid="{FD5326E2-E120-4A8F-A96D-BD2957A97BE4}" name="Soupeř" dataDxfId="1023" totalsRowDxfId="1022"/>
    <tableColumn id="6" xr3:uid="{8076052E-E6E7-424C-A8DC-60B57EB2A153}" name="Doma/venku" dataDxfId="1021" totalsRowDxfId="1020"/>
    <tableColumn id="7" xr3:uid="{54993267-9EC2-40CD-9C47-4D2FE70F6D5F}" name="Výsledek pro LIT" dataDxfId="1019" totalsRowDxfId="1018"/>
    <tableColumn id="33" xr3:uid="{BE66DA9C-7F20-4FFC-8972-8605D35FF4BF}" name="Výsledek" dataDxfId="1017" totalsRowDxfId="1016"/>
    <tableColumn id="34" xr3:uid="{E8F25B12-109B-4F80-A69D-47BD0585A299}" name="Góly LIT" dataDxfId="1015" totalsRowDxfId="1014"/>
    <tableColumn id="35" xr3:uid="{0506CDCC-8A8E-41C4-B221-F213495CBF83}" name="Góly soupeř" dataDxfId="1013" totalsRowDxfId="1012"/>
    <tableColumn id="36" xr3:uid="{65947752-D2C6-49E7-9656-D0EF04DB4C12}" name="G LIT 60(BEZ EN)" dataDxfId="1011" totalsRowDxfId="1010"/>
    <tableColumn id="37" xr3:uid="{499F33DC-4D95-46D1-9D85-1C98A3E4071A}" name="G Soupeř 60(BEZ EN)" dataDxfId="1009" totalsRowDxfId="1008"/>
    <tableColumn id="8" xr3:uid="{88228143-B3BB-4E09-A4D6-2E7550F45620}" name="Umístění LIT" dataDxfId="1007" totalsRowDxfId="1006"/>
    <tableColumn id="9" xr3:uid="{A88C775D-E6C9-4F7F-8137-6398584F29B8}" name="Tabulka pravdy" dataDxfId="1005" totalsRowDxfId="1004"/>
    <tableColumn id="10" xr3:uid="{174574B1-2B0B-4BCA-B87A-F5E91A0DFFA0}" name="Bodů celkově" dataDxfId="1003" totalsRowDxfId="1002"/>
    <tableColumn id="11" xr3:uid="{BC58D4CC-C3FE-4E70-9694-C5C5A419660D}" name="Góly v přesilovce" dataDxfId="1001" totalsRowDxfId="1000"/>
    <tableColumn id="12" xr3:uid="{2EAE5BB0-335D-417B-86CC-91E91F263F1F}" name="Góly v oslabení" dataDxfId="999" totalsRowDxfId="998"/>
    <tableColumn id="13" xr3:uid="{84B1FB5F-73BC-46D6-9120-F74D72CC718A}" name="Góly inkas. v přesilovce" dataDxfId="997" totalsRowDxfId="996"/>
    <tableColumn id="14" xr3:uid="{A7808904-C0F1-49F9-84CE-853263E33679}" name="Góly inkas. v oslabení" dataDxfId="995" totalsRowDxfId="994"/>
    <tableColumn id="15" xr3:uid="{64301557-BD7E-4589-888B-71B508109E7D}" name="Počet přesilovek" dataDxfId="993" totalsRowDxfId="992"/>
    <tableColumn id="16" xr3:uid="{334A4058-B2A1-40FE-B5E2-9937A674F847}" name="Počet oslabení" dataDxfId="991" totalsRowDxfId="990"/>
    <tableColumn id="17" xr3:uid="{6AC4916C-E9EB-405E-B19A-8EF11AD92C4A}" name="Počet diváků" dataDxfId="989" totalsRowDxfId="988"/>
    <tableColumn id="18" xr3:uid="{856C288F-BC5D-4CF6-9B94-99DB7F26C5D1}" name="1. třetina" totalsRowLabel="fgsfgg" dataDxfId="987" totalsRowDxfId="986"/>
    <tableColumn id="19" xr3:uid="{03051B3D-F29B-4041-B440-440040A7892D}" name="2. třetina" totalsRowLabel="sfdsf" dataDxfId="985" totalsRowDxfId="984"/>
    <tableColumn id="20" xr3:uid="{985E5538-890E-4F4A-B6F3-722CFCAE7209}" name="3. třetina" totalsRowLabel="gssgg" dataDxfId="983" totalsRowDxfId="982"/>
    <tableColumn id="21" xr3:uid="{AAF05C68-B008-4C67-AF82-204025919782}" name="Prodl./Náj." totalsRowLabel="sdaf" dataDxfId="981" totalsRowDxfId="980"/>
    <tableColumn id="22" xr3:uid="{D6EBA557-2483-4BFC-824A-3757AE5415C0}" name="Průběh zápasu" dataDxfId="979" totalsRowDxfId="978"/>
    <tableColumn id="23" xr3:uid="{C87836E2-AFB7-4A46-B1D6-17639DC800D5}" name="1. gól" dataDxfId="977" totalsRowDxfId="976"/>
    <tableColumn id="24" xr3:uid="{E613F5A8-65C0-40D0-B972-796E0875A114}" name="2. gól" dataDxfId="975" totalsRowDxfId="974"/>
    <tableColumn id="25" xr3:uid="{67B3D5CD-E63B-4477-B72C-F996AFB09464}" name="3. gól" dataDxfId="973" totalsRowDxfId="972"/>
    <tableColumn id="26" xr3:uid="{18AC4CE4-95EA-463C-A935-04F253C43A95}" name="4. gól" dataDxfId="971" totalsRowDxfId="970"/>
    <tableColumn id="27" xr3:uid="{C4237E95-26DD-4AE3-BB32-50AEC462DD01}" name="5. gól" dataDxfId="969" totalsRowDxfId="968"/>
    <tableColumn id="28" xr3:uid="{21E04E54-389C-4787-B697-647AA4DA1ED6}" name="6. gól" dataDxfId="967" totalsRowDxfId="966"/>
    <tableColumn id="29" xr3:uid="{FC9988DE-0033-4022-80BD-339A881DE5F7}" name="7. gól" dataDxfId="965" totalsRowDxfId="964"/>
    <tableColumn id="30" xr3:uid="{360BD712-A2CF-4864-AD6E-CA35BD39392E}" name="8. gól" dataDxfId="963" totalsRowDxfId="962"/>
    <tableColumn id="31" xr3:uid="{7418FEE1-EA3C-438B-810A-49402F3A3612}" name="Nájezdy" dataDxfId="961" totalsRowDxfId="960"/>
    <tableColumn id="32" xr3:uid="{5E55AF48-045B-48BC-B7BE-BB0AE400CC2B}" name="Sestava" totalsRowFunction="count" dataDxfId="959" totalsRowDxfId="95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E621B8F-512D-4670-B922-65340A986F85}" name="Zapasy20192020" displayName="Zapasy20192020" ref="A2:AK55" totalsRowCount="1" headerRowDxfId="957" dataDxfId="956" tableBorderDxfId="955">
  <autoFilter ref="A2:AK54" xr:uid="{BE621B8F-512D-4670-B922-65340A986F85}"/>
  <tableColumns count="37">
    <tableColumn id="1" xr3:uid="{78B3885F-7C59-45EF-9B6D-2B148F243A24}" name="Sezóna" totalsRowLabel="Celkem" dataDxfId="954" totalsRowDxfId="953">
      <calculatedColumnFormula>A2</calculatedColumnFormula>
    </tableColumn>
    <tableColumn id="2" xr3:uid="{AF6E9693-9D84-435A-A2AD-139C93FB2C25}" name="Odehr. z." dataDxfId="952" totalsRowDxfId="951"/>
    <tableColumn id="3" xr3:uid="{11B11AEF-C810-457E-AB28-F68F00884E45}" name="Kolo" dataDxfId="950" totalsRowDxfId="949"/>
    <tableColumn id="4" xr3:uid="{14113EB7-09F9-402C-A0DD-67DE011A3FFE}" name="Datum" dataDxfId="948" totalsRowDxfId="947"/>
    <tableColumn id="5" xr3:uid="{DB34539F-60EB-4E90-B9D1-5420973F4F8B}" name="Soupeř" dataDxfId="946" totalsRowDxfId="945"/>
    <tableColumn id="6" xr3:uid="{A4D7DC4E-3686-4196-A163-76A90B2524E3}" name="Doma/venku" dataDxfId="944" totalsRowDxfId="943"/>
    <tableColumn id="7" xr3:uid="{9391E95A-5094-4D3B-B942-CE05B21CB588}" name="Výsledek pro LIT" dataDxfId="942" totalsRowDxfId="941"/>
    <tableColumn id="33" xr3:uid="{8B953227-8B45-4B87-92F9-2FD026F7D742}" name="Výsledek" dataDxfId="940" totalsRowDxfId="939"/>
    <tableColumn id="34" xr3:uid="{B62FE408-FC5F-444C-84A7-53ECEF6AE3CC}" name="Góly LIT" dataDxfId="938" totalsRowDxfId="937"/>
    <tableColumn id="35" xr3:uid="{D4C99022-B873-4656-B37A-1787E168AC10}" name="Góly soupeř" dataDxfId="936" totalsRowDxfId="935"/>
    <tableColumn id="36" xr3:uid="{11FFF2D5-DBDB-41E6-8C59-D4E36287AADE}" name="G LIT 60(BEZ EN)" dataDxfId="934" totalsRowDxfId="933"/>
    <tableColumn id="37" xr3:uid="{F3C65984-8AC6-4618-91C2-4DB476674C82}" name="G Soupeř 60(BEZ EN)" dataDxfId="932" totalsRowDxfId="931"/>
    <tableColumn id="8" xr3:uid="{B60F18E6-DC60-449A-9347-2FB531DD837F}" name="Umístění LIT" dataDxfId="930" totalsRowDxfId="929"/>
    <tableColumn id="9" xr3:uid="{642252F7-A08A-46FA-AD7B-D93FCF65D9C5}" name="Tabulka pravdy" dataDxfId="928" totalsRowDxfId="927"/>
    <tableColumn id="10" xr3:uid="{209C9EA6-D488-4A1B-AFBD-6E11A3679EBE}" name="Bodů celkově" dataDxfId="926" totalsRowDxfId="925"/>
    <tableColumn id="11" xr3:uid="{50C3776A-8227-4C31-A4D5-137CA502F441}" name="Góly v přesilovce" dataDxfId="924" totalsRowDxfId="923"/>
    <tableColumn id="12" xr3:uid="{43B23F73-3F5B-43ED-81BE-B93D8020627E}" name="Góly v oslabení" dataDxfId="922" totalsRowDxfId="921"/>
    <tableColumn id="13" xr3:uid="{9FC57796-8BB5-42AB-AE63-BA0DFE9118F6}" name="Góly inkas. v přesilovce" dataDxfId="920" totalsRowDxfId="919"/>
    <tableColumn id="14" xr3:uid="{CED69912-F26F-47A7-87F8-DAFAF0827C7B}" name="Góly inkas. v oslabení" dataDxfId="918" totalsRowDxfId="917"/>
    <tableColumn id="15" xr3:uid="{AC206046-F7FD-495D-B4B9-4F70B7851895}" name="Počet přesilovek" dataDxfId="916" totalsRowDxfId="915"/>
    <tableColumn id="16" xr3:uid="{441DC86B-5227-43AC-BC30-D48B9C098B25}" name="Počet oslabení" dataDxfId="914" totalsRowDxfId="913"/>
    <tableColumn id="17" xr3:uid="{15647C28-D94F-4EB0-9E0B-F86A3FC38B4B}" name="Počet diváků" dataDxfId="912" totalsRowDxfId="911"/>
    <tableColumn id="18" xr3:uid="{870E7F39-689F-4A83-8B8D-CFAE419188B8}" name="1. třetina" totalsRowLabel="fgsfgg" dataDxfId="910" totalsRowDxfId="909"/>
    <tableColumn id="19" xr3:uid="{5F2E0182-7D5B-451D-93A4-CF74F8AD430F}" name="2. třetina" totalsRowLabel="sfdsf" dataDxfId="908" totalsRowDxfId="907"/>
    <tableColumn id="20" xr3:uid="{D9D11F44-21C9-4DF0-B0C6-AEDFDECF27BF}" name="3. třetina" totalsRowLabel="gssgg" dataDxfId="906" totalsRowDxfId="905"/>
    <tableColumn id="21" xr3:uid="{343F639F-D353-44B0-BB36-2D7156606195}" name="Prodl./Náj." totalsRowLabel="sdaf" dataDxfId="904" totalsRowDxfId="903"/>
    <tableColumn id="22" xr3:uid="{22F8F722-F2A2-40E2-B914-8E33757D8D76}" name="Průběh zápasu" dataDxfId="902" totalsRowDxfId="901"/>
    <tableColumn id="23" xr3:uid="{AE325C25-BC24-463A-ABBE-C132F7D35323}" name="1. gól" dataDxfId="900" totalsRowDxfId="899"/>
    <tableColumn id="24" xr3:uid="{E5329C15-E22A-4ABB-B875-87C023E06E59}" name="2. gól" dataDxfId="898" totalsRowDxfId="897"/>
    <tableColumn id="25" xr3:uid="{495694F8-4D74-4E11-8F1F-AACF88CAF9AC}" name="3. gól" dataDxfId="896" totalsRowDxfId="895"/>
    <tableColumn id="26" xr3:uid="{3F5A07D8-DC96-40E6-9C9E-5DE85D863188}" name="4. gól" dataDxfId="894" totalsRowDxfId="893"/>
    <tableColumn id="27" xr3:uid="{F2ACAC69-8B43-4A8E-A55E-06DE8359D074}" name="5. gól" dataDxfId="892" totalsRowDxfId="891"/>
    <tableColumn id="28" xr3:uid="{6E2BEC3E-DC66-4518-8604-C83C8D44E81B}" name="6. gól" dataDxfId="890" totalsRowDxfId="889"/>
    <tableColumn id="29" xr3:uid="{F130C805-B882-429F-8D2C-70B056D6CB6B}" name="7. gól" dataDxfId="888" totalsRowDxfId="887"/>
    <tableColumn id="30" xr3:uid="{0D96EDB9-B1FD-40FC-91B9-9ED7D02B1AEC}" name="8. gól" dataDxfId="886" totalsRowDxfId="885"/>
    <tableColumn id="32" xr3:uid="{EB35CA5A-4CC6-47F9-9CBB-38B809B41F24}" name="Nájezdy" dataDxfId="884" totalsRowDxfId="883"/>
    <tableColumn id="31" xr3:uid="{E4860AB3-14FA-47AA-A425-11A66EACF08C}" name="Sestava" totalsRowFunction="count" dataDxfId="882" totalsRowDxfId="88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0603009-2D60-4E7F-9F59-35FF6B79BFBB}" name="Zapasy20202021" displayName="Zapasy20202021" ref="A2:AK58" totalsRowCount="1" headerRowDxfId="880" tableBorderDxfId="879">
  <autoFilter ref="A2:AK57" xr:uid="{A0603009-2D60-4E7F-9F59-35FF6B79BFBB}"/>
  <tableColumns count="37">
    <tableColumn id="1" xr3:uid="{C335EBE1-15B7-48F7-B2DE-8641D1624A3C}" name="Sezóna" totalsRowLabel="Celkem" dataDxfId="878" totalsRowDxfId="877">
      <calculatedColumnFormula>A2</calculatedColumnFormula>
    </tableColumn>
    <tableColumn id="2" xr3:uid="{77E52C62-4C63-4600-A048-E583FB271AC9}" name="Odehr. z." dataDxfId="876" totalsRowDxfId="875"/>
    <tableColumn id="3" xr3:uid="{86770ADD-62A8-49F7-A437-10F33A443B28}" name="Kolo" dataDxfId="874" totalsRowDxfId="873"/>
    <tableColumn id="4" xr3:uid="{7FA8E6C9-8519-4C3A-AA26-13A7383274C1}" name="Datum" dataDxfId="872" totalsRowDxfId="871"/>
    <tableColumn id="5" xr3:uid="{F4BD8ED6-C5AA-4684-999D-8401565D82D1}" name="Soupeř" dataDxfId="870" totalsRowDxfId="869"/>
    <tableColumn id="6" xr3:uid="{A289ACEB-9915-4271-8A1E-5252FE25F9CE}" name="Doma/venku" dataDxfId="868" totalsRowDxfId="867"/>
    <tableColumn id="7" xr3:uid="{5158B421-BE34-47DA-B5BC-B4F87AA41208}" name="Výsledek pro LIT" dataDxfId="866" totalsRowDxfId="865"/>
    <tableColumn id="33" xr3:uid="{C9CC83DD-D9EB-477B-9E1D-8169EC988571}" name="Výsledek" dataDxfId="864" totalsRowDxfId="863"/>
    <tableColumn id="34" xr3:uid="{A1B41614-12E8-4C96-B9AD-7853CAD0EE53}" name="Góly LIT" dataDxfId="862" totalsRowDxfId="861"/>
    <tableColumn id="35" xr3:uid="{5D29EF6C-1805-40BD-882B-1F5EAC79F6BC}" name="Góly soupeř" dataDxfId="860" totalsRowDxfId="859"/>
    <tableColumn id="36" xr3:uid="{0460B97A-7931-4E76-BBBF-1794FB7A2875}" name="G LIT 60(BEZ EN)" dataDxfId="858" totalsRowDxfId="857"/>
    <tableColumn id="37" xr3:uid="{D9542B03-2203-4E45-AA7D-4851C73958E7}" name="G Soupeř 60(BEZ EN)" dataDxfId="856" totalsRowDxfId="855"/>
    <tableColumn id="8" xr3:uid="{5C0BD376-457A-4C60-9B15-564CBF942E1A}" name="Umístění LIT" totalsRowFunction="average" dataDxfId="854" totalsRowDxfId="853"/>
    <tableColumn id="9" xr3:uid="{BBC71BB7-E82E-4151-8CD0-268EB85A2AF8}" name="Tabulka pravdy" dataDxfId="852" totalsRowDxfId="851"/>
    <tableColumn id="10" xr3:uid="{8C32F0FB-BDAC-4C10-8313-428193E58790}" name="Bodů celkově" dataDxfId="850" totalsRowDxfId="849"/>
    <tableColumn id="11" xr3:uid="{967DC772-62C5-49D1-B0B7-C89A1C8773E0}" name="Góly v přesilovce" dataDxfId="848" totalsRowDxfId="847"/>
    <tableColumn id="12" xr3:uid="{7DB45AE3-D0C6-457F-A95D-9E2CD8540E89}" name="Góly v oslabení" dataDxfId="846" totalsRowDxfId="845"/>
    <tableColumn id="13" xr3:uid="{7EFD22FA-C4D5-4D53-AEBC-D11F69CAE518}" name="Góly inkas. v přesilovce" dataDxfId="844" totalsRowDxfId="843"/>
    <tableColumn id="14" xr3:uid="{5F6418DA-87CF-46C1-B2BD-78B09ED15D19}" name="Góly inkas. v oslabení" dataDxfId="842" totalsRowDxfId="841"/>
    <tableColumn id="15" xr3:uid="{245C12E1-6A43-4FCA-9E70-B6806ED11DCF}" name="Počet přesilovek" dataDxfId="840" totalsRowDxfId="839"/>
    <tableColumn id="16" xr3:uid="{1D37C135-2C7E-418A-A735-0A705E6E9250}" name="Počet oslabení" dataDxfId="838" totalsRowDxfId="837"/>
    <tableColumn id="17" xr3:uid="{11E9B9C9-9877-46A1-83E0-7A0894C3D730}" name="Počet diváků" dataDxfId="836" totalsRowDxfId="835"/>
    <tableColumn id="18" xr3:uid="{17F6EE68-D223-4A4C-A407-A1920B888C35}" name="1. třetina" totalsRowLabel="fdadda" dataDxfId="834" totalsRowDxfId="833"/>
    <tableColumn id="19" xr3:uid="{B971B64C-38F2-4E55-9A92-7D32693993BB}" name="2. třetina" totalsRowLabel="dasasd" dataDxfId="832" totalsRowDxfId="831"/>
    <tableColumn id="20" xr3:uid="{B33B3CAF-16BB-4141-A689-77AFADA13A12}" name="3. třetina" totalsRowLabel="faa" dataDxfId="830" totalsRowDxfId="829"/>
    <tableColumn id="21" xr3:uid="{255AFA60-6698-40DA-90D4-4094563CE647}" name="Prodl./Náj." totalsRowLabel="asdsda" dataDxfId="828" totalsRowDxfId="827"/>
    <tableColumn id="22" xr3:uid="{E2127FD2-9B68-4B4B-BA84-FB21AFD96143}" name="Průběh zápasu" dataDxfId="826" totalsRowDxfId="825"/>
    <tableColumn id="23" xr3:uid="{2EDDADBD-2CE9-4245-8FE0-20E49A6F9FFE}" name="1. gól" dataDxfId="824" totalsRowDxfId="823"/>
    <tableColumn id="24" xr3:uid="{D83B97BE-3E14-48B7-BA40-448A053EBB33}" name="2. gól" dataDxfId="822" totalsRowDxfId="821"/>
    <tableColumn id="25" xr3:uid="{2EB8CE93-C3FF-41FD-8D66-58B36C0291DA}" name="3. gól" dataDxfId="820" totalsRowDxfId="819"/>
    <tableColumn id="26" xr3:uid="{ED4DA3D4-92A0-4BE0-9853-878B5D6CF56B}" name="4. gól" dataDxfId="818" totalsRowDxfId="817"/>
    <tableColumn id="27" xr3:uid="{B80A08A1-E769-418F-8E89-E8B80D5FB2FC}" name="5. gól" dataDxfId="816" totalsRowDxfId="815"/>
    <tableColumn id="28" xr3:uid="{20700F7B-891A-4F90-97D2-AEB5B35016E3}" name="6. gól" dataDxfId="814" totalsRowDxfId="813"/>
    <tableColumn id="29" xr3:uid="{578C0091-B1D1-45C7-9E13-FC697B882A10}" name="7. gól" dataDxfId="812" totalsRowDxfId="811"/>
    <tableColumn id="30" xr3:uid="{E5631733-DDDC-4EAA-A890-2C6A839BC3CA}" name="8. gól" dataDxfId="810" totalsRowDxfId="809"/>
    <tableColumn id="31" xr3:uid="{EE254EF5-4001-44EB-8353-C6D9F630F85D}" name="Nájezdy" dataDxfId="808" totalsRowDxfId="807"/>
    <tableColumn id="32" xr3:uid="{B6981F71-D2F3-4941-8992-7D800A269C80}" name="Sestava" totalsRowFunction="count" dataDxfId="806" totalsRowDxfId="80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B4DFA73-1351-4442-A9C9-F48FD9B8278C}" name="Zapasy20212022" displayName="Zapasy20212022" ref="A2:AK59" totalsRowCount="1" headerRowDxfId="804" tableBorderDxfId="803">
  <autoFilter ref="A2:AK58" xr:uid="{2B4DFA73-1351-4442-A9C9-F48FD9B8278C}"/>
  <tableColumns count="37">
    <tableColumn id="1" xr3:uid="{A278F777-4579-4A05-9D77-B3395AFDF15C}" name="Sezóna" totalsRowLabel="Celkem" dataDxfId="802" totalsRowDxfId="36">
      <calculatedColumnFormula>A2</calculatedColumnFormula>
    </tableColumn>
    <tableColumn id="2" xr3:uid="{662826E1-6FDF-49FA-9A18-27B8971D3D14}" name="Odehr. z." dataDxfId="801" totalsRowDxfId="35"/>
    <tableColumn id="3" xr3:uid="{ED54BA7F-E639-4C87-9A20-0D12326E4074}" name="Kolo" dataDxfId="800" totalsRowDxfId="34"/>
    <tableColumn id="4" xr3:uid="{DCF8780E-B229-482B-8DDD-0C6766D6CFCA}" name="Datum" dataDxfId="799" totalsRowDxfId="33"/>
    <tableColumn id="5" xr3:uid="{D08C6EBE-BE1B-461A-AE54-B1F0A36D4DB9}" name="Soupeř" dataDxfId="798" totalsRowDxfId="32"/>
    <tableColumn id="6" xr3:uid="{092F2F48-343A-4F5E-9AE6-B7904BE602FC}" name="Doma/venku" dataDxfId="797" totalsRowDxfId="31"/>
    <tableColumn id="7" xr3:uid="{F9B3CF9B-8535-45B6-8D97-876DAE220C57}" name="Výsledek pro LIT" dataDxfId="796" totalsRowDxfId="30"/>
    <tableColumn id="33" xr3:uid="{8841C9A0-1FB5-425C-B70D-4ADC86ADF228}" name="Výsledek" dataDxfId="795" totalsRowDxfId="29"/>
    <tableColumn id="34" xr3:uid="{D61A2A10-6D08-4F36-8CBA-E77D6F74A7BB}" name="Góly LIT" dataDxfId="794" totalsRowDxfId="28"/>
    <tableColumn id="35" xr3:uid="{7339E7C2-AAD9-4178-892F-F219290F9AF4}" name="Góly soupeř" dataDxfId="793" totalsRowDxfId="27"/>
    <tableColumn id="36" xr3:uid="{04066D79-9749-4967-A7B5-FD36A648CD0F}" name="G LIT 60(BEZ EN)" dataDxfId="792" totalsRowDxfId="26"/>
    <tableColumn id="37" xr3:uid="{BF0EEF9A-D5CA-4423-9CBE-950A9435C02F}" name="G Soupeř 60(BEZ EN)" dataDxfId="791" totalsRowDxfId="25"/>
    <tableColumn id="8" xr3:uid="{2B9128A9-2274-4B7B-8198-52723DD40436}" name="Umístění LIT" totalsRowFunction="average" dataDxfId="790" totalsRowDxfId="24"/>
    <tableColumn id="9" xr3:uid="{2FFB44D5-824C-473F-B72B-FCA167E8E4C1}" name="Tabulka pravdy" dataDxfId="789" totalsRowDxfId="23"/>
    <tableColumn id="10" xr3:uid="{2CD15CD7-1DD5-4214-B3EF-CF3941B1B838}" name="Bodů celkově" dataDxfId="788" totalsRowDxfId="22"/>
    <tableColumn id="11" xr3:uid="{40AB76BA-328E-429B-AFED-F4A870EC819F}" name="Góly v přesilovce" dataDxfId="787" totalsRowDxfId="21"/>
    <tableColumn id="12" xr3:uid="{A24497D3-E35A-4DB6-8253-19320F518194}" name="Góly v oslabení" dataDxfId="786" totalsRowDxfId="20"/>
    <tableColumn id="13" xr3:uid="{54315072-6DEF-4485-B4DC-6D068974603D}" name="Góly inkas. v přesilovce" dataDxfId="785" totalsRowDxfId="19"/>
    <tableColumn id="14" xr3:uid="{4C739793-8477-450E-9152-307419ACDEB8}" name="Góly inkas. v oslabení" dataDxfId="784" totalsRowDxfId="18"/>
    <tableColumn id="15" xr3:uid="{67567B72-C34E-4D1B-B34E-74B3EDCB3A1A}" name="Počet přesilovek" dataDxfId="783" totalsRowDxfId="17"/>
    <tableColumn id="16" xr3:uid="{CDCF5FFE-102C-4105-B825-D19E082CAE77}" name="Počet oslabení" dataDxfId="782" totalsRowDxfId="16"/>
    <tableColumn id="17" xr3:uid="{E34EEEA5-A74C-41A5-933A-B89B3CCE9E63}" name="Počet diváků" dataDxfId="781" totalsRowDxfId="15"/>
    <tableColumn id="18" xr3:uid="{35D754FD-7E0C-46E0-8A4C-5E8FE89B03EC}" name="1. třetina" totalsRowLabel="dasasdf" dataDxfId="780" totalsRowDxfId="14"/>
    <tableColumn id="19" xr3:uid="{28533258-0DA9-4A70-92E8-5F7A32E068A5}" name="2. třetina" totalsRowLabel="dasda" dataDxfId="779" totalsRowDxfId="13"/>
    <tableColumn id="20" xr3:uid="{FA7328A4-E4D1-45D4-A8B1-C645FA76B276}" name="3. třetina" totalsRowLabel="faasd" dataDxfId="778" totalsRowDxfId="12"/>
    <tableColumn id="21" xr3:uid="{A02B0BBD-2426-4395-AB8B-48FB847A0389}" name="Prodl./Náj." totalsRowLabel="sdasda" dataDxfId="777" totalsRowDxfId="11"/>
    <tableColumn id="22" xr3:uid="{D92556E1-F0E6-402D-93DB-C278F5A971C5}" name="Průběh zápasu" dataDxfId="776" totalsRowDxfId="10"/>
    <tableColumn id="23" xr3:uid="{0BE8A055-D07D-40F5-A843-B04E6E4ED37E}" name="1. gól" dataDxfId="775" totalsRowDxfId="9"/>
    <tableColumn id="24" xr3:uid="{4B086B60-A2A4-410B-8A7F-3D793ABC3BA7}" name="2. gól" dataDxfId="774" totalsRowDxfId="8"/>
    <tableColumn id="25" xr3:uid="{2C759624-ECA2-40B8-80B7-89007E186665}" name="3. gól" dataDxfId="773" totalsRowDxfId="7"/>
    <tableColumn id="26" xr3:uid="{3352D693-36A4-480F-828F-44CD830CB282}" name="4. gól" dataDxfId="772" totalsRowDxfId="6"/>
    <tableColumn id="27" xr3:uid="{0700C192-D7A3-483A-8B79-3A02FFED6539}" name="5. gól" dataDxfId="771" totalsRowDxfId="5"/>
    <tableColumn id="28" xr3:uid="{529FA723-1ED2-4B4C-ABC4-4277F946C436}" name="6. gól" dataDxfId="770" totalsRowDxfId="4"/>
    <tableColumn id="29" xr3:uid="{315B30D4-829F-46D1-AAAF-1C01E93F5D3C}" name="7. gól" dataDxfId="769" totalsRowDxfId="3"/>
    <tableColumn id="30" xr3:uid="{952633F2-29A1-462D-9DC3-744EEE9757E1}" name="8. gól" dataDxfId="768" totalsRowDxfId="2"/>
    <tableColumn id="31" xr3:uid="{EF5A08D4-90B9-44B4-B50C-C486F9EC7F5B}" name="Nájezdy" dataDxfId="767" totalsRowDxfId="1"/>
    <tableColumn id="32" xr3:uid="{F68733AB-4D0F-4469-B1E2-46F61814ED31}" name="Sestava" totalsRowFunction="count" dataDxfId="766" totalsRowDxfId="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0B010B9-01C6-4BF2-A773-DDC7253DAB87}" name="Zapasy20222023" displayName="Zapasy20222023" ref="A2:AK58" totalsRowCount="1" headerRowDxfId="765" tableBorderDxfId="764">
  <autoFilter ref="A2:AK57" xr:uid="{40B010B9-01C6-4BF2-A773-DDC7253DAB87}"/>
  <tableColumns count="37">
    <tableColumn id="1" xr3:uid="{9144D6B7-DB68-4621-8C7B-35AD48FA0955}" name="Sezóna" totalsRowLabel="Celkem" dataDxfId="763" totalsRowDxfId="73">
      <calculatedColumnFormula>A2</calculatedColumnFormula>
    </tableColumn>
    <tableColumn id="2" xr3:uid="{83EB787F-C5C9-4B0E-8D3D-F87CF9CF9762}" name="Odehr. z." dataDxfId="762" totalsRowDxfId="72"/>
    <tableColumn id="3" xr3:uid="{4D0AA035-7114-4D47-9034-8FEBC0E843A8}" name="Kolo" dataDxfId="761" totalsRowDxfId="71"/>
    <tableColumn id="4" xr3:uid="{8745BE34-6249-41D0-8708-C048E2E06722}" name="Datum" dataDxfId="760" totalsRowDxfId="70"/>
    <tableColumn id="5" xr3:uid="{473EAEAA-AB61-4F74-8F03-CF18C0F8621B}" name="Soupeř" dataDxfId="759" totalsRowDxfId="69"/>
    <tableColumn id="6" xr3:uid="{4DE209B4-D38B-4DE5-98C9-4CA96A72CF38}" name="Doma/venku" dataDxfId="758" totalsRowDxfId="68"/>
    <tableColumn id="7" xr3:uid="{8F450C77-E690-4E03-8CEE-3ECC64E2B6DD}" name="Výsledek pro LIT" dataDxfId="757" totalsRowDxfId="67"/>
    <tableColumn id="33" xr3:uid="{F898488F-758E-4ACE-8D2C-3F485388EF00}" name="Výsledek" dataDxfId="756" totalsRowDxfId="66"/>
    <tableColumn id="34" xr3:uid="{789BE83C-F75C-4C72-91E0-32A00A73FD64}" name="Góly LIT" dataDxfId="755" totalsRowDxfId="65"/>
    <tableColumn id="35" xr3:uid="{8DD40385-ADD4-4F15-8BB9-8FE96FCD169D}" name="Góly soupeř" dataDxfId="754" totalsRowDxfId="64"/>
    <tableColumn id="36" xr3:uid="{01142AC0-5AFF-4EA8-AA77-92A9DA5C613B}" name="G LIT 60(BEZ EN)" dataDxfId="753" totalsRowDxfId="63"/>
    <tableColumn id="37" xr3:uid="{E83B0A2D-E135-49EE-B068-03A3273EF117}" name="G Soupeř 60(BEZ EN)" dataDxfId="752" totalsRowDxfId="62"/>
    <tableColumn id="8" xr3:uid="{33F99C96-BF2A-4084-ADEC-7431A44484C3}" name="Umístění LIT" dataDxfId="751" totalsRowDxfId="61"/>
    <tableColumn id="9" xr3:uid="{3C601AC0-D31E-4972-98AC-B3260FBCC4BB}" name="Tabulka pravdy" dataDxfId="750" totalsRowDxfId="60"/>
    <tableColumn id="10" xr3:uid="{CA2B6124-C86A-40D8-B465-1A4756C260D2}" name="Bodů celkově" dataDxfId="749" totalsRowDxfId="59"/>
    <tableColumn id="11" xr3:uid="{611634D3-5B4D-4B5F-9722-548939163C9C}" name="Góly v přesilovce" dataDxfId="748" totalsRowDxfId="58"/>
    <tableColumn id="12" xr3:uid="{F79F43F6-A2EE-494E-AF8A-741DB8346BBF}" name="Góly v oslabení" dataDxfId="747" totalsRowDxfId="57"/>
    <tableColumn id="13" xr3:uid="{68B67CEB-1CDD-40FF-AF04-7863604D7D8B}" name="Góly inkas. v přesilovce" dataDxfId="746" totalsRowDxfId="56"/>
    <tableColumn id="14" xr3:uid="{8831EE22-BAB7-41EF-B9A7-7CD3AF776B73}" name="Góly inkas. v oslabení" dataDxfId="745" totalsRowDxfId="55"/>
    <tableColumn id="15" xr3:uid="{82E4A54F-5BF9-4F98-8933-8D53F33A1BA8}" name="Počet přesilovek" dataDxfId="744" totalsRowDxfId="54"/>
    <tableColumn id="16" xr3:uid="{3248BC30-BF9F-45FF-8682-A47B2882A175}" name="Počet oslabení" dataDxfId="743" totalsRowDxfId="53"/>
    <tableColumn id="17" xr3:uid="{FC2D32C8-7CD6-438D-AB95-6151E46B758E}" name="Počet diváků" dataDxfId="742" totalsRowDxfId="52"/>
    <tableColumn id="18" xr3:uid="{4BD4A4CA-3E4B-4D86-82CD-89D2ECA21437}" name="1. třetina" totalsRowLabel="dasdas" dataDxfId="741" totalsRowDxfId="51"/>
    <tableColumn id="19" xr3:uid="{CC96853E-B2ED-4A3A-9E95-7F49FDB64042}" name="2. třetina" totalsRowLabel="fasddsa" dataDxfId="740" totalsRowDxfId="50"/>
    <tableColumn id="20" xr3:uid="{6F4B84CB-DB3E-432C-B0D1-520399ED6DBC}" name="3. třetina" totalsRowLabel="dassdads" dataDxfId="739" totalsRowDxfId="49"/>
    <tableColumn id="21" xr3:uid="{3056A3C3-F4C8-4B64-9E11-5963C686FE83}" name="Prodl./Náj." totalsRowLabel="asdsda" dataDxfId="738" totalsRowDxfId="48"/>
    <tableColumn id="22" xr3:uid="{DA730F43-7E71-46A4-B717-76B947E8A4CE}" name="Průběh zápasu" dataDxfId="737" totalsRowDxfId="47"/>
    <tableColumn id="23" xr3:uid="{09484990-0D0E-4E88-AB51-64DC8FDFCBB6}" name="1. gól" dataDxfId="736" totalsRowDxfId="46"/>
    <tableColumn id="24" xr3:uid="{82EE511E-6EBF-496D-9966-7F91DD176BD1}" name="2. gól" dataDxfId="735" totalsRowDxfId="45"/>
    <tableColumn id="25" xr3:uid="{1FBEF1D9-C919-4288-98D1-796B29FA7551}" name="3. gól" dataDxfId="734" totalsRowDxfId="44"/>
    <tableColumn id="26" xr3:uid="{629132E3-BCCA-4C71-9E57-2BD263B230B1}" name="4. gól" dataDxfId="733" totalsRowDxfId="43"/>
    <tableColumn id="27" xr3:uid="{5022EB99-741D-4793-BC80-C544770A54B7}" name="5. gól" dataDxfId="732" totalsRowDxfId="42"/>
    <tableColumn id="28" xr3:uid="{EDA43306-91A2-4A10-B8F7-EE841AB2F7AE}" name="6. gól" dataDxfId="731" totalsRowDxfId="41"/>
    <tableColumn id="29" xr3:uid="{1B2FB21D-87CB-493A-9FF5-1076A65A6BA5}" name="7. gól" dataDxfId="730" totalsRowDxfId="40"/>
    <tableColumn id="30" xr3:uid="{1B29836F-D5F0-457C-8E5B-F22D96A987E1}" name="8. gól" dataDxfId="729" totalsRowDxfId="39"/>
    <tableColumn id="31" xr3:uid="{91F6162B-89E3-4BA2-921E-AB4EC961FD18}" name="Nájezdy" dataDxfId="728" totalsRowDxfId="38"/>
    <tableColumn id="32" xr3:uid="{1B78D238-2C77-464D-8CCD-46C30A3727A6}" name="Sestava" totalsRowFunction="count" dataDxfId="727" totalsRowDxfId="3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65008A06-76A2-4D71-A3D4-F6E723B0F461}" name="Zapasy20232024" displayName="Zapasy20232024" ref="A2:AK68" totalsRowCount="1" headerRowDxfId="726" tableBorderDxfId="725">
  <autoFilter ref="A2:AK67" xr:uid="{65008A06-76A2-4D71-A3D4-F6E723B0F461}"/>
  <tableColumns count="37">
    <tableColumn id="1" xr3:uid="{0B3F0F2E-C294-4CD8-8268-550317D1190C}" name="Sezóna" totalsRowLabel="Celkem" dataDxfId="724" totalsRowDxfId="723">
      <calculatedColumnFormula>A2</calculatedColumnFormula>
    </tableColumn>
    <tableColumn id="2" xr3:uid="{A927EFDD-E97D-4CA3-9BE6-39F37E0587D1}" name="Odehr. z." dataDxfId="722" totalsRowDxfId="721"/>
    <tableColumn id="3" xr3:uid="{470D5E6C-08C3-42C2-AEB2-F25AF790C727}" name="Kolo" dataDxfId="720" totalsRowDxfId="719"/>
    <tableColumn id="4" xr3:uid="{1212D1F8-1B9F-4F09-AAA1-047F5AB7A261}" name="Datum" dataDxfId="718" totalsRowDxfId="717"/>
    <tableColumn id="5" xr3:uid="{3DCB5A3B-3C24-408E-8715-8EBF261E58A6}" name="Soupeř" dataDxfId="716" totalsRowDxfId="715"/>
    <tableColumn id="6" xr3:uid="{C93329D2-41D5-48F9-82E5-41813D3E5DEE}" name="Doma/venku" dataDxfId="714" totalsRowDxfId="713"/>
    <tableColumn id="7" xr3:uid="{4F57121D-EE2D-4F3A-94C5-070A706AC50A}" name="Výsledek pro LIT" dataDxfId="712" totalsRowDxfId="711"/>
    <tableColumn id="33" xr3:uid="{BB80CD32-7A8F-41C7-8A38-2AAEBE644D1C}" name="Výsledek" dataDxfId="710" totalsRowDxfId="709"/>
    <tableColumn id="34" xr3:uid="{44BA84C3-D082-432F-993C-6729485DDE8F}" name="Góly LIT" totalsRowFunction="sum" dataDxfId="708" totalsRowDxfId="707"/>
    <tableColumn id="35" xr3:uid="{8B199D1E-52C4-46DB-B201-EA9AF9ECD509}" name="Góly soupeř" totalsRowFunction="sum" dataDxfId="706" totalsRowDxfId="705"/>
    <tableColumn id="36" xr3:uid="{A7B47C28-364F-48CD-BFC5-CE04D3D45B45}" name="G LIT 60(BEZ EN)" totalsRowFunction="sum" dataDxfId="704" totalsRowDxfId="703"/>
    <tableColumn id="37" xr3:uid="{6A702553-8674-4AFC-A48E-681DC81507CE}" name="G Soupeř 60(BEZ EN)" totalsRowFunction="sum" dataDxfId="702" totalsRowDxfId="701"/>
    <tableColumn id="8" xr3:uid="{21B5EEC0-F99E-46C2-8E10-8872CE37B423}" name="Umístění LIT" totalsRowFunction="average" dataDxfId="700" totalsRowDxfId="699"/>
    <tableColumn id="9" xr3:uid="{9FE57E18-B80A-4CD0-A6B3-7210782D41DF}" name="Tabulka pravdy" dataDxfId="698" totalsRowDxfId="697"/>
    <tableColumn id="10" xr3:uid="{893B1EBF-97C9-448B-B870-09AEEF0109B3}" name="Bodů celkově" totalsRowFunction="max" dataDxfId="696" totalsRowDxfId="695"/>
    <tableColumn id="11" xr3:uid="{44F0F10C-1643-466A-B8C2-BD4D96FECAFC}" name="Góly v přesilovce" totalsRowFunction="sum" dataDxfId="694" totalsRowDxfId="693"/>
    <tableColumn id="12" xr3:uid="{4BDEAABC-9F79-4755-B0FB-99FEA6AD472E}" name="Góly v oslabení" totalsRowFunction="sum" dataDxfId="692" totalsRowDxfId="691"/>
    <tableColumn id="13" xr3:uid="{494EF45E-C900-496D-9257-A7551DDC7054}" name="Góly inkas. v přesilovce" totalsRowFunction="sum" dataDxfId="690" totalsRowDxfId="689"/>
    <tableColumn id="14" xr3:uid="{868B289F-A08F-42FE-8574-20D2CEE52572}" name="Góly inkas. v oslabení" totalsRowFunction="sum" dataDxfId="688" totalsRowDxfId="687"/>
    <tableColumn id="15" xr3:uid="{FE7E8E13-F559-407E-9994-9877C1637D1E}" name="Počet přesilovek" totalsRowFunction="sum" dataDxfId="686" totalsRowDxfId="685"/>
    <tableColumn id="16" xr3:uid="{E1134A1D-F519-42F5-BD8B-B325E81F6AC4}" name="Počet oslabení" totalsRowFunction="sum" dataDxfId="684" totalsRowDxfId="683"/>
    <tableColumn id="17" xr3:uid="{B2942082-DCD5-4220-A65C-2614C2FE2B62}" name="Počet diváků" totalsRowFunction="average" dataDxfId="682" totalsRowDxfId="681"/>
    <tableColumn id="18" xr3:uid="{964538D2-84BA-4644-80B7-147441BBBC45}" name="1. třetina" totalsRowLabel="sdad" dataDxfId="680" totalsRowDxfId="679"/>
    <tableColumn id="19" xr3:uid="{4887370A-B2D0-4704-9DEE-FB370A25BE7E}" name="2. třetina" totalsRowLabel="dsa" dataDxfId="678" totalsRowDxfId="677"/>
    <tableColumn id="20" xr3:uid="{B5982502-140E-428C-A882-464DC92DFA22}" name="3. třetina" totalsRowLabel="dsadas" dataDxfId="676" totalsRowDxfId="675"/>
    <tableColumn id="21" xr3:uid="{91AF81FB-7505-43FC-8E23-B4F94DF3712E}" name="Prodl./Náj." totalsRowLabel="dsaad" dataDxfId="674" totalsRowDxfId="673"/>
    <tableColumn id="22" xr3:uid="{9B66F9E0-36E7-4820-AFA7-1CBBE54DD456}" name="Průběh zápasu" dataDxfId="672" totalsRowDxfId="671"/>
    <tableColumn id="23" xr3:uid="{A103173F-BF58-45F4-AD84-011B95D2171E}" name="1. gól"/>
    <tableColumn id="24" xr3:uid="{88B31B6A-F098-4325-B097-79310C26C701}" name="2. gól"/>
    <tableColumn id="25" xr3:uid="{F760ADBF-4DDC-408C-85A8-0EFA8592A4B2}" name="3. gól" dataDxfId="670" totalsRowDxfId="669"/>
    <tableColumn id="26" xr3:uid="{B3343EB0-E744-4DE0-B159-CAB93DCBA9D5}" name="4. gól" dataDxfId="668" totalsRowDxfId="667"/>
    <tableColumn id="27" xr3:uid="{AAC9169C-DE34-4B22-A650-8DEEB0BA3C82}" name="5. gól" dataDxfId="666" totalsRowDxfId="665"/>
    <tableColumn id="28" xr3:uid="{64BE43B6-27E0-4C96-A70F-94D17B6D0C92}" name="6. gól" dataDxfId="664" totalsRowDxfId="663"/>
    <tableColumn id="29" xr3:uid="{F338C415-5488-4CA3-B734-945CA3F7BEEA}" name="7. gól" dataDxfId="662" totalsRowDxfId="661"/>
    <tableColumn id="30" xr3:uid="{4A5F28FB-D68B-4C4D-B716-3A4E3CBA13DF}" name="8. gól" dataDxfId="660" totalsRowDxfId="659"/>
    <tableColumn id="31" xr3:uid="{AFBBDA91-F9B4-4374-BB3F-79EE226C98FC}" name="Nájezdy" dataDxfId="658" totalsRowDxfId="657"/>
    <tableColumn id="32" xr3:uid="{A4A631BD-F700-4F28-B04A-EB4D902AFACB}" name="Sestava" totalsRowFunction="count" dataDxfId="656" totalsRowDxfId="65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20580C1-BD3E-4A87-8C5A-F98D4A7854F0}" name="Zapasy20242025" displayName="Zapasy20242025" ref="A2:AK59" totalsRowCount="1" headerRowDxfId="654" tableBorderDxfId="653">
  <autoFilter ref="A2:AK58" xr:uid="{320580C1-BD3E-4A87-8C5A-F98D4A7854F0}"/>
  <tableColumns count="37">
    <tableColumn id="1" xr3:uid="{DC7C3A7F-4F9E-44DC-99FB-0040E1E86781}" name="Sezóna" totalsRowLabel="Celkem" dataDxfId="652" totalsRowDxfId="651"/>
    <tableColumn id="2" xr3:uid="{0896E5F7-F92C-4AC7-A81F-C2C07CE5B7F0}" name="Odehr. z." dataDxfId="650" totalsRowDxfId="649"/>
    <tableColumn id="3" xr3:uid="{58AC566E-6D02-4FB1-8C0E-D793AE21BCAC}" name="Kolo" dataDxfId="648"/>
    <tableColumn id="35" xr3:uid="{FD4F6EA5-9362-4E1F-AF3E-E9704C3CB1D7}" name="Datum" dataDxfId="647" totalsRowDxfId="646"/>
    <tableColumn id="4" xr3:uid="{1B67CF76-0EC2-431C-8DF6-D4866FD02134}" name="Soupeř" dataDxfId="645" totalsRowDxfId="644"/>
    <tableColumn id="5" xr3:uid="{4D6320E4-F09E-4DD4-AF79-A2AF02C60D6E}" name="Doma/venku" dataDxfId="643" totalsRowDxfId="642"/>
    <tableColumn id="6" xr3:uid="{27AAC754-0A08-4D5F-AA3E-1693341B47AB}" name="Výsledek pro LIT" dataDxfId="641" totalsRowDxfId="640"/>
    <tableColumn id="36" xr3:uid="{33EB48FC-AAF2-4B5D-8DA1-F5BFA8B32A46}" name="Výsledek" dataDxfId="639" totalsRowDxfId="638"/>
    <tableColumn id="37" xr3:uid="{3D72C3FB-6BAC-437F-BB58-52150D8A9A1A}" name="Góly LIT" totalsRowFunction="sum" dataDxfId="637" totalsRowDxfId="636"/>
    <tableColumn id="38" xr3:uid="{ED9855C2-F1BE-422C-9143-425BB612DCD2}" name="Góly soupeř" totalsRowFunction="sum" dataDxfId="635" totalsRowDxfId="634"/>
    <tableColumn id="39" xr3:uid="{7E8AD117-1036-40A0-9B49-768BA34AE604}" name="G LIT 60(BEZ EN)" totalsRowFunction="sum" dataDxfId="633" totalsRowDxfId="632"/>
    <tableColumn id="40" xr3:uid="{6720EDCA-7666-4A40-9469-34FDD545D551}" name="G Soupeř 60(BEZ EN)" totalsRowFunction="sum" dataDxfId="631" totalsRowDxfId="630"/>
    <tableColumn id="7" xr3:uid="{65F6FA3C-DBE0-468E-BF3D-44A3472547FD}" name="Umístění LIT" totalsRowFunction="average" dataDxfId="629" totalsRowDxfId="628"/>
    <tableColumn id="8" xr3:uid="{BC6AA98C-215F-4AAE-91C0-8D1B1E5EDB2B}" name="Tabulka pravdy" dataDxfId="627" totalsRowDxfId="626"/>
    <tableColumn id="9" xr3:uid="{230F0C32-0E2B-44A4-96E0-A10996A3668A}" name="Bodů celkově" totalsRowFunction="max" dataDxfId="625" totalsRowDxfId="624"/>
    <tableColumn id="10" xr3:uid="{B2B21715-85DE-4083-897E-9736EDCF270A}" name="Góly v přesilovce" totalsRowFunction="sum" dataDxfId="623" totalsRowDxfId="622"/>
    <tableColumn id="11" xr3:uid="{E45E0E0A-F57B-48F0-9D3B-43A195DC8C07}" name="Góly v oslabení" totalsRowFunction="sum" dataDxfId="621" totalsRowDxfId="620"/>
    <tableColumn id="12" xr3:uid="{7E88283D-73F1-4B03-8EA7-E38E050DEE9C}" name="Góly inkas. v přesilovce" totalsRowFunction="sum" dataDxfId="619" totalsRowDxfId="618"/>
    <tableColumn id="13" xr3:uid="{F2C5E514-CBB7-4B1A-981F-40CB8D527740}" name="Góly inkas. v oslabení" totalsRowFunction="sum" dataDxfId="617" totalsRowDxfId="616"/>
    <tableColumn id="14" xr3:uid="{5B4C12D2-66F1-4A53-9085-93B65A806737}" name="Počet přesilovek" totalsRowFunction="sum" dataDxfId="615" totalsRowDxfId="614"/>
    <tableColumn id="15" xr3:uid="{47E6832C-B4B7-4F30-8930-B830C5745FCB}" name="Počet oslabení" totalsRowFunction="sum" dataDxfId="613" totalsRowDxfId="612"/>
    <tableColumn id="16" xr3:uid="{C5FF1337-6953-4502-B7AF-D77475AB2556}" name="Počet diváků" totalsRowFunction="average" dataDxfId="611" totalsRowDxfId="610"/>
    <tableColumn id="17" xr3:uid="{288662EE-BF47-4541-B6E7-A1B75413DA60}" name="1. třetina" totalsRowLabel="dsaads" dataDxfId="609" totalsRowDxfId="608"/>
    <tableColumn id="18" xr3:uid="{4972FC21-F366-48C2-8208-C8D41033F70F}" name="2. třetina" totalsRowLabel="sdadsa" dataDxfId="607" totalsRowDxfId="606"/>
    <tableColumn id="19" xr3:uid="{A0CB2911-056E-47AC-A36D-F75AB5C9BFA8}" name="3. třetina" totalsRowLabel="dsas" dataDxfId="605" totalsRowDxfId="604"/>
    <tableColumn id="20" xr3:uid="{2F1F38F2-0E83-411E-8F6A-17AC7A25BED1}" name="Prodl./Náj." totalsRowLabel="dasa" dataDxfId="603" totalsRowDxfId="602"/>
    <tableColumn id="21" xr3:uid="{DBE0B9EB-35A0-4760-85EC-8C2FA775B168}" name="Průběh zápasu" dataDxfId="601" totalsRowDxfId="600"/>
    <tableColumn id="23" xr3:uid="{06869B21-4224-40A8-B1C3-C72780B74FDB}" name="1. gól" dataDxfId="599" totalsRowDxfId="598"/>
    <tableColumn id="24" xr3:uid="{6B2D3FA6-5169-4B88-B5E3-39FDD1F42A36}" name="2. gól" dataDxfId="597" totalsRowDxfId="596"/>
    <tableColumn id="25" xr3:uid="{9A3B58DB-ADED-48A3-8CA3-493C270893F5}" name="3. gól" dataDxfId="595" totalsRowDxfId="594"/>
    <tableColumn id="26" xr3:uid="{BC8929A5-EE1B-4D91-A1D9-B66B0693A554}" name="4. gól" dataDxfId="593" totalsRowDxfId="592"/>
    <tableColumn id="27" xr3:uid="{A27E6D26-8C1E-44AB-A7D1-78662B203D76}" name="5. gól" dataDxfId="591" totalsRowDxfId="590"/>
    <tableColumn id="28" xr3:uid="{838F5205-9519-489D-8F11-AFA00FDF5731}" name="6. gól" dataDxfId="589" totalsRowDxfId="588"/>
    <tableColumn id="29" xr3:uid="{76FDC100-B0BA-442A-8A3C-DB2594ADA4B1}" name="7. gól" dataDxfId="587" totalsRowDxfId="586"/>
    <tableColumn id="30" xr3:uid="{B53DE46D-A1F0-47D4-8586-684280505E0A}" name="8. gól" dataDxfId="585" totalsRowDxfId="584"/>
    <tableColumn id="31" xr3:uid="{5878763C-3DF5-48AA-A661-81AC5AD12325}" name="Nájezdy" dataDxfId="583" totalsRowDxfId="582"/>
    <tableColumn id="32" xr3:uid="{0E3740C9-ED2E-45FB-9437-E9DCC2E8E89C}" name="Sestava" totalsRowFunction="count"/>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C6F59DC-3096-42DA-81E9-DDAEE5BF756C}" name="Tabulka_1" displayName="Tabulka_1" ref="A1:H53" totalsRowShown="0">
  <autoFilter ref="A1:H53" xr:uid="{4C6F59DC-3096-42DA-81E9-DDAEE5BF756C}"/>
  <tableColumns count="8">
    <tableColumn id="1" xr3:uid="{63B3D603-FC15-41A1-8085-18F214D55D8F}" name="#" dataDxfId="581"/>
    <tableColumn id="2" xr3:uid="{8301301E-E6BA-4D12-91A2-28D52758B775}" name="Datum" dataDxfId="580"/>
    <tableColumn id="3" xr3:uid="{CEB639D2-C277-4C47-8AF7-F141664E8918}" name="Stadion" dataDxfId="579"/>
    <tableColumn id="4" xr3:uid="{1C9042B7-915D-40D9-9D86-FCB4156BED71}" name="Domácí" dataDxfId="578"/>
    <tableColumn id="5" xr3:uid="{F2BBFD6E-F3CA-4A96-82E1-2BC7CFDE10FB}" name="Hosté" dataDxfId="577"/>
    <tableColumn id="6" xr3:uid="{55BDF884-1D73-40CB-BF6F-EC9744D26E3F}" name="Column1" dataDxfId="576"/>
    <tableColumn id="7" xr3:uid="{33D0B9E7-6FF8-4DAD-B279-A052CE3E3B12}" name="Doma/Venku" dataDxfId="575"/>
    <tableColumn id="8" xr3:uid="{04BA514D-6AC6-4B29-83BF-784B436C8B5D}" name="Soupeř" dataDxfId="57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566C97A-4182-4335-8290-08AB236E8497}" name="Zapasy20252026" displayName="Zapasy20252026" ref="A2:AK62" totalsRowCount="1" headerRowDxfId="573" dataDxfId="572" tableBorderDxfId="571">
  <autoFilter ref="A2:AK61" xr:uid="{2566C97A-4182-4335-8290-08AB236E8497}"/>
  <tableColumns count="37">
    <tableColumn id="1" xr3:uid="{DEB62C0E-FC4B-451E-9BA2-DD45D331CFB1}" name="Sezóna" totalsRowLabel="Celkem"/>
    <tableColumn id="2" xr3:uid="{407F4B5C-3871-43AC-B99D-BA6F96D37F35}" name="Odehr. z." dataDxfId="570" totalsRowDxfId="569"/>
    <tableColumn id="3" xr3:uid="{697BF9B3-B303-4C36-A45A-624347288433}" name="Kolo" dataDxfId="568" totalsRowDxfId="567"/>
    <tableColumn id="33" xr3:uid="{050E7BCD-6976-4AD7-8A00-17BBF062E7B7}" name="Datum" dataDxfId="566" totalsRowDxfId="565"/>
    <tableColumn id="4" xr3:uid="{DC73A0C5-6CB0-4CD7-9FD7-8D2AFD4A1D65}" name="Soupeř" dataDxfId="564" totalsRowDxfId="563"/>
    <tableColumn id="5" xr3:uid="{78460D8A-7C7D-4711-9ABB-EF13D2306FBA}" name="Doma/venku" dataDxfId="562" totalsRowDxfId="561"/>
    <tableColumn id="6" xr3:uid="{9187E5FB-5AF0-4A15-A91F-E6DDC93F3819}" name="Výsledek pro LIT" dataDxfId="560"/>
    <tableColumn id="38" xr3:uid="{A5ED2E25-29D0-4D6A-9FD2-9784DA58985C}" name="Výsledek" dataDxfId="559" totalsRowDxfId="558"/>
    <tableColumn id="35" xr3:uid="{A2169D8F-980A-4F3A-95DE-61AE061CDD7F}" name="Góly LIT" totalsRowFunction="sum" dataDxfId="557" totalsRowDxfId="556"/>
    <tableColumn id="34" xr3:uid="{87BF00B1-9417-47E4-8532-BE6848D5245F}" name="Góly soupeř" totalsRowFunction="sum" dataDxfId="555" totalsRowDxfId="554"/>
    <tableColumn id="37" xr3:uid="{D066F7EF-715C-41CD-BE84-33A9E387EAF8}" name="G LIT 60(BEZ EN)" totalsRowFunction="sum" dataDxfId="553" totalsRowDxfId="552"/>
    <tableColumn id="36" xr3:uid="{EEBC16F4-9351-4528-A9A7-3EAE7630F528}" name="G Soupeř 60(BEZ EN)" totalsRowFunction="sum" dataDxfId="551" totalsRowDxfId="550"/>
    <tableColumn id="7" xr3:uid="{8E72E59C-B754-4E33-8BAD-4C5350E20FD4}" name="Umístění LIT" totalsRowFunction="average" totalsRowDxfId="549"/>
    <tableColumn id="8" xr3:uid="{E79E1AE7-553B-41A3-B7D9-B199ED16A4A7}" name="Tabulka pravdy"/>
    <tableColumn id="9" xr3:uid="{C9913E22-30F2-4AE3-8B78-1A3624EDAFAE}" name="Bodů celkově" totalsRowFunction="max" dataDxfId="548" totalsRowDxfId="547"/>
    <tableColumn id="10" xr3:uid="{4D808692-5609-4053-A4B1-15774D25C3C8}" name="Góly v přesilovce" totalsRowFunction="sum" dataDxfId="546" totalsRowDxfId="545"/>
    <tableColumn id="11" xr3:uid="{762770AA-45CC-40B0-B427-C017F1C488F3}" name="Góly v oslabení" totalsRowFunction="sum" dataDxfId="544" totalsRowDxfId="543"/>
    <tableColumn id="12" xr3:uid="{00EF9093-93BB-4383-B9D8-3476B16DE566}" name="Góly inkas. v přesilovce" totalsRowFunction="sum" dataDxfId="542" totalsRowDxfId="541"/>
    <tableColumn id="13" xr3:uid="{71C9E3E8-6114-4C69-BFF4-A1073925B2F1}" name="Góly inkas. v oslabení" totalsRowFunction="sum" dataDxfId="540" totalsRowDxfId="539"/>
    <tableColumn id="14" xr3:uid="{6BBE4B9F-95D8-4EA9-BCC4-24E04A2D782D}" name="Počet přesilovek" totalsRowFunction="sum" dataDxfId="538" totalsRowDxfId="537"/>
    <tableColumn id="15" xr3:uid="{165B47E3-32DC-4C25-BBAD-8FA43958314C}" name="Počet oslabení" totalsRowFunction="sum" dataDxfId="536" totalsRowDxfId="535"/>
    <tableColumn id="16" xr3:uid="{4C860FBF-3BE4-484A-BCF0-12E0593A77A5}" name="Počet diváků" totalsRowFunction="average" dataDxfId="534" totalsRowDxfId="533"/>
    <tableColumn id="17" xr3:uid="{B439E2A8-A16D-4000-AD47-4AD52CD56381}" name="1. třetina" totalsRowLabel="fghhghfg" dataDxfId="532" totalsRowDxfId="531"/>
    <tableColumn id="18" xr3:uid="{06D1D4A4-71F3-43B1-A234-FBB253D127F1}" name="2. třetina" totalsRowLabel="fghfhfhg" dataDxfId="530" totalsRowDxfId="529"/>
    <tableColumn id="19" xr3:uid="{213C132E-8819-4B2B-8E67-00E1A9065FB4}" name="3. třetina" totalsRowLabel="fghfghfgh" dataDxfId="528" totalsRowDxfId="527"/>
    <tableColumn id="20" xr3:uid="{1778456B-D575-4D48-8471-CC4D31EC9468}" name="Prodl./Náj." totalsRowLabel="fghfghfgh" dataDxfId="526" totalsRowDxfId="525"/>
    <tableColumn id="21" xr3:uid="{E00EBAC4-75AD-4CAA-9D4D-0A6CB0FF7FFE}" name="Průběh zápasu" dataDxfId="524" totalsRowDxfId="523"/>
    <tableColumn id="23" xr3:uid="{68824335-1B21-45FA-85B5-E4539866B5A9}" name="1. gól" dataDxfId="522"/>
    <tableColumn id="24" xr3:uid="{50DEC9E0-21F9-4D32-B889-23E3AFA470EA}" name="2. gól" dataDxfId="521"/>
    <tableColumn id="25" xr3:uid="{39B35D86-8576-4969-A616-50FA16D6436B}" name="3. gól" dataDxfId="520"/>
    <tableColumn id="26" xr3:uid="{48848BE6-1332-45F2-9F2B-C5A993AE92E3}" name="4. gól" dataDxfId="519"/>
    <tableColumn id="27" xr3:uid="{4C3F65C3-BE48-4A91-9435-438DFD615E49}" name="5. gól" dataDxfId="518"/>
    <tableColumn id="28" xr3:uid="{1C8D4CE7-EE57-44F1-AF39-96BE71E357CA}" name="6. gól" dataDxfId="517" totalsRowDxfId="516"/>
    <tableColumn id="29" xr3:uid="{3C2142DD-D61B-4EF6-8D04-3A3106B725D4}" name="7. gól" dataDxfId="515" totalsRowDxfId="514"/>
    <tableColumn id="30" xr3:uid="{9F963363-C3BB-4AC4-A75E-B0D8A52BA19E}" name="8. gól" dataDxfId="513" totalsRowDxfId="512"/>
    <tableColumn id="31" xr3:uid="{9F91DF8C-2457-4B8F-9C72-47BD7F6ECFAC}" name="Nájezdy" dataDxfId="511" totalsRowDxfId="510"/>
    <tableColumn id="32" xr3:uid="{D8387B49-100E-4CFA-A27D-3B1DA617C95F}" name="Sestava" totalsRowFunction="count"/>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7EFE7320-4BB1-480E-8B35-58E83AB881B1}" name="ZapasyLIT" displayName="ZapasyLIT" ref="A1:AK457" tableType="queryTable" totalsRowShown="0">
  <autoFilter ref="A1:AK457" xr:uid="{7EFE7320-4BB1-480E-8B35-58E83AB881B1}"/>
  <sortState xmlns:xlrd2="http://schemas.microsoft.com/office/spreadsheetml/2017/richdata2" ref="A2:AK457">
    <sortCondition ref="D1:D457"/>
  </sortState>
  <tableColumns count="37">
    <tableColumn id="1" xr3:uid="{583388AD-F648-4FCD-A129-49D4D3A04E5A}" uniqueName="1" name="Sezóna" queryTableFieldId="1" dataDxfId="509"/>
    <tableColumn id="2" xr3:uid="{16C3337F-2773-42AE-B43C-59F8CA287B2D}" uniqueName="2" name="Odehr. z." queryTableFieldId="2"/>
    <tableColumn id="3" xr3:uid="{C0AE0756-53C0-44F9-BF33-D5FF2C40B535}" uniqueName="3" name="Kolo" queryTableFieldId="3" dataDxfId="508"/>
    <tableColumn id="4" xr3:uid="{DE261308-AF16-4B1D-9C9C-35DDACAE8843}" uniqueName="4" name="Datum" queryTableFieldId="4" dataDxfId="507"/>
    <tableColumn id="5" xr3:uid="{2A06F308-E433-4837-9F4A-F7AC2DF63055}" uniqueName="5" name="Soupeř" queryTableFieldId="5" dataDxfId="506"/>
    <tableColumn id="6" xr3:uid="{1A12F0F9-857D-4678-918E-50E8EB0A4BFE}" uniqueName="6" name="Doma/venku" queryTableFieldId="6" dataDxfId="505"/>
    <tableColumn id="7" xr3:uid="{E0E371A1-5BB4-44BB-BDAB-F32CF735E002}" uniqueName="7" name="Výsledek pro LIT" queryTableFieldId="7" dataDxfId="504"/>
    <tableColumn id="8" xr3:uid="{D3CF8B46-442F-4D88-A506-C748ECB7DA44}" uniqueName="8" name="Výsledek" queryTableFieldId="8" dataDxfId="503"/>
    <tableColumn id="9" xr3:uid="{0F045EFA-9E83-42FE-AC9C-B992B2650715}" uniqueName="9" name="Góly LIT" queryTableFieldId="9"/>
    <tableColumn id="10" xr3:uid="{2FF9598E-76BB-4232-BC49-DE2F2FB83EC7}" uniqueName="10" name="Góly soupeř" queryTableFieldId="10"/>
    <tableColumn id="11" xr3:uid="{676C229E-A552-4F45-B44F-947D9D87FC50}" uniqueName="11" name="G LIT 60(BEZ EN)" queryTableFieldId="11"/>
    <tableColumn id="12" xr3:uid="{6CCDEE40-1C0B-423B-B376-25603799CD4E}" uniqueName="12" name="G Soupeř 60(BEZ EN)" queryTableFieldId="12"/>
    <tableColumn id="13" xr3:uid="{00A19620-413B-4A59-876C-BB07DA189110}" uniqueName="13" name="Umístění LIT" queryTableFieldId="13"/>
    <tableColumn id="14" xr3:uid="{18BEA62F-D1EB-4DF7-922E-9D59A1844786}" uniqueName="14" name="Tabulka pravdy" queryTableFieldId="14"/>
    <tableColumn id="15" xr3:uid="{CEA68F3F-086D-4CD2-8622-68D2D93E5238}" uniqueName="15" name="Bodů celkově" queryTableFieldId="15"/>
    <tableColumn id="16" xr3:uid="{8FB68D26-70A9-44C9-8185-10DCA7E7D179}" uniqueName="16" name="Góly v přesilovce" queryTableFieldId="16"/>
    <tableColumn id="17" xr3:uid="{B98CE67C-1D93-49AA-BB5D-8E51FD4F6A8D}" uniqueName="17" name="Góly v oslabení" queryTableFieldId="17"/>
    <tableColumn id="18" xr3:uid="{3049B330-CCFE-4D1F-BCDF-FD93FF0341E3}" uniqueName="18" name="Góly inkas. v přesilovce" queryTableFieldId="18"/>
    <tableColumn id="19" xr3:uid="{54302CC5-0685-4B69-80C1-CC96E1382574}" uniqueName="19" name="Góly inkas. v oslabení" queryTableFieldId="19"/>
    <tableColumn id="20" xr3:uid="{D00ADFFA-91FD-4228-B74A-0A7323BD8284}" uniqueName="20" name="Počet přesilovek" queryTableFieldId="20"/>
    <tableColumn id="21" xr3:uid="{86C57937-B6BA-4B4F-BD7C-CD4262A3CFD8}" uniqueName="21" name="Počet oslabení" queryTableFieldId="21"/>
    <tableColumn id="22" xr3:uid="{CCD34A2A-D010-44CE-A00E-B7C841037B83}" uniqueName="22" name="Počet diváků" queryTableFieldId="22"/>
    <tableColumn id="23" xr3:uid="{E8AB40BD-1382-4D09-962F-7E10E51A38B4}" uniqueName="23" name="1. třetina" queryTableFieldId="23" dataDxfId="502"/>
    <tableColumn id="24" xr3:uid="{451B5BCA-34EC-4B4F-B70D-52443BFBE922}" uniqueName="24" name="2. třetina" queryTableFieldId="24" dataDxfId="501"/>
    <tableColumn id="25" xr3:uid="{DB2C3224-EB53-42E4-80B7-76DA03D5C50E}" uniqueName="25" name="3. třetina" queryTableFieldId="25" dataDxfId="500"/>
    <tableColumn id="26" xr3:uid="{B62F3B9B-3456-4CA2-8F01-2B1E6F3EC49D}" uniqueName="26" name="Prodl./Náj." queryTableFieldId="26" dataDxfId="499"/>
    <tableColumn id="27" xr3:uid="{03301811-EB43-4A49-9C1C-74C194D7BAC2}" uniqueName="27" name="Průběh zápasu" queryTableFieldId="27" dataDxfId="498"/>
    <tableColumn id="28" xr3:uid="{2F8F5413-0AE7-49B9-B5F1-763547B65AD8}" uniqueName="28" name="1. gól" queryTableFieldId="28" dataDxfId="497"/>
    <tableColumn id="29" xr3:uid="{E3228907-43A8-4F21-9D1B-E21B528D48AF}" uniqueName="29" name="2. gól" queryTableFieldId="29" dataDxfId="496"/>
    <tableColumn id="30" xr3:uid="{5BD912E9-8BA7-4483-AEA9-2A86A727D71C}" uniqueName="30" name="3. gól" queryTableFieldId="30" dataDxfId="495"/>
    <tableColumn id="31" xr3:uid="{C543D382-E383-41BD-87DA-B3FDAE153E7A}" uniqueName="31" name="4. gól" queryTableFieldId="31" dataDxfId="494"/>
    <tableColumn id="32" xr3:uid="{C492C484-6FBD-47F6-9B84-6355EB75ACDE}" uniqueName="32" name="5. gól" queryTableFieldId="32" dataDxfId="493"/>
    <tableColumn id="33" xr3:uid="{94F8BE67-4DA5-49AF-ABA2-39E75EB03BD8}" uniqueName="33" name="6. gól" queryTableFieldId="33" dataDxfId="492"/>
    <tableColumn id="34" xr3:uid="{AE07E09C-C717-439C-BEBB-4C56E045E203}" uniqueName="34" name="7. gól" queryTableFieldId="34" dataDxfId="491"/>
    <tableColumn id="35" xr3:uid="{0D75509D-980D-4AF3-ADA4-5D2005836624}" uniqueName="35" name="8. gól" queryTableFieldId="35" dataDxfId="490"/>
    <tableColumn id="36" xr3:uid="{8995FFF8-53D5-40C1-A081-B97A44F3E23F}" uniqueName="36" name="Nájezdy" queryTableFieldId="36" dataDxfId="489"/>
    <tableColumn id="37" xr3:uid="{8E52F80E-BBB1-46A9-B1BC-50E2FD5E8056}" uniqueName="37" name="Sestava" queryTableFieldId="37" dataDxfId="488"/>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ulka2" displayName="Tabulka2" ref="B14:I26" totalsRowCount="1" headerRowDxfId="487" dataDxfId="486">
  <autoFilter ref="B14:I25" xr:uid="{00000000-0009-0000-0100-000002000000}"/>
  <sortState xmlns:xlrd2="http://schemas.microsoft.com/office/spreadsheetml/2017/richdata2" ref="B15:I25">
    <sortCondition ref="D14:D25"/>
  </sortState>
  <tableColumns count="8">
    <tableColumn id="1" xr3:uid="{00000000-0010-0000-0000-000001000000}" name="Hráč" totalsRowLabel="Věkový průměr" dataDxfId="485" totalsRowDxfId="484"/>
    <tableColumn id="2" xr3:uid="{00000000-0010-0000-0000-000002000000}" name="Datum narození" dataDxfId="483" totalsRowDxfId="482"/>
    <tableColumn id="3" xr3:uid="{00000000-0010-0000-0000-000003000000}" name="Věk" totalsRowFunction="average" dataDxfId="481" totalsRowDxfId="480"/>
    <tableColumn id="4" xr3:uid="{00000000-0010-0000-0000-000004000000}" name="Kdy podepsal" dataDxfId="479" totalsRowDxfId="478"/>
    <tableColumn id="5" xr3:uid="{00000000-0010-0000-0000-000005000000}" name="Na jak dlouho podepsal" dataDxfId="477" totalsRowDxfId="476"/>
    <tableColumn id="6" xr3:uid="{00000000-0010-0000-0000-000006000000}" name="Kdy vyprší smlouva" dataDxfId="475" totalsRowDxfId="474"/>
    <tableColumn id="7" xr3:uid="{00000000-0010-0000-0000-000007000000}" name="Opce (roky)" dataDxfId="473" totalsRowDxfId="472"/>
    <tableColumn id="8" xr3:uid="{00000000-0010-0000-0000-000008000000}" name="Smlouva i na další sezónu" dataDxfId="471" totalsRowDxfId="470">
      <calculatedColumnFormula>IF(Tabulka2[[#This Row],[Kdy vyprší smlouva]]&gt;45047,1,-1)</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ulka4" displayName="Tabulka4" ref="B5:H10" totalsRowShown="0" headerRowDxfId="469" dataDxfId="468">
  <autoFilter ref="B5:H10" xr:uid="{00000000-0009-0000-0100-000004000000}"/>
  <sortState xmlns:xlrd2="http://schemas.microsoft.com/office/spreadsheetml/2017/richdata2" ref="B6:H10">
    <sortCondition ref="B5:B10"/>
  </sortState>
  <tableColumns count="7">
    <tableColumn id="1" xr3:uid="{00000000-0010-0000-0100-000001000000}" name="Hráč" dataDxfId="467"/>
    <tableColumn id="2" xr3:uid="{00000000-0010-0000-0100-000002000000}" name="Datum narození" dataDxfId="466"/>
    <tableColumn id="3" xr3:uid="{00000000-0010-0000-0100-000003000000}" name="Věk" dataDxfId="465"/>
    <tableColumn id="4" xr3:uid="{00000000-0010-0000-0100-000004000000}" name="Kdy podepsal" dataDxfId="464"/>
    <tableColumn id="5" xr3:uid="{00000000-0010-0000-0100-000005000000}" name="Na jak dlouho podepsal" dataDxfId="463"/>
    <tableColumn id="6" xr3:uid="{00000000-0010-0000-0100-000006000000}" name="Kdy vyprší smlouva" dataDxfId="462"/>
    <tableColumn id="7" xr3:uid="{00000000-0010-0000-0100-000007000000}" name="Opce (roky)" dataDxfId="461"/>
  </tableColumns>
  <tableStyleInfo name="TableStyleLight14"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2000000}" name="Tabulka9" displayName="Tabulka9" ref="B36:I56" totalsRowCount="1" headerRowDxfId="460" dataDxfId="459">
  <autoFilter ref="B36:I55" xr:uid="{00000000-0009-0000-0100-000009000000}"/>
  <sortState xmlns:xlrd2="http://schemas.microsoft.com/office/spreadsheetml/2017/richdata2" ref="B37:I55">
    <sortCondition ref="D36:D55"/>
  </sortState>
  <tableColumns count="8">
    <tableColumn id="1" xr3:uid="{00000000-0010-0000-0200-000001000000}" name="Sloupec1" totalsRowLabel="Věkový průměr" dataDxfId="458" totalsRowDxfId="457"/>
    <tableColumn id="2" xr3:uid="{00000000-0010-0000-0200-000002000000}" name="Sloupec2" dataDxfId="456" totalsRowDxfId="455"/>
    <tableColumn id="3" xr3:uid="{00000000-0010-0000-0200-000003000000}" name="Sloupec3" totalsRowFunction="average" dataDxfId="454" totalsRowDxfId="453"/>
    <tableColumn id="4" xr3:uid="{00000000-0010-0000-0200-000004000000}" name="Sloupec4" dataDxfId="452" totalsRowDxfId="451"/>
    <tableColumn id="5" xr3:uid="{00000000-0010-0000-0200-000005000000}" name="Sloupec5" dataDxfId="450" totalsRowDxfId="449"/>
    <tableColumn id="6" xr3:uid="{00000000-0010-0000-0200-000006000000}" name="Sloupec6" dataDxfId="448" totalsRowDxfId="447"/>
    <tableColumn id="7" xr3:uid="{00000000-0010-0000-0200-000007000000}" name="Sloupec7" dataDxfId="446" totalsRowDxfId="445"/>
    <tableColumn id="8" xr3:uid="{00000000-0010-0000-0200-000008000000}" name="Sloupec8" dataDxfId="444" totalsRowDxfId="443">
      <calculatedColumnFormula>IF(Tabulka9[[#This Row],[Sloupec6]]&gt;45047,1,-1)</calculatedColumnFormula>
    </tableColumn>
  </tableColumns>
  <tableStyleInfo name="TableStyleLight1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3000000}" name="Tabulka13" displayName="Tabulka13" ref="D2:I115" totalsRowShown="0" headerRowDxfId="442">
  <autoFilter ref="D2:I115" xr:uid="{00000000-0009-0000-0100-00000D000000}"/>
  <sortState xmlns:xlrd2="http://schemas.microsoft.com/office/spreadsheetml/2017/richdata2" ref="D3:I72">
    <sortCondition ref="I2:I72"/>
  </sortState>
  <tableColumns count="6">
    <tableColumn id="1" xr3:uid="{00000000-0010-0000-0300-000001000000}" name="Jméno hráče" dataDxfId="441"/>
    <tableColumn id="2" xr3:uid="{00000000-0010-0000-0300-000002000000}" name="Datum narození" dataDxfId="440"/>
    <tableColumn id="3" xr3:uid="{00000000-0010-0000-0300-000003000000}" name="Věk" dataDxfId="439">
      <calculatedColumnFormula>(TODAY()-E3)/365</calculatedColumnFormula>
    </tableColumn>
    <tableColumn id="4" xr3:uid="{00000000-0010-0000-0300-000004000000}" name="Kdy odešel" dataDxfId="438"/>
    <tableColumn id="5" xr3:uid="{00000000-0010-0000-0300-000005000000}" name="Kam odešel z Litvínova" dataDxfId="437"/>
    <tableColumn id="6" xr3:uid="{00000000-0010-0000-0300-000006000000}" name="Kde byl pak"/>
  </tableColumns>
  <tableStyleInfo name="TableStyleLight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ulka5" displayName="Tabulka5" ref="M35:U52" totalsRowCount="1" headerRowDxfId="436" dataDxfId="434" headerRowBorderDxfId="435" tableBorderDxfId="433" headerRowCellStyle="Normální 3">
  <autoFilter ref="M35:U51" xr:uid="{00000000-0009-0000-0100-000005000000}"/>
  <tableColumns count="9">
    <tableColumn id="1" xr3:uid="{00000000-0010-0000-0400-000001000000}" name="Sezóna" totalsRowLabel="Minimum" dataDxfId="432" totalsRowDxfId="431" dataCellStyle="Normální 3"/>
    <tableColumn id="2" xr3:uid="{00000000-0010-0000-0400-000002000000}" name="Vítěz ZČ měl" totalsRowFunction="min" dataDxfId="430" totalsRowDxfId="429" dataCellStyle="Normální 3"/>
    <tableColumn id="3" xr3:uid="{00000000-0010-0000-0400-000003000000}" name="Vítězi ZČ stačilo" totalsRowFunction="min" dataDxfId="428" totalsRowDxfId="427" dataCellStyle="Normální 3"/>
    <tableColumn id="4" xr3:uid="{00000000-0010-0000-0400-000004000000}" name="4. tým měl" totalsRowFunction="min" dataDxfId="426" totalsRowDxfId="425" dataCellStyle="Normální 3"/>
    <tableColumn id="5" xr3:uid="{00000000-0010-0000-0400-000005000000}" name="4. týmu stačilo" totalsRowFunction="min" dataDxfId="424" totalsRowDxfId="423" dataCellStyle="Normální 3"/>
    <tableColumn id="6" xr3:uid="{00000000-0010-0000-0400-000006000000}" name="6. tým měl" totalsRowFunction="min" dataDxfId="422" totalsRowDxfId="421" dataCellStyle="Normální 3"/>
    <tableColumn id="7" xr3:uid="{00000000-0010-0000-0400-000007000000}" name="6. týmu stačilo" totalsRowFunction="min" dataDxfId="420" totalsRowDxfId="419" dataCellStyle="Normální 3"/>
    <tableColumn id="8" xr3:uid="{00000000-0010-0000-0400-000008000000}" name="10. tým měl" totalsRowFunction="min" dataDxfId="418" totalsRowDxfId="417" dataCellStyle="Normální 3"/>
    <tableColumn id="9" xr3:uid="{00000000-0010-0000-0400-000009000000}" name="10. týmu stačilo" totalsRowFunction="min" dataDxfId="416" totalsRowDxfId="415" dataCellStyle="Normální 3"/>
  </tableColumns>
  <tableStyleInfo name="TableStyleMedium4" showFirstColumn="0" showLastColumn="0" showRowStripes="1" showColumnStripes="0"/>
  <extLst>
    <ext xmlns:x14="http://schemas.microsoft.com/office/spreadsheetml/2009/9/main" uri="{504A1905-F514-4f6f-8877-14C23A59335A}">
      <x14:table altText="Minimum"/>
    </ext>
  </extLst>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Tabulka3" displayName="Tabulka3" ref="Q7:V27" totalsRowCount="1" headerRowDxfId="414" dataDxfId="413">
  <autoFilter ref="Q7:V26" xr:uid="{00000000-0009-0000-0100-000003000000}"/>
  <tableColumns count="6">
    <tableColumn id="1" xr3:uid="{00000000-0010-0000-0500-000001000000}" name="Sezóny" totalsRowLabel="Celkem" dataDxfId="412" totalsRowDxfId="411"/>
    <tableColumn id="2" xr3:uid="{00000000-0010-0000-0500-000002000000}" name="Doma" totalsRowFunction="sum" dataDxfId="410" totalsRowDxfId="409"/>
    <tableColumn id="3" xr3:uid="{00000000-0010-0000-0500-000003000000}" name="Venku" totalsRowFunction="sum" dataDxfId="408" totalsRowDxfId="407"/>
    <tableColumn id="4" xr3:uid="{00000000-0010-0000-0500-000004000000}" name="Celkem" totalsRowFunction="sum" dataDxfId="406" totalsRowDxfId="405">
      <calculatedColumnFormula>R8+S8</calculatedColumnFormula>
    </tableColumn>
    <tableColumn id="5" xr3:uid="{00000000-0010-0000-0500-000005000000}" name="Z toho playoff" totalsRowFunction="sum" dataDxfId="404" totalsRowDxfId="403"/>
    <tableColumn id="6" xr3:uid="{00000000-0010-0000-0500-000006000000}" name="Z toho baráž" totalsRowFunction="sum" dataDxfId="402" totalsRowDxfId="401"/>
  </tableColumns>
  <tableStyleInfo name="TableStyleLight14"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6000000}" name="Tabulka1" displayName="Tabulka1" ref="B6:J68" totalsRowShown="0" headerRowDxfId="400" dataDxfId="399">
  <autoFilter ref="B6:J68" xr:uid="{00000000-0009-0000-0100-000001000000}"/>
  <sortState xmlns:xlrd2="http://schemas.microsoft.com/office/spreadsheetml/2017/richdata2" ref="B7:J49">
    <sortCondition ref="B6:B49"/>
  </sortState>
  <tableColumns count="9">
    <tableColumn id="1" xr3:uid="{00000000-0010-0000-0600-000001000000}" name="Pořádí" dataDxfId="398"/>
    <tableColumn id="2" xr3:uid="{00000000-0010-0000-0600-000002000000}" name="Sezóna" dataDxfId="397"/>
    <tableColumn id="3" xr3:uid="{00000000-0010-0000-0600-000003000000}" name="ZČ/Playoff?" dataDxfId="396"/>
    <tableColumn id="4" xr3:uid="{00000000-0010-0000-0600-000004000000}" name="Soupeř" dataDxfId="395"/>
    <tableColumn id="5" xr3:uid="{00000000-0010-0000-0600-000005000000}" name="Datum" dataDxfId="394"/>
    <tableColumn id="6" xr3:uid="{00000000-0010-0000-0600-000006000000}" name="Den" dataDxfId="393"/>
    <tableColumn id="7" xr3:uid="{00000000-0010-0000-0600-000007000000}" name="Výhra/Prohra?" dataDxfId="392"/>
    <tableColumn id="8" xr3:uid="{00000000-0010-0000-0600-000008000000}" name="Výsledek" dataDxfId="391"/>
    <tableColumn id="9" xr3:uid="{00000000-0010-0000-0600-000009000000}" name="S kým a jakým způsobem jsem jel?" dataDxfId="390"/>
  </tableColumns>
  <tableStyleInfo name="TableStyleLight1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7000000}" name="Tabulka6" displayName="Tabulka6" ref="A3:Q23" totalsRowCount="1" headerRowDxfId="389" dataDxfId="388" tableBorderDxfId="387">
  <autoFilter ref="A3:Q22" xr:uid="{00000000-0009-0000-0100-000006000000}"/>
  <tableColumns count="17">
    <tableColumn id="1" xr3:uid="{00000000-0010-0000-0700-000001000000}" name="Pořadí" totalsRowLabel="Minimum" dataDxfId="386" totalsRowDxfId="385"/>
    <tableColumn id="2" xr3:uid="{00000000-0010-0000-0700-000002000000}" name="Sezóna" dataDxfId="384" totalsRowDxfId="383"/>
    <tableColumn id="3" xr3:uid="{00000000-0010-0000-0700-000003000000}" name="Umístění" totalsRowFunction="min" dataDxfId="382" totalsRowDxfId="381"/>
    <tableColumn id="4" xr3:uid="{00000000-0010-0000-0700-000004000000}" name="Tým" dataDxfId="380" totalsRowDxfId="379"/>
    <tableColumn id="5" xr3:uid="{00000000-0010-0000-0700-000005000000}" name="Z" totalsRowFunction="min" dataDxfId="378" totalsRowDxfId="377"/>
    <tableColumn id="6" xr3:uid="{00000000-0010-0000-0700-000006000000}" name="V" totalsRowFunction="min" dataDxfId="376" totalsRowDxfId="375"/>
    <tableColumn id="7" xr3:uid="{00000000-0010-0000-0700-000007000000}" name="VP" totalsRowFunction="min" dataDxfId="374" totalsRowDxfId="373"/>
    <tableColumn id="8" xr3:uid="{00000000-0010-0000-0700-000008000000}" name="R" totalsRowFunction="min" dataDxfId="372" totalsRowDxfId="371"/>
    <tableColumn id="9" xr3:uid="{00000000-0010-0000-0700-000009000000}" name="PP" totalsRowFunction="min" dataDxfId="370" totalsRowDxfId="369"/>
    <tableColumn id="10" xr3:uid="{00000000-0010-0000-0700-00000A000000}" name="P" totalsRowFunction="min" dataDxfId="368" totalsRowDxfId="367"/>
    <tableColumn id="11" xr3:uid="{00000000-0010-0000-0700-00000B000000}" name="Skóre" dataDxfId="366" totalsRowDxfId="365"/>
    <tableColumn id="12" xr3:uid="{00000000-0010-0000-0700-00000C000000}" name="B" totalsRowFunction="min" dataDxfId="364" totalsRowDxfId="363"/>
    <tableColumn id="13" xr3:uid="{00000000-0010-0000-0700-00000D000000}" name="GPř" totalsRowFunction="min" dataDxfId="362" totalsRowDxfId="361"/>
    <tableColumn id="14" xr3:uid="{00000000-0010-0000-0700-00000E000000}" name="VPř" dataDxfId="360" totalsRowDxfId="359"/>
    <tableColumn id="15" xr3:uid="{00000000-0010-0000-0700-00000F000000}" name="OGOs" totalsRowFunction="min" dataDxfId="358" totalsRowDxfId="357"/>
    <tableColumn id="16" xr3:uid="{00000000-0010-0000-0700-000010000000}" name="UOs" dataDxfId="356" totalsRowDxfId="355"/>
    <tableColumn id="17" xr3:uid="{00000000-0010-0000-0700-000011000000}" name="VGOs" totalsRowFunction="min" dataDxfId="354" totalsRowDxfId="353"/>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Tabulka68" displayName="Tabulka68" ref="S3:AI23" totalsRowCount="1" headerRowDxfId="352" dataDxfId="351" tableBorderDxfId="350">
  <autoFilter ref="S3:AI22" xr:uid="{00000000-0009-0000-0100-000007000000}"/>
  <tableColumns count="17">
    <tableColumn id="1" xr3:uid="{00000000-0010-0000-0800-000001000000}" name="Pořadí" totalsRowLabel="Minimum" dataDxfId="349" totalsRowDxfId="348"/>
    <tableColumn id="2" xr3:uid="{00000000-0010-0000-0800-000002000000}" name="Sezóna" dataDxfId="347" totalsRowDxfId="346"/>
    <tableColumn id="3" xr3:uid="{00000000-0010-0000-0800-000003000000}" name="Umístění" totalsRowFunction="min" dataDxfId="345" totalsRowDxfId="344"/>
    <tableColumn id="4" xr3:uid="{00000000-0010-0000-0800-000004000000}" name="Tým" dataDxfId="343" totalsRowDxfId="342"/>
    <tableColumn id="5" xr3:uid="{00000000-0010-0000-0800-000005000000}" name="Z" totalsRowFunction="min" dataDxfId="341" totalsRowDxfId="340"/>
    <tableColumn id="6" xr3:uid="{00000000-0010-0000-0800-000006000000}" name="V" totalsRowFunction="min" dataDxfId="339" totalsRowDxfId="338"/>
    <tableColumn id="7" xr3:uid="{00000000-0010-0000-0800-000007000000}" name="VP" totalsRowFunction="min" dataDxfId="337" totalsRowDxfId="336"/>
    <tableColumn id="8" xr3:uid="{00000000-0010-0000-0800-000008000000}" name="R" totalsRowFunction="min" dataDxfId="335" totalsRowDxfId="334"/>
    <tableColumn id="9" xr3:uid="{00000000-0010-0000-0800-000009000000}" name="PP" totalsRowFunction="min" dataDxfId="333" totalsRowDxfId="332"/>
    <tableColumn id="10" xr3:uid="{00000000-0010-0000-0800-00000A000000}" name="P" totalsRowFunction="min" dataDxfId="331" totalsRowDxfId="330"/>
    <tableColumn id="11" xr3:uid="{00000000-0010-0000-0800-00000B000000}" name="Skóre" dataDxfId="329" totalsRowDxfId="328"/>
    <tableColumn id="12" xr3:uid="{00000000-0010-0000-0800-00000C000000}" name="B" totalsRowFunction="min" dataDxfId="327" totalsRowDxfId="326"/>
    <tableColumn id="13" xr3:uid="{00000000-0010-0000-0800-00000D000000}" name="GPř" totalsRowFunction="min" dataDxfId="325" totalsRowDxfId="324"/>
    <tableColumn id="14" xr3:uid="{00000000-0010-0000-0800-00000E000000}" name="VPř" dataDxfId="323" totalsRowDxfId="322"/>
    <tableColumn id="15" xr3:uid="{00000000-0010-0000-0800-00000F000000}" name="OGOs" totalsRowFunction="min" dataDxfId="321" totalsRowDxfId="320"/>
    <tableColumn id="16" xr3:uid="{00000000-0010-0000-0800-000010000000}" name="UOs" dataDxfId="319" totalsRowDxfId="318"/>
    <tableColumn id="17" xr3:uid="{00000000-0010-0000-0800-000011000000}" name="VGOs" totalsRowFunction="min" dataDxfId="317" totalsRowDxfId="316"/>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Tabulka689" displayName="Tabulka689" ref="AK3:BA23" totalsRowCount="1" headerRowDxfId="315" dataDxfId="314" tableBorderDxfId="313">
  <autoFilter ref="AK3:BA22" xr:uid="{00000000-0009-0000-0100-000008000000}"/>
  <tableColumns count="17">
    <tableColumn id="1" xr3:uid="{00000000-0010-0000-0900-000001000000}" name="Pořadí" totalsRowLabel="Minimum" dataDxfId="312" totalsRowDxfId="311"/>
    <tableColumn id="2" xr3:uid="{00000000-0010-0000-0900-000002000000}" name="Sezóna" dataDxfId="310" totalsRowDxfId="309"/>
    <tableColumn id="3" xr3:uid="{00000000-0010-0000-0900-000003000000}" name="Umístění" totalsRowFunction="min" dataDxfId="308" totalsRowDxfId="307"/>
    <tableColumn id="4" xr3:uid="{00000000-0010-0000-0900-000004000000}" name="Tým" dataDxfId="306" totalsRowDxfId="305"/>
    <tableColumn id="5" xr3:uid="{00000000-0010-0000-0900-000005000000}" name="Z" totalsRowFunction="min" dataDxfId="304" totalsRowDxfId="303"/>
    <tableColumn id="6" xr3:uid="{00000000-0010-0000-0900-000006000000}" name="V" totalsRowFunction="min" dataDxfId="302" totalsRowDxfId="301"/>
    <tableColumn id="7" xr3:uid="{00000000-0010-0000-0900-000007000000}" name="VP" totalsRowFunction="min" dataDxfId="300" totalsRowDxfId="299"/>
    <tableColumn id="8" xr3:uid="{00000000-0010-0000-0900-000008000000}" name="R" totalsRowFunction="min" dataDxfId="298" totalsRowDxfId="297"/>
    <tableColumn id="9" xr3:uid="{00000000-0010-0000-0900-000009000000}" name="PP" totalsRowFunction="min" dataDxfId="296" totalsRowDxfId="295"/>
    <tableColumn id="10" xr3:uid="{00000000-0010-0000-0900-00000A000000}" name="P" totalsRowFunction="min" dataDxfId="294" totalsRowDxfId="293"/>
    <tableColumn id="11" xr3:uid="{00000000-0010-0000-0900-00000B000000}" name="Skóre" dataDxfId="292" totalsRowDxfId="291"/>
    <tableColumn id="12" xr3:uid="{00000000-0010-0000-0900-00000C000000}" name="B" totalsRowFunction="min" dataDxfId="290" totalsRowDxfId="289"/>
    <tableColumn id="13" xr3:uid="{00000000-0010-0000-0900-00000D000000}" name="GPř" totalsRowFunction="min" dataDxfId="288" totalsRowDxfId="287"/>
    <tableColumn id="14" xr3:uid="{00000000-0010-0000-0900-00000E000000}" name="VPř" dataDxfId="286" totalsRowDxfId="285"/>
    <tableColumn id="15" xr3:uid="{00000000-0010-0000-0900-00000F000000}" name="OGOs" totalsRowFunction="min" dataDxfId="284" totalsRowDxfId="283"/>
    <tableColumn id="16" xr3:uid="{00000000-0010-0000-0900-000010000000}" name="UOs" dataDxfId="282" totalsRowDxfId="281"/>
    <tableColumn id="17" xr3:uid="{00000000-0010-0000-0900-000011000000}" name="VGOs" totalsRowFunction="min" dataDxfId="280" totalsRowDxfId="279"/>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W54" dT="2024-03-04T11:43:06.10" personId="{A74D3D16-E4E9-474F-8D52-A0703DEAFADA}" id="{FC7C568F-3D96-4BE5-A9DE-CF4A4C71A7E0}">
    <text>Mezisoučet: 11:9</text>
  </threadedComment>
  <threadedComment ref="X54" dT="2024-03-04T11:43:58.58" personId="{A74D3D16-E4E9-474F-8D52-A0703DEAFADA}" id="{60219049-DE75-4579-82D6-AFEB3347EAAE}">
    <text>Mezisoučet: 17:20</text>
  </threadedComment>
  <threadedComment ref="Y54" dT="2024-03-04T11:44:41.92" personId="{A74D3D16-E4E9-474F-8D52-A0703DEAFADA}" id="{293DBF07-D282-4DD0-BC06-4E87A4EF1406}">
    <text>Mezisoučet: 14:20</text>
  </threadedComment>
</ThreadedComments>
</file>

<file path=xl/threadedComments/threadedComment2.xml><?xml version="1.0" encoding="utf-8"?>
<ThreadedComments xmlns="http://schemas.microsoft.com/office/spreadsheetml/2018/threadedcomments" xmlns:x="http://schemas.openxmlformats.org/spreadsheetml/2006/main">
  <threadedComment ref="H39" dT="2025-01-07T20:10:34.61" personId="{A74D3D16-E4E9-474F-8D52-A0703DEAFADA}" id="{BC4325B8-6B02-4E57-82C2-6D49406F4581}">
    <text>Nedohráno</text>
  </threadedComment>
  <threadedComment ref="H39" dT="2025-01-09T16:03:49.53" personId="{A74D3D16-E4E9-474F-8D52-A0703DEAFADA}" id="{B033E0F0-BB6F-4F12-B7A2-47BA8FFCD90A}" parentId="{BC4325B8-6B02-4E57-82C2-6D49406F4581}">
    <text xml:space="preserve">Muselo být dohráno o týden později
</text>
  </threadedComment>
</ThreadedComments>
</file>

<file path=xl/threadedComments/threadedComment3.xml><?xml version="1.0" encoding="utf-8"?>
<ThreadedComments xmlns="http://schemas.microsoft.com/office/spreadsheetml/2018/threadedcomments" xmlns:x="http://schemas.openxmlformats.org/spreadsheetml/2006/main">
  <threadedComment ref="W15" dT="2024-10-20T18:00:34.95" personId="{A74D3D16-E4E9-474F-8D52-A0703DEAFADA}" id="{DE3098DE-63DF-4853-B952-2196AC385A1B}">
    <text>18:8</text>
  </threadedComment>
  <threadedComment ref="X15" dT="2024-10-20T18:00:44.77" personId="{A74D3D16-E4E9-474F-8D52-A0703DEAFADA}" id="{2C5EB81A-D91C-47BB-8D27-8BC4CA34B011}">
    <text>10:14</text>
  </threadedComment>
  <threadedComment ref="Y15" dT="2024-10-20T18:00:52.20" personId="{A74D3D16-E4E9-474F-8D52-A0703DEAFADA}" id="{FC5164C7-E399-4C77-B028-D1C0914DFD38}">
    <text>11:6</text>
  </threadedComment>
  <threadedComment ref="G38" dT="2025-01-07T20:09:11.98" personId="{A74D3D16-E4E9-474F-8D52-A0703DEAFADA}" id="{E005B4F6-90E6-49C6-8CA5-48B0DDF3DBB9}">
    <text>Utkání nedohráno kvůli zdravotnímu stavu fanouška, přerušeno ve 46. minutě</text>
  </threadedComment>
  <threadedComment ref="G38" dT="2025-01-09T16:00:23.58" personId="{A74D3D16-E4E9-474F-8D52-A0703DEAFADA}" id="{D66C20A5-CD2F-4C42-8D0F-CCCA13C797E6}" parentId="{E005B4F6-90E6-49C6-8CA5-48B0DDF3DBB9}">
    <text>Dohráno 16. 1. 25</text>
  </threadedComment>
  <threadedComment ref="W41" dT="2025-01-26T15:23:14.26" personId="{A74D3D16-E4E9-474F-8D52-A0703DEAFADA}" id="{D03DD821-16B8-4CFA-9FCD-9A45FA649183}">
    <text>Mezisoučet: 13:10</text>
  </threadedComment>
  <threadedComment ref="X41" dT="2025-01-26T15:23:44.79" personId="{A74D3D16-E4E9-474F-8D52-A0703DEAFADA}" id="{8DBA4832-BCD5-486B-A705-3DAEC3C02599}">
    <text>Mezisoučet: 06:10</text>
  </threadedComment>
  <threadedComment ref="Y41" dT="2025-01-26T15:24:16.45" personId="{A74D3D16-E4E9-474F-8D52-A0703DEAFADA}" id="{A9C1DEA0-EE7A-4856-B6F1-A34EE4D86498}">
    <text>Mezisoučet: 09:10</text>
  </threadedComment>
  <threadedComment ref="W54" dT="2024-03-04T11:43:06.10" personId="{A74D3D16-E4E9-474F-8D52-A0703DEAFADA}" id="{127B7C4C-DB93-401F-AA02-A44145F17AEA}">
    <text>Mezisoučet: 5:9</text>
  </threadedComment>
  <threadedComment ref="X54" dT="2024-03-04T11:43:58.58" personId="{A74D3D16-E4E9-474F-8D52-A0703DEAFADA}" id="{C3521F27-8FE5-442B-9B1D-3CF786BA0C09}">
    <text>Mezisoučet: 8:17</text>
  </threadedComment>
  <threadedComment ref="Y54" dT="2024-03-04T11:44:41.92" personId="{A74D3D16-E4E9-474F-8D52-A0703DEAFADA}" id="{BF8C2CF8-0AC5-4576-B99B-28B760760FCD}">
    <text>Mezisoučet: 8:19</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www.hokej.cz/tipsport-extraliga/stats-center?season=2017&amp;competition=6173&amp;team=823&amp;yearFrom=&amp;stranger=0&amp;state=&amp;stats-order=ppp&amp;stats-direction=desc" TargetMode="External"/><Relationship Id="rId13" Type="http://schemas.openxmlformats.org/officeDocument/2006/relationships/hyperlink" Target="http://www.hokej.cz/tipsport-extraliga/stats-center?season=2017&amp;competition=6173&amp;team=823&amp;yearFrom=&amp;stranger=0&amp;state=&amp;stats-order=tim&amp;stats-direction=desc" TargetMode="External"/><Relationship Id="rId3" Type="http://schemas.openxmlformats.org/officeDocument/2006/relationships/hyperlink" Target="http://www.hokej.cz/tipsport-extraliga/stats-center?season=2017&amp;competition=6173&amp;team=823&amp;yearFrom=&amp;stranger=0&amp;state=&amp;stats-order=a&amp;stats-direction=desc" TargetMode="External"/><Relationship Id="rId7" Type="http://schemas.openxmlformats.org/officeDocument/2006/relationships/hyperlink" Target="http://www.hokej.cz/tipsport-extraliga/stats-center?season=2017&amp;competition=6173&amp;team=823&amp;yearFrom=&amp;stranger=0&amp;state=&amp;stats-order=gpp&amp;stats-direction=desc" TargetMode="External"/><Relationship Id="rId12" Type="http://schemas.openxmlformats.org/officeDocument/2006/relationships/hyperlink" Target="http://www.hokej.cz/tipsport-extraliga/stats-center?season=2017&amp;competition=6173&amp;team=823&amp;yearFrom=&amp;stranger=0&amp;state=&amp;stats-order=tm&amp;stats-direction=desc" TargetMode="External"/><Relationship Id="rId2" Type="http://schemas.openxmlformats.org/officeDocument/2006/relationships/hyperlink" Target="http://www.hokej.cz/tipsport-extraliga/stats-center?season=2017&amp;competition=6173&amp;team=823&amp;yearFrom=&amp;stranger=0&amp;state=&amp;stats-order=g&amp;stats-direction=desc" TargetMode="External"/><Relationship Id="rId1" Type="http://schemas.openxmlformats.org/officeDocument/2006/relationships/hyperlink" Target="http://www.hokej.cz/tipsport-extraliga/stats-center?season=2017&amp;competition=6173&amp;team=823&amp;yearFrom=&amp;stranger=0&amp;state=&amp;stats-order=t&amp;stats-direction=desc" TargetMode="External"/><Relationship Id="rId6" Type="http://schemas.openxmlformats.org/officeDocument/2006/relationships/hyperlink" Target="http://www.hokej.cz/tipsport-extraliga/stats-center?season=2017&amp;competition=6173&amp;team=823&amp;yearFrom=&amp;stranger=0&amp;state=&amp;stats-order=shs&amp;stats-direction=desc" TargetMode="External"/><Relationship Id="rId11" Type="http://schemas.openxmlformats.org/officeDocument/2006/relationships/hyperlink" Target="http://www.hokej.cz/tipsport-extraliga/stats-center?season=2017&amp;competition=6173&amp;team=823&amp;yearFrom=&amp;stranger=0&amp;state=&amp;stats-order=pm&amp;stats-direction=desc" TargetMode="External"/><Relationship Id="rId5" Type="http://schemas.openxmlformats.org/officeDocument/2006/relationships/hyperlink" Target="http://www.hokej.cz/tipsport-extraliga/stats-center?season=2017&amp;competition=6173&amp;team=823&amp;yearFrom=&amp;stranger=0&amp;state=&amp;stats-order=st&amp;stats-direction=desc" TargetMode="External"/><Relationship Id="rId10" Type="http://schemas.openxmlformats.org/officeDocument/2006/relationships/hyperlink" Target="http://www.hokej.cz/tipsport-extraliga/stats-center?season=2017&amp;competition=6173&amp;team=823&amp;yearFrom=&amp;stranger=0&amp;state=&amp;stats-order=gw&amp;stats-direction=desc" TargetMode="External"/><Relationship Id="rId4" Type="http://schemas.openxmlformats.org/officeDocument/2006/relationships/hyperlink" Target="http://www.hokej.cz/tipsport-extraliga/stats-center?season=2017&amp;competition=6173&amp;team=823&amp;yearFrom=&amp;stranger=0&amp;state=&amp;stats-order=ga&amp;stats-direction=asc" TargetMode="External"/><Relationship Id="rId9" Type="http://schemas.openxmlformats.org/officeDocument/2006/relationships/hyperlink" Target="http://www.hokej.cz/tipsport-extraliga/stats-center?season=2017&amp;competition=6173&amp;team=823&amp;yearFrom=&amp;stranger=0&amp;state=&amp;stats-order=gsh&amp;stats-direction=desc" TargetMode="Externa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3"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18"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26"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39"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21"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34"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42"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7"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2"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16"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29"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1"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6"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11"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24"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32"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37"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40"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45"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5"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15"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23"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28"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36"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10"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19"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31"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44"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4"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9"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14"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22"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27"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30"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35"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43"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8"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3"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12"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17"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25"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33"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38"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20"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 Id="rId41" Type="http://schemas.openxmlformats.org/officeDocument/2006/relationships/hyperlink" Target="https://www.hokej.cz/klub/823/statistiky?stats-view-value=823&amp;t=r1usz0x%3C%21DOCTYPE%2BHTML%2BPUBLIC&amp;stats-filter-season=2018&amp;stats-filter-competition=6238&amp;stats-filter-team=823&amp;stats-menu-section=time&amp;do=stats-view-selectTea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3" Type="http://schemas.openxmlformats.org/officeDocument/2006/relationships/hyperlink" Target="https://www.hokej.cz/www/klub/823/statistiky?stats-view-value=823&amp;do=stats-view-selectTeam" TargetMode="External"/><Relationship Id="rId18" Type="http://schemas.openxmlformats.org/officeDocument/2006/relationships/hyperlink" Target="https://www.hokej.cz/www/klub/823/statistiky?stats-view-value=823&amp;do=stats-view-selectTeam" TargetMode="External"/><Relationship Id="rId26" Type="http://schemas.openxmlformats.org/officeDocument/2006/relationships/hyperlink" Target="https://www.hokej.cz/www/klub/823/statistiky?stats-view-value=823&amp;do=stats-view-selectTeam" TargetMode="External"/><Relationship Id="rId39" Type="http://schemas.openxmlformats.org/officeDocument/2006/relationships/hyperlink" Target="https://www.hokej.cz/www/klub/823/statistiky?stats-view-value=823&amp;do=stats-view-selectTeam" TargetMode="External"/><Relationship Id="rId21" Type="http://schemas.openxmlformats.org/officeDocument/2006/relationships/hyperlink" Target="https://www.hokej.cz/www/klub/823/statistiky?stats-view-value=823&amp;do=stats-view-selectTeam" TargetMode="External"/><Relationship Id="rId34" Type="http://schemas.openxmlformats.org/officeDocument/2006/relationships/hyperlink" Target="https://www.hokej.cz/www/klub/823/statistiky?stats-view-value=823&amp;do=stats-view-selectTeam" TargetMode="External"/><Relationship Id="rId42" Type="http://schemas.openxmlformats.org/officeDocument/2006/relationships/hyperlink" Target="https://www.hokej.cz/www/klub/823/statistiky?stats-view-value=823&amp;do=stats-view-selectTeam" TargetMode="External"/><Relationship Id="rId47" Type="http://schemas.openxmlformats.org/officeDocument/2006/relationships/comments" Target="../comments1.xml"/><Relationship Id="rId7" Type="http://schemas.openxmlformats.org/officeDocument/2006/relationships/hyperlink" Target="https://www.hokej.cz/www/klub/823/statistiky?stats-view-value=823&amp;do=stats-view-selectTeam" TargetMode="External"/><Relationship Id="rId2" Type="http://schemas.openxmlformats.org/officeDocument/2006/relationships/hyperlink" Target="https://www.hokej.cz/www/klub/823/statistiky?stats-view-value=823&amp;do=stats-view-selectTeam" TargetMode="External"/><Relationship Id="rId16" Type="http://schemas.openxmlformats.org/officeDocument/2006/relationships/hyperlink" Target="https://www.hokej.cz/www/klub/823/statistiky?stats-view-value=823&amp;do=stats-view-selectTeam" TargetMode="External"/><Relationship Id="rId29" Type="http://schemas.openxmlformats.org/officeDocument/2006/relationships/hyperlink" Target="https://www.hokej.cz/www/klub/823/statistiky?stats-view-value=823&amp;do=stats-view-selectTeam" TargetMode="External"/><Relationship Id="rId1" Type="http://schemas.openxmlformats.org/officeDocument/2006/relationships/hyperlink" Target="https://www.hokej.cz/www/klub/823/statistiky?stats-view-value=823&amp;do=stats-view-selectTeam" TargetMode="External"/><Relationship Id="rId6" Type="http://schemas.openxmlformats.org/officeDocument/2006/relationships/hyperlink" Target="https://www.hokej.cz/www/klub/823/statistiky?stats-view-value=823&amp;do=stats-view-selectTeam" TargetMode="External"/><Relationship Id="rId11" Type="http://schemas.openxmlformats.org/officeDocument/2006/relationships/hyperlink" Target="https://www.hokej.cz/www/klub/823/statistiky?stats-view-value=823&amp;do=stats-view-selectTeam" TargetMode="External"/><Relationship Id="rId24" Type="http://schemas.openxmlformats.org/officeDocument/2006/relationships/hyperlink" Target="https://www.hokej.cz/www/klub/823/statistiky?stats-view-value=823&amp;do=stats-view-selectTeam" TargetMode="External"/><Relationship Id="rId32" Type="http://schemas.openxmlformats.org/officeDocument/2006/relationships/hyperlink" Target="https://www.hokej.cz/www/klub/823/statistiky?stats-view-value=823&amp;do=stats-view-selectTeam" TargetMode="External"/><Relationship Id="rId37" Type="http://schemas.openxmlformats.org/officeDocument/2006/relationships/hyperlink" Target="https://www.hokej.cz/www/klub/823/statistiky?stats-view-value=823&amp;do=stats-view-selectTeam" TargetMode="External"/><Relationship Id="rId40" Type="http://schemas.openxmlformats.org/officeDocument/2006/relationships/hyperlink" Target="https://www.hokej.cz/www/klub/823/statistiky?stats-view-value=823&amp;do=stats-view-selectTeam" TargetMode="External"/><Relationship Id="rId45" Type="http://schemas.openxmlformats.org/officeDocument/2006/relationships/hyperlink" Target="https://www.hokej.cz/www/klub/823/statistiky?stats-view-value=823&amp;do=stats-view-selectTeam" TargetMode="External"/><Relationship Id="rId5" Type="http://schemas.openxmlformats.org/officeDocument/2006/relationships/hyperlink" Target="https://www.hokej.cz/www/klub/823/statistiky?stats-view-value=823&amp;do=stats-view-selectTeam" TargetMode="External"/><Relationship Id="rId15" Type="http://schemas.openxmlformats.org/officeDocument/2006/relationships/hyperlink" Target="https://www.hokej.cz/www/klub/823/statistiky?stats-view-value=823&amp;do=stats-view-selectTeam" TargetMode="External"/><Relationship Id="rId23" Type="http://schemas.openxmlformats.org/officeDocument/2006/relationships/hyperlink" Target="https://www.hokej.cz/www/klub/823/statistiky?stats-view-value=823&amp;do=stats-view-selectTeam" TargetMode="External"/><Relationship Id="rId28" Type="http://schemas.openxmlformats.org/officeDocument/2006/relationships/hyperlink" Target="https://www.hokej.cz/www/klub/823/statistiky?stats-view-value=823&amp;do=stats-view-selectTeam" TargetMode="External"/><Relationship Id="rId36" Type="http://schemas.openxmlformats.org/officeDocument/2006/relationships/hyperlink" Target="https://www.hokej.cz/www/klub/823/statistiky?stats-view-value=823&amp;do=stats-view-selectTeam" TargetMode="External"/><Relationship Id="rId10" Type="http://schemas.openxmlformats.org/officeDocument/2006/relationships/hyperlink" Target="https://www.hokej.cz/www/klub/823/statistiky?stats-view-value=823&amp;do=stats-view-selectTeam" TargetMode="External"/><Relationship Id="rId19" Type="http://schemas.openxmlformats.org/officeDocument/2006/relationships/hyperlink" Target="https://www.hokej.cz/www/klub/823/statistiky?stats-view-value=823&amp;do=stats-view-selectTeam" TargetMode="External"/><Relationship Id="rId31" Type="http://schemas.openxmlformats.org/officeDocument/2006/relationships/hyperlink" Target="https://www.hokej.cz/www/klub/823/statistiky?stats-view-value=823&amp;do=stats-view-selectTeam" TargetMode="External"/><Relationship Id="rId44" Type="http://schemas.openxmlformats.org/officeDocument/2006/relationships/hyperlink" Target="https://www.hokej.cz/www/klub/823/statistiky?stats-view-value=823&amp;do=stats-view-selectTeam" TargetMode="External"/><Relationship Id="rId4" Type="http://schemas.openxmlformats.org/officeDocument/2006/relationships/hyperlink" Target="https://www.hokej.cz/www/klub/823/statistiky?stats-view-value=823&amp;do=stats-view-selectTeam" TargetMode="External"/><Relationship Id="rId9" Type="http://schemas.openxmlformats.org/officeDocument/2006/relationships/hyperlink" Target="https://www.hokej.cz/www/klub/823/statistiky?stats-view-value=823&amp;do=stats-view-selectTeam" TargetMode="External"/><Relationship Id="rId14" Type="http://schemas.openxmlformats.org/officeDocument/2006/relationships/hyperlink" Target="https://www.hokej.cz/www/klub/823/statistiky?stats-view-value=823&amp;do=stats-view-selectTeam" TargetMode="External"/><Relationship Id="rId22" Type="http://schemas.openxmlformats.org/officeDocument/2006/relationships/hyperlink" Target="https://www.hokej.cz/www/klub/823/statistiky?stats-view-value=823&amp;do=stats-view-selectTeam" TargetMode="External"/><Relationship Id="rId27" Type="http://schemas.openxmlformats.org/officeDocument/2006/relationships/hyperlink" Target="https://www.hokej.cz/www/klub/823/statistiky?stats-view-value=823&amp;do=stats-view-selectTeam" TargetMode="External"/><Relationship Id="rId30" Type="http://schemas.openxmlformats.org/officeDocument/2006/relationships/hyperlink" Target="https://www.hokej.cz/www/klub/823/statistiky?stats-view-value=823&amp;do=stats-view-selectTeam" TargetMode="External"/><Relationship Id="rId35" Type="http://schemas.openxmlformats.org/officeDocument/2006/relationships/hyperlink" Target="https://www.hokej.cz/www/klub/823/statistiky?stats-view-value=823&amp;do=stats-view-selectTeam" TargetMode="External"/><Relationship Id="rId43" Type="http://schemas.openxmlformats.org/officeDocument/2006/relationships/hyperlink" Target="https://www.hokej.cz/www/klub/823/statistiky?stats-view-value=823&amp;do=stats-view-selectTeam" TargetMode="External"/><Relationship Id="rId8" Type="http://schemas.openxmlformats.org/officeDocument/2006/relationships/hyperlink" Target="https://www.hokej.cz/www/klub/823/statistiky?stats-view-value=823&amp;do=stats-view-selectTeam" TargetMode="External"/><Relationship Id="rId3" Type="http://schemas.openxmlformats.org/officeDocument/2006/relationships/hyperlink" Target="https://www.hokej.cz/www/klub/823/statistiky?stats-view-value=823&amp;do=stats-view-selectTeam" TargetMode="External"/><Relationship Id="rId12" Type="http://schemas.openxmlformats.org/officeDocument/2006/relationships/hyperlink" Target="https://www.hokej.cz/www/klub/823/statistiky?stats-view-value=823&amp;do=stats-view-selectTeam" TargetMode="External"/><Relationship Id="rId17" Type="http://schemas.openxmlformats.org/officeDocument/2006/relationships/hyperlink" Target="https://www.hokej.cz/www/klub/823/statistiky?stats-view-value=823&amp;do=stats-view-selectTeam" TargetMode="External"/><Relationship Id="rId25" Type="http://schemas.openxmlformats.org/officeDocument/2006/relationships/hyperlink" Target="https://www.hokej.cz/www/klub/823/statistiky?stats-view-value=823&amp;do=stats-view-selectTeam" TargetMode="External"/><Relationship Id="rId33" Type="http://schemas.openxmlformats.org/officeDocument/2006/relationships/hyperlink" Target="https://www.hokej.cz/www/klub/823/statistiky?stats-view-value=823&amp;do=stats-view-selectTeam" TargetMode="External"/><Relationship Id="rId38" Type="http://schemas.openxmlformats.org/officeDocument/2006/relationships/hyperlink" Target="https://www.hokej.cz/www/klub/823/statistiky?stats-view-value=823&amp;do=stats-view-selectTeam" TargetMode="External"/><Relationship Id="rId46" Type="http://schemas.openxmlformats.org/officeDocument/2006/relationships/vmlDrawing" Target="../drawings/vmlDrawing1.vml"/><Relationship Id="rId20" Type="http://schemas.openxmlformats.org/officeDocument/2006/relationships/hyperlink" Target="https://www.hokej.cz/www/klub/823/statistiky?stats-view-value=823&amp;do=stats-view-selectTeam" TargetMode="External"/><Relationship Id="rId41" Type="http://schemas.openxmlformats.org/officeDocument/2006/relationships/hyperlink" Target="https://www.hokej.cz/www/klub/823/statistiky?stats-view-value=823&amp;do=stats-view-selectTea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17" Type="http://schemas.openxmlformats.org/officeDocument/2006/relationships/hyperlink" Target="https://www.hokej.cz/hrac/10077692?t=52q08o1i5ekaakc05rtdq2g9ktqyueh1fpwx6mt5mqwjisq3a84iqdd" TargetMode="External"/><Relationship Id="rId21" Type="http://schemas.openxmlformats.org/officeDocument/2006/relationships/hyperlink" Target="https://www.hokej.cz/hrac/10528?t=52q08o1i5ekaakc05rtdq2g9ktqyueh1fpwx6mt5mqwjisq3a84iqdd" TargetMode="External"/><Relationship Id="rId42" Type="http://schemas.openxmlformats.org/officeDocument/2006/relationships/hyperlink" Target="https://www.eliteprospects.com/team/637/hc-plzen/2018-2019?tab=stats" TargetMode="External"/><Relationship Id="rId63" Type="http://schemas.openxmlformats.org/officeDocument/2006/relationships/hyperlink" Target="https://www.eliteprospects.com/team/164/hc-sparta-praha/2019-2020?tab=stats" TargetMode="External"/><Relationship Id="rId84" Type="http://schemas.openxmlformats.org/officeDocument/2006/relationships/hyperlink" Target="https://www.eliteprospects.com/league/czech/stats/2020-2021/playoffs" TargetMode="External"/><Relationship Id="rId16" Type="http://schemas.openxmlformats.org/officeDocument/2006/relationships/hyperlink" Target="https://www.hokej.cz/hrac/8759?t=52q08o1i5ekaakc05rtdq2g9ktqyueh1fpwx6mt5mqwjisq3a84iqdd" TargetMode="External"/><Relationship Id="rId107" Type="http://schemas.openxmlformats.org/officeDocument/2006/relationships/hyperlink" Target="https://www.hokej.cz/hrac/11188?t=52q08o1i5ekaakc05rtdq2g9ktqyueh1fpwx6mt5mqwjisq3a84iqdd" TargetMode="External"/><Relationship Id="rId11" Type="http://schemas.openxmlformats.org/officeDocument/2006/relationships/hyperlink" Target="https://www.hokej.cz/hrac/14369?t=52q08o1i5ekaakc05rtdq2g9ktqyueh1fpwx6mt5mqwjisq3a84iqdd" TargetMode="External"/><Relationship Id="rId32" Type="http://schemas.openxmlformats.org/officeDocument/2006/relationships/hyperlink" Target="https://www.hokej.cz/hrac/13089?t=52q08o1i5ekaakc05rtdq2g9ktqyueh1fpwx6mt5mqwjisq3a84iqdd" TargetMode="External"/><Relationship Id="rId37" Type="http://schemas.openxmlformats.org/officeDocument/2006/relationships/hyperlink" Target="https://www.hokej.cz/hrac/14465?t=52q08o1i5ekaakc05rtdq2g9ktqyueh1fpwx6mt5mqwjisq3a84iqdd" TargetMode="External"/><Relationship Id="rId53" Type="http://schemas.openxmlformats.org/officeDocument/2006/relationships/hyperlink" Target="https://www.eliteprospects.com/league/international/stats/2018-2019" TargetMode="External"/><Relationship Id="rId58" Type="http://schemas.openxmlformats.org/officeDocument/2006/relationships/hyperlink" Target="https://www.eliteprospects.com/league/international/stats/2019-2020" TargetMode="External"/><Relationship Id="rId74" Type="http://schemas.openxmlformats.org/officeDocument/2006/relationships/hyperlink" Target="https://www.eliteprospects.com/league/khl/stats/2018-2019" TargetMode="External"/><Relationship Id="rId79" Type="http://schemas.openxmlformats.org/officeDocument/2006/relationships/hyperlink" Target="https://www.eliteprospects.com/team/12426/slovakia-all/2018-2019?tab=stats" TargetMode="External"/><Relationship Id="rId102" Type="http://schemas.openxmlformats.org/officeDocument/2006/relationships/hyperlink" Target="https://www.hokej.cz/hrac/13089?t=52q08o1i5ekaakc05rtdq2g9ktqyueh1fpwx6mt5mqwjisq3a84iqdd" TargetMode="External"/><Relationship Id="rId123" Type="http://schemas.openxmlformats.org/officeDocument/2006/relationships/hyperlink" Target="https://www.hokej.cz/hrac/10096631?t=52q08o1i5ekaakc05rtdq2g9ktqyueh1fpwx6mt5mqwjisq3a84iqdd" TargetMode="External"/><Relationship Id="rId128" Type="http://schemas.openxmlformats.org/officeDocument/2006/relationships/hyperlink" Target="https://www.eliteprospects.com/league/czechia/stats/2021-2022" TargetMode="External"/><Relationship Id="rId5" Type="http://schemas.openxmlformats.org/officeDocument/2006/relationships/hyperlink" Target="https://www.hokej.cz/hrac/8607?t=52q08o1i5ekaakc05rtdq2g9ktqyueh1fpwx6mt5mqwjisq3a84iqdd" TargetMode="External"/><Relationship Id="rId90" Type="http://schemas.openxmlformats.org/officeDocument/2006/relationships/hyperlink" Target="https://www.eliteprospects.com/team/25837/newfoundland-growlers/2018-2019?tab=stats" TargetMode="External"/><Relationship Id="rId95" Type="http://schemas.openxmlformats.org/officeDocument/2006/relationships/hyperlink" Target="https://www.eliteprospects.com/team/25837/newfoundland-growlers/2019-2020?tab=stats" TargetMode="External"/><Relationship Id="rId22" Type="http://schemas.openxmlformats.org/officeDocument/2006/relationships/hyperlink" Target="https://www.hokej.cz/hrac/14465?t=52q08o1i5ekaakc05rtdq2g9ktqyueh1fpwx6mt5mqwjisq3a84iqdd" TargetMode="External"/><Relationship Id="rId27" Type="http://schemas.openxmlformats.org/officeDocument/2006/relationships/hyperlink" Target="https://www.hokej.cz/hrac/10084490?t=52q08o1i5ekaakc05rtdq2g9ktqyueh1fpwx6mt5mqwjisq3a84iqdd" TargetMode="External"/><Relationship Id="rId43" Type="http://schemas.openxmlformats.org/officeDocument/2006/relationships/hyperlink" Target="https://www.eliteprospects.com/league/czech/stats/2018-2019" TargetMode="External"/><Relationship Id="rId48" Type="http://schemas.openxmlformats.org/officeDocument/2006/relationships/hyperlink" Target="https://www.eliteprospects.com/league/czech/stats/2020-2021/playoffs" TargetMode="External"/><Relationship Id="rId64" Type="http://schemas.openxmlformats.org/officeDocument/2006/relationships/hyperlink" Target="https://www.eliteprospects.com/league/czech/stats/2019-2020" TargetMode="External"/><Relationship Id="rId69" Type="http://schemas.openxmlformats.org/officeDocument/2006/relationships/hyperlink" Target="https://www.eliteprospects.com/league/czech/stats/2020-2021" TargetMode="External"/><Relationship Id="rId113" Type="http://schemas.openxmlformats.org/officeDocument/2006/relationships/hyperlink" Target="https://www.hokej.cz/hrac/14369?t=52q08o1i5ekaakc05rtdq2g9ktqyueh1fpwx6mt5mqwjisq3a84iqdd" TargetMode="External"/><Relationship Id="rId118" Type="http://schemas.openxmlformats.org/officeDocument/2006/relationships/hyperlink" Target="https://www.hokej.cz/hrac/51841?t=52q08o1i5ekaakc05rtdq2g9ktqyueh1fpwx6mt5mqwjisq3a84iqdd" TargetMode="External"/><Relationship Id="rId134" Type="http://schemas.openxmlformats.org/officeDocument/2006/relationships/drawing" Target="../drawings/drawing5.xml"/><Relationship Id="rId80" Type="http://schemas.openxmlformats.org/officeDocument/2006/relationships/hyperlink" Target="https://www.eliteprospects.com/league/international/stats/2018-2019" TargetMode="External"/><Relationship Id="rId85" Type="http://schemas.openxmlformats.org/officeDocument/2006/relationships/hyperlink" Target="https://www.eliteprospects.com/league/czech/stats/2020-2021" TargetMode="External"/><Relationship Id="rId12" Type="http://schemas.openxmlformats.org/officeDocument/2006/relationships/hyperlink" Target="https://www.hokej.cz/hrac/10096884?t=52q08o1i5ekaakc05rtdq2g9ktqyueh1fpwx6mt5mqwjisq3a84iqdd" TargetMode="External"/><Relationship Id="rId17" Type="http://schemas.openxmlformats.org/officeDocument/2006/relationships/hyperlink" Target="https://www.hokej.cz/hrac/8924?t=52q08o1i5ekaakc05rtdq2g9ktqyueh1fpwx6mt5mqwjisq3a84iqdd" TargetMode="External"/><Relationship Id="rId33" Type="http://schemas.openxmlformats.org/officeDocument/2006/relationships/hyperlink" Target="https://www.hokej.cz/hrac/17113?t=52q08o1i5ekaakc05rtdq2g9ktqyueh1fpwx6mt5mqwjisq3a84iqdd" TargetMode="External"/><Relationship Id="rId38" Type="http://schemas.openxmlformats.org/officeDocument/2006/relationships/hyperlink" Target="https://www.hokej.cz/hrac/7865?t=52q08o1i5ekaakc05rtdq2g9ktqyueh1fpwx6mt5mqwjisq3a84iqdd" TargetMode="External"/><Relationship Id="rId59" Type="http://schemas.openxmlformats.org/officeDocument/2006/relationships/hyperlink" Target="https://www.eliteprospects.com/league/international/stats/2019-2020" TargetMode="External"/><Relationship Id="rId103" Type="http://schemas.openxmlformats.org/officeDocument/2006/relationships/hyperlink" Target="https://www.hokej.cz/hrac/17113?t=52q08o1i5ekaakc05rtdq2g9ktqyueh1fpwx6mt5mqwjisq3a84iqdd" TargetMode="External"/><Relationship Id="rId108" Type="http://schemas.openxmlformats.org/officeDocument/2006/relationships/hyperlink" Target="https://www.hokej.cz/hrac/2955?t=52q08o1i5ekaakc05rtdq2g9ktqyueh1fpwx6mt5mqwjisq3a84iqdd" TargetMode="External"/><Relationship Id="rId124" Type="http://schemas.openxmlformats.org/officeDocument/2006/relationships/hyperlink" Target="https://www.eliteprospects.com/team/155/hc-verva-litvinov/2021-2022?tab=stats" TargetMode="External"/><Relationship Id="rId129" Type="http://schemas.openxmlformats.org/officeDocument/2006/relationships/hyperlink" Target="https://www.eliteprospects.com/team/155/hc-verva-litvinov/2021-2022?tab=stats" TargetMode="External"/><Relationship Id="rId54" Type="http://schemas.openxmlformats.org/officeDocument/2006/relationships/hyperlink" Target="https://www.eliteprospects.com/league/international/stats/2018-2019" TargetMode="External"/><Relationship Id="rId70" Type="http://schemas.openxmlformats.org/officeDocument/2006/relationships/hyperlink" Target="https://www.eliteprospects.com/league/czech/stats/2020-2021/playoffs" TargetMode="External"/><Relationship Id="rId75" Type="http://schemas.openxmlformats.org/officeDocument/2006/relationships/hyperlink" Target="https://www.eliteprospects.com/team/170/hk-32-liptovsky-mikulas/2018-2019?tab=stats" TargetMode="External"/><Relationship Id="rId91" Type="http://schemas.openxmlformats.org/officeDocument/2006/relationships/hyperlink" Target="https://www.eliteprospects.com/league/echl/stats/2018-2019" TargetMode="External"/><Relationship Id="rId96" Type="http://schemas.openxmlformats.org/officeDocument/2006/relationships/hyperlink" Target="https://www.eliteprospects.com/league/echl/stats/2019-2020" TargetMode="External"/><Relationship Id="rId1" Type="http://schemas.openxmlformats.org/officeDocument/2006/relationships/hyperlink" Target="https://www.hokej.cz/hrac/1741?t=52q08o1i5ekaakc05rtdq2g9ktqyueh1fpwx6mt5mqwjisq3a84iqdd" TargetMode="External"/><Relationship Id="rId6" Type="http://schemas.openxmlformats.org/officeDocument/2006/relationships/hyperlink" Target="https://www.hokej.cz/hrac/14190?t=52q08o1i5ekaakc05rtdq2g9ktqyueh1fpwx6mt5mqwjisq3a84iqdd" TargetMode="External"/><Relationship Id="rId23" Type="http://schemas.openxmlformats.org/officeDocument/2006/relationships/hyperlink" Target="https://www.hokej.cz/hrac/7865?t=52q08o1i5ekaakc05rtdq2g9ktqyueh1fpwx6mt5mqwjisq3a84iqdd" TargetMode="External"/><Relationship Id="rId28" Type="http://schemas.openxmlformats.org/officeDocument/2006/relationships/hyperlink" Target="https://www.hokej.cz/hrac/4134193?t=52q08o1i5ekaakc05rtdq2g9ktqyueh1fpwx6mt5mqwjisq3a84iqdd" TargetMode="External"/><Relationship Id="rId49" Type="http://schemas.openxmlformats.org/officeDocument/2006/relationships/hyperlink" Target="https://www.eliteprospects.com/team/164/hc-sparta-praha/2018-2019?tab=stats" TargetMode="External"/><Relationship Id="rId114" Type="http://schemas.openxmlformats.org/officeDocument/2006/relationships/hyperlink" Target="https://www.hokej.cz/hrac/10096884?t=52q08o1i5ekaakc05rtdq2g9ktqyueh1fpwx6mt5mqwjisq3a84iqdd" TargetMode="External"/><Relationship Id="rId119" Type="http://schemas.openxmlformats.org/officeDocument/2006/relationships/hyperlink" Target="https://www.hokej.cz/hrac/13305?t=52q08o1i5ekaakc05rtdq2g9ktqyueh1fpwx6mt5mqwjisq3a84iqdd" TargetMode="External"/><Relationship Id="rId44" Type="http://schemas.openxmlformats.org/officeDocument/2006/relationships/hyperlink" Target="https://www.eliteprospects.com/league/czech/stats/2018-2019/playoffs" TargetMode="External"/><Relationship Id="rId60" Type="http://schemas.openxmlformats.org/officeDocument/2006/relationships/hyperlink" Target="https://www.eliteprospects.com/team/164/hc-sparta-praha/2020-2021?tab=stats" TargetMode="External"/><Relationship Id="rId65" Type="http://schemas.openxmlformats.org/officeDocument/2006/relationships/hyperlink" Target="https://www.eliteprospects.com/team/12426/slovakia-all/2019-2020?tab=stats" TargetMode="External"/><Relationship Id="rId81" Type="http://schemas.openxmlformats.org/officeDocument/2006/relationships/hyperlink" Target="https://www.eliteprospects.com/league/czech/stats/2020-2021" TargetMode="External"/><Relationship Id="rId86" Type="http://schemas.openxmlformats.org/officeDocument/2006/relationships/hyperlink" Target="https://www.eliteprospects.com/league/czech/stats/2020-2021/playoffs" TargetMode="External"/><Relationship Id="rId130" Type="http://schemas.openxmlformats.org/officeDocument/2006/relationships/hyperlink" Target="https://www.eliteprospects.com/league/czechia/stats/2021-2022" TargetMode="External"/><Relationship Id="rId13" Type="http://schemas.openxmlformats.org/officeDocument/2006/relationships/hyperlink" Target="https://www.hokej.cz/hrac/24381?t=52q08o1i5ekaakc05rtdq2g9ktqyueh1fpwx6mt5mqwjisq3a84iqdd" TargetMode="External"/><Relationship Id="rId18" Type="http://schemas.openxmlformats.org/officeDocument/2006/relationships/hyperlink" Target="https://www.hokej.cz/hrac/13792?t=52q08o1i5ekaakc05rtdq2g9ktqyueh1fpwx6mt5mqwjisq3a84iqdd" TargetMode="External"/><Relationship Id="rId39" Type="http://schemas.openxmlformats.org/officeDocument/2006/relationships/hyperlink" Target="https://www.hokej.cz/hrac/15400?t=52q08o1i5ekaakc05rtdq2g9ktqyueh1fpwx6mt5mqwjisq3a84iqdd" TargetMode="External"/><Relationship Id="rId109" Type="http://schemas.openxmlformats.org/officeDocument/2006/relationships/hyperlink" Target="https://www.hokej.cz/hrac/8607?t=52q08o1i5ekaakc05rtdq2g9ktqyueh1fpwx6mt5mqwjisq3a84iqdd" TargetMode="External"/><Relationship Id="rId34" Type="http://schemas.openxmlformats.org/officeDocument/2006/relationships/hyperlink" Target="https://www.hokej.cz/hrac/8759?t=52q08o1i5ekaakc05rtdq2g9ktqyueh1fpwx6mt5mqwjisq3a84iqdd" TargetMode="External"/><Relationship Id="rId50" Type="http://schemas.openxmlformats.org/officeDocument/2006/relationships/hyperlink" Target="https://www.eliteprospects.com/league/czech/stats/2018-2019" TargetMode="External"/><Relationship Id="rId55" Type="http://schemas.openxmlformats.org/officeDocument/2006/relationships/hyperlink" Target="https://www.eliteprospects.com/team/164/hc-sparta-praha/2019-2020?tab=stats" TargetMode="External"/><Relationship Id="rId76" Type="http://schemas.openxmlformats.org/officeDocument/2006/relationships/hyperlink" Target="https://www.eliteprospects.com/league/slovakia/stats/2018-2019" TargetMode="External"/><Relationship Id="rId97" Type="http://schemas.openxmlformats.org/officeDocument/2006/relationships/hyperlink" Target="https://www.eliteprospects.com/team/18602/stockton-heat/2020-2021?tab=stats" TargetMode="External"/><Relationship Id="rId104" Type="http://schemas.openxmlformats.org/officeDocument/2006/relationships/hyperlink" Target="https://www.hokej.cz/hrac/8759?t=52q08o1i5ekaakc05rtdq2g9ktqyueh1fpwx6mt5mqwjisq3a84iqdd" TargetMode="External"/><Relationship Id="rId120" Type="http://schemas.openxmlformats.org/officeDocument/2006/relationships/hyperlink" Target="https://www.hokej.cz/hrac/14190?t=52q08o1i5ekaakc05rtdq2g9ktqyueh1fpwx6mt5mqwjisq3a84iqdd" TargetMode="External"/><Relationship Id="rId125" Type="http://schemas.openxmlformats.org/officeDocument/2006/relationships/hyperlink" Target="https://www.eliteprospects.com/league/czechia/stats/2021-2022" TargetMode="External"/><Relationship Id="rId7" Type="http://schemas.openxmlformats.org/officeDocument/2006/relationships/hyperlink" Target="https://www.hokej.cz/hrac/13089?t=52q08o1i5ekaakc05rtdq2g9ktqyueh1fpwx6mt5mqwjisq3a84iqdd" TargetMode="External"/><Relationship Id="rId71" Type="http://schemas.openxmlformats.org/officeDocument/2006/relationships/hyperlink" Target="https://www.eliteprospects.com/team/1632/slovakia/2020-2021?tab=stats" TargetMode="External"/><Relationship Id="rId92" Type="http://schemas.openxmlformats.org/officeDocument/2006/relationships/hyperlink" Target="https://www.eliteprospects.com/league/echl/stats/2018-2019/playoffs" TargetMode="External"/><Relationship Id="rId2" Type="http://schemas.openxmlformats.org/officeDocument/2006/relationships/hyperlink" Target="https://www.hokej.cz/hrac/14150?t=52q08o1i5ekaakc05rtdq2g9ktqyueh1fpwx6mt5mqwjisq3a84iqdd" TargetMode="External"/><Relationship Id="rId29" Type="http://schemas.openxmlformats.org/officeDocument/2006/relationships/hyperlink" Target="https://www.hokej.cz/hrac/51841?t=52q08o1i5ekaakc05rtdq2g9ktqyueh1fpwx6mt5mqwjisq3a84iqdd" TargetMode="External"/><Relationship Id="rId24" Type="http://schemas.openxmlformats.org/officeDocument/2006/relationships/hyperlink" Target="https://www.hokej.cz/hrac/15400?t=52q08o1i5ekaakc05rtdq2g9ktqyueh1fpwx6mt5mqwjisq3a84iqdd" TargetMode="External"/><Relationship Id="rId40" Type="http://schemas.openxmlformats.org/officeDocument/2006/relationships/hyperlink" Target="https://www.hokej.cz/hrac/10084490?t=52q08o1i5ekaakc05rtdq2g9ktqyueh1fpwx6mt5mqwjisq3a84iqdd" TargetMode="External"/><Relationship Id="rId45" Type="http://schemas.openxmlformats.org/officeDocument/2006/relationships/hyperlink" Target="https://www.eliteprospects.com/team/637/hc-plzen/2019-2020?tab=stats" TargetMode="External"/><Relationship Id="rId66" Type="http://schemas.openxmlformats.org/officeDocument/2006/relationships/hyperlink" Target="https://www.eliteprospects.com/league/international/stats/2019-2020" TargetMode="External"/><Relationship Id="rId87" Type="http://schemas.openxmlformats.org/officeDocument/2006/relationships/hyperlink" Target="https://www.eliteprospects.com/team/1336/toronto-marlies/2018-2019?tab=stats" TargetMode="External"/><Relationship Id="rId110" Type="http://schemas.openxmlformats.org/officeDocument/2006/relationships/hyperlink" Target="https://www.hokej.cz/hrac/318533?t=52q08o1i5ekaakc05rtdq2g9ktqyueh1fpwx6mt5mqwjisq3a84iqdd" TargetMode="External"/><Relationship Id="rId115" Type="http://schemas.openxmlformats.org/officeDocument/2006/relationships/hyperlink" Target="https://www.hokej.cz/hrac/17112?t=52q08o1i5ekaakc05rtdq2g9ktqyueh1fpwx6mt5mqwjisq3a84iqdd" TargetMode="External"/><Relationship Id="rId131" Type="http://schemas.openxmlformats.org/officeDocument/2006/relationships/hyperlink" Target="https://www.eliteprospects.com/league/czech/stats/2020-2021" TargetMode="External"/><Relationship Id="rId61" Type="http://schemas.openxmlformats.org/officeDocument/2006/relationships/hyperlink" Target="https://www.eliteprospects.com/league/czech/stats/2020-2021" TargetMode="External"/><Relationship Id="rId82" Type="http://schemas.openxmlformats.org/officeDocument/2006/relationships/hyperlink" Target="https://www.eliteprospects.com/league/czech/stats/2020-2021/playoffs" TargetMode="External"/><Relationship Id="rId19" Type="http://schemas.openxmlformats.org/officeDocument/2006/relationships/hyperlink" Target="https://www.hokej.cz/hrac/10096631?t=52q08o1i5ekaakc05rtdq2g9ktqyueh1fpwx6mt5mqwjisq3a84iqdd" TargetMode="External"/><Relationship Id="rId14" Type="http://schemas.openxmlformats.org/officeDocument/2006/relationships/hyperlink" Target="https://www.hokej.cz/hrac/17113?t=52q08o1i5ekaakc05rtdq2g9ktqyueh1fpwx6mt5mqwjisq3a84iqdd" TargetMode="External"/><Relationship Id="rId30" Type="http://schemas.openxmlformats.org/officeDocument/2006/relationships/hyperlink" Target="https://www.hokej.cz/hrac/10079423?t=52q08o1i5ekaakc05rtdq2g9ktqyueh1fpwx6mt5mqwjisq3a84iqdd" TargetMode="External"/><Relationship Id="rId35" Type="http://schemas.openxmlformats.org/officeDocument/2006/relationships/hyperlink" Target="https://www.hokej.cz/hrac/13792?t=52q08o1i5ekaakc05rtdq2g9ktqyueh1fpwx6mt5mqwjisq3a84iqdd" TargetMode="External"/><Relationship Id="rId56" Type="http://schemas.openxmlformats.org/officeDocument/2006/relationships/hyperlink" Target="https://www.eliteprospects.com/league/czech/stats/2019-2020" TargetMode="External"/><Relationship Id="rId77" Type="http://schemas.openxmlformats.org/officeDocument/2006/relationships/hyperlink" Target="https://www.eliteprospects.com/team/1632/slovakia/2018-2019?tab=stats" TargetMode="External"/><Relationship Id="rId100" Type="http://schemas.openxmlformats.org/officeDocument/2006/relationships/hyperlink" Target="https://www.eliteprospects.com/team/4800/kansas-city-mavericks/2020-2021?tab=stats" TargetMode="External"/><Relationship Id="rId105" Type="http://schemas.openxmlformats.org/officeDocument/2006/relationships/hyperlink" Target="https://www.hokej.cz/hrac/1741?t=52q08o1i5ekaakc05rtdq2g9ktqyueh1fpwx6mt5mqwjisq3a84iqdd" TargetMode="External"/><Relationship Id="rId126" Type="http://schemas.openxmlformats.org/officeDocument/2006/relationships/hyperlink" Target="https://www.eliteprospects.com/league/czechia/stats/2021-2022" TargetMode="External"/><Relationship Id="rId8" Type="http://schemas.openxmlformats.org/officeDocument/2006/relationships/hyperlink" Target="https://www.hokej.cz/hrac/318533?t=52q08o1i5ekaakc05rtdq2g9ktqyueh1fpwx6mt5mqwjisq3a84iqdd" TargetMode="External"/><Relationship Id="rId51" Type="http://schemas.openxmlformats.org/officeDocument/2006/relationships/hyperlink" Target="https://www.eliteprospects.com/league/czech/stats/2018-2019/playoffs" TargetMode="External"/><Relationship Id="rId72" Type="http://schemas.openxmlformats.org/officeDocument/2006/relationships/hyperlink" Target="https://www.eliteprospects.com/league/wc/stats/2020-2021" TargetMode="External"/><Relationship Id="rId93" Type="http://schemas.openxmlformats.org/officeDocument/2006/relationships/hyperlink" Target="https://www.eliteprospects.com/team/1336/toronto-marlies/2019-2020?tab=stats" TargetMode="External"/><Relationship Id="rId98" Type="http://schemas.openxmlformats.org/officeDocument/2006/relationships/hyperlink" Target="https://www.eliteprospects.com/league/ahl/stats/2020-2021" TargetMode="External"/><Relationship Id="rId121" Type="http://schemas.openxmlformats.org/officeDocument/2006/relationships/hyperlink" Target="https://www.hokej.cz/hrac/24381?t=52q08o1i5ekaakc05rtdq2g9ktqyueh1fpwx6mt5mqwjisq3a84iqdd" TargetMode="External"/><Relationship Id="rId3" Type="http://schemas.openxmlformats.org/officeDocument/2006/relationships/hyperlink" Target="https://www.hokej.cz/hrac/11188?t=52q08o1i5ekaakc05rtdq2g9ktqyueh1fpwx6mt5mqwjisq3a84iqdd" TargetMode="External"/><Relationship Id="rId25" Type="http://schemas.openxmlformats.org/officeDocument/2006/relationships/hyperlink" Target="https://www.hokej.cz/hrac/17021?t=52q08o1i5ekaakc05rtdq2g9ktqyueh1fpwx6mt5mqwjisq3a84iqdd" TargetMode="External"/><Relationship Id="rId46" Type="http://schemas.openxmlformats.org/officeDocument/2006/relationships/hyperlink" Target="https://www.eliteprospects.com/league/czech/stats/2019-2020" TargetMode="External"/><Relationship Id="rId67" Type="http://schemas.openxmlformats.org/officeDocument/2006/relationships/hyperlink" Target="https://www.eliteprospects.com/league/international/stats/2019-2020" TargetMode="External"/><Relationship Id="rId116" Type="http://schemas.openxmlformats.org/officeDocument/2006/relationships/hyperlink" Target="https://www.hokej.cz/hrac/29031?t=52q08o1i5ekaakc05rtdq2g9ktqyueh1fpwx6mt5mqwjisq3a84iqdd" TargetMode="External"/><Relationship Id="rId20" Type="http://schemas.openxmlformats.org/officeDocument/2006/relationships/hyperlink" Target="https://www.hokej.cz/hrac/29031?t=52q08o1i5ekaakc05rtdq2g9ktqyueh1fpwx6mt5mqwjisq3a84iqdd" TargetMode="External"/><Relationship Id="rId41" Type="http://schemas.openxmlformats.org/officeDocument/2006/relationships/hyperlink" Target="https://www.hokej.cz/hrac/4134193?t=52q08o1i5ekaakc05rtdq2g9ktqyueh1fpwx6mt5mqwjisq3a84iqdd" TargetMode="External"/><Relationship Id="rId62" Type="http://schemas.openxmlformats.org/officeDocument/2006/relationships/hyperlink" Target="https://www.eliteprospects.com/league/czech/stats/2020-2021/playoffs" TargetMode="External"/><Relationship Id="rId83" Type="http://schemas.openxmlformats.org/officeDocument/2006/relationships/hyperlink" Target="https://www.eliteprospects.com/league/czech/stats/2020-2021" TargetMode="External"/><Relationship Id="rId88" Type="http://schemas.openxmlformats.org/officeDocument/2006/relationships/hyperlink" Target="https://www.eliteprospects.com/league/ahl/stats/2018-2019" TargetMode="External"/><Relationship Id="rId111" Type="http://schemas.openxmlformats.org/officeDocument/2006/relationships/hyperlink" Target="https://www.hokej.cz/hrac/10083188?t=52q08o1i5ekaakc05rtdq2g9ktqyueh1fpwx6mt5mqwjisq3a84iqdd" TargetMode="External"/><Relationship Id="rId132" Type="http://schemas.openxmlformats.org/officeDocument/2006/relationships/hyperlink" Target="https://www.eliteprospects.com/league/czech/stats/2020-2021" TargetMode="External"/><Relationship Id="rId15" Type="http://schemas.openxmlformats.org/officeDocument/2006/relationships/hyperlink" Target="https://www.hokej.cz/hrac/17112?t=52q08o1i5ekaakc05rtdq2g9ktqyueh1fpwx6mt5mqwjisq3a84iqdd" TargetMode="External"/><Relationship Id="rId36" Type="http://schemas.openxmlformats.org/officeDocument/2006/relationships/hyperlink" Target="https://www.hokej.cz/hrac/10528?t=52q08o1i5ekaakc05rtdq2g9ktqyueh1fpwx6mt5mqwjisq3a84iqdd" TargetMode="External"/><Relationship Id="rId57" Type="http://schemas.openxmlformats.org/officeDocument/2006/relationships/hyperlink" Target="https://www.eliteprospects.com/team/12426/slovakia-all/2019-2020?tab=stats" TargetMode="External"/><Relationship Id="rId106" Type="http://schemas.openxmlformats.org/officeDocument/2006/relationships/hyperlink" Target="https://www.hokej.cz/hrac/14150?t=52q08o1i5ekaakc05rtdq2g9ktqyueh1fpwx6mt5mqwjisq3a84iqdd" TargetMode="External"/><Relationship Id="rId127" Type="http://schemas.openxmlformats.org/officeDocument/2006/relationships/hyperlink" Target="https://www.eliteprospects.com/team/155/hc-verva-litvinov/2021-2022?tab=stats" TargetMode="External"/><Relationship Id="rId10" Type="http://schemas.openxmlformats.org/officeDocument/2006/relationships/hyperlink" Target="https://www.hokej.cz/hrac/13437?t=52q08o1i5ekaakc05rtdq2g9ktqyueh1fpwx6mt5mqwjisq3a84iqdd" TargetMode="External"/><Relationship Id="rId31" Type="http://schemas.openxmlformats.org/officeDocument/2006/relationships/hyperlink" Target="https://www.hokej.cz/hrac/13305?t=52q08o1i5ekaakc05rtdq2g9ktqyueh1fpwx6mt5mqwjisq3a84iqdd" TargetMode="External"/><Relationship Id="rId52" Type="http://schemas.openxmlformats.org/officeDocument/2006/relationships/hyperlink" Target="https://www.eliteprospects.com/team/12426/slovakia-all/2018-2019?tab=stats" TargetMode="External"/><Relationship Id="rId73" Type="http://schemas.openxmlformats.org/officeDocument/2006/relationships/hyperlink" Target="https://www.eliteprospects.com/team/169/hc-slovan-bratislava/2018-2019?tab=stats" TargetMode="External"/><Relationship Id="rId78" Type="http://schemas.openxmlformats.org/officeDocument/2006/relationships/hyperlink" Target="https://www.eliteprospects.com/league/wc/stats/2018-2019" TargetMode="External"/><Relationship Id="rId94" Type="http://schemas.openxmlformats.org/officeDocument/2006/relationships/hyperlink" Target="https://www.eliteprospects.com/league/ahl/stats/2019-2020" TargetMode="External"/><Relationship Id="rId99" Type="http://schemas.openxmlformats.org/officeDocument/2006/relationships/hyperlink" Target="https://www.eliteprospects.com/league/ahl/stats/2020-2021" TargetMode="External"/><Relationship Id="rId101" Type="http://schemas.openxmlformats.org/officeDocument/2006/relationships/hyperlink" Target="https://www.eliteprospects.com/league/echl/stats/2020-2021" TargetMode="External"/><Relationship Id="rId122" Type="http://schemas.openxmlformats.org/officeDocument/2006/relationships/hyperlink" Target="https://www.hokej.cz/hrac/8924?t=52q08o1i5ekaakc05rtdq2g9ktqyueh1fpwx6mt5mqwjisq3a84iqdd" TargetMode="External"/><Relationship Id="rId4" Type="http://schemas.openxmlformats.org/officeDocument/2006/relationships/hyperlink" Target="https://www.hokej.cz/hrac/2955?t=52q08o1i5ekaakc05rtdq2g9ktqyueh1fpwx6mt5mqwjisq3a84iqdd" TargetMode="External"/><Relationship Id="rId9" Type="http://schemas.openxmlformats.org/officeDocument/2006/relationships/hyperlink" Target="https://www.hokej.cz/hrac/10083188?t=52q08o1i5ekaakc05rtdq2g9ktqyueh1fpwx6mt5mqwjisq3a84iqdd" TargetMode="External"/><Relationship Id="rId26" Type="http://schemas.openxmlformats.org/officeDocument/2006/relationships/hyperlink" Target="https://www.hokej.cz/hrac/10077692?t=52q08o1i5ekaakc05rtdq2g9ktqyueh1fpwx6mt5mqwjisq3a84iqdd" TargetMode="External"/><Relationship Id="rId47" Type="http://schemas.openxmlformats.org/officeDocument/2006/relationships/hyperlink" Target="https://www.eliteprospects.com/league/czech/stats/2020-2021" TargetMode="External"/><Relationship Id="rId68" Type="http://schemas.openxmlformats.org/officeDocument/2006/relationships/hyperlink" Target="https://www.eliteprospects.com/team/164/hc-sparta-praha/2020-2021?tab=stats" TargetMode="External"/><Relationship Id="rId89" Type="http://schemas.openxmlformats.org/officeDocument/2006/relationships/hyperlink" Target="https://www.eliteprospects.com/league/ahl/stats/2018-2019" TargetMode="External"/><Relationship Id="rId112" Type="http://schemas.openxmlformats.org/officeDocument/2006/relationships/hyperlink" Target="https://www.hokej.cz/hrac/13437?t=52q08o1i5ekaakc05rtdq2g9ktqyueh1fpwx6mt5mqwjisq3a84iqdd" TargetMode="External"/><Relationship Id="rId133" Type="http://schemas.openxmlformats.org/officeDocument/2006/relationships/hyperlink" Target="https://www.eliteprospects.com/league/czech/stats/2020-2021"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3" Type="http://schemas.openxmlformats.org/officeDocument/2006/relationships/hyperlink" Target="https://www.hokej.cz/tipsport-extraliga/stats-center?season=2021&amp;competition=6705&amp;team=823&amp;yearFrom=&amp;stranger=0&amp;state=&amp;stats-order=tim&amp;stats-direction=desc" TargetMode="External"/><Relationship Id="rId18" Type="http://schemas.openxmlformats.org/officeDocument/2006/relationships/hyperlink" Target="https://www.hokej.cz/hrac/11296" TargetMode="External"/><Relationship Id="rId26" Type="http://schemas.openxmlformats.org/officeDocument/2006/relationships/hyperlink" Target="https://www.hokej.cz/hrac/8607" TargetMode="External"/><Relationship Id="rId39" Type="http://schemas.openxmlformats.org/officeDocument/2006/relationships/hyperlink" Target="https://www.hokej.cz/hrac/2491887" TargetMode="External"/><Relationship Id="rId21" Type="http://schemas.openxmlformats.org/officeDocument/2006/relationships/hyperlink" Target="https://www.hokej.cz/hrac/14369" TargetMode="External"/><Relationship Id="rId34" Type="http://schemas.openxmlformats.org/officeDocument/2006/relationships/hyperlink" Target="https://www.hokej.cz/hrac/10079354" TargetMode="External"/><Relationship Id="rId42" Type="http://schemas.openxmlformats.org/officeDocument/2006/relationships/printerSettings" Target="../printerSettings/printerSettings10.bin"/><Relationship Id="rId7" Type="http://schemas.openxmlformats.org/officeDocument/2006/relationships/hyperlink" Target="https://www.hokej.cz/tipsport-extraliga/stats-center?season=2021&amp;competition=6705&amp;team=823&amp;yearFrom=&amp;stranger=0&amp;state=&amp;stats-order=gpp&amp;stats-direction=desc" TargetMode="External"/><Relationship Id="rId2" Type="http://schemas.openxmlformats.org/officeDocument/2006/relationships/hyperlink" Target="https://www.hokej.cz/tipsport-extraliga/stats-center?season=2021&amp;competition=6705&amp;team=823&amp;yearFrom=&amp;stranger=0&amp;state=&amp;stats-order=g&amp;stats-direction=desc" TargetMode="External"/><Relationship Id="rId16" Type="http://schemas.openxmlformats.org/officeDocument/2006/relationships/hyperlink" Target="https://www.hokej.cz/hrac/11188" TargetMode="External"/><Relationship Id="rId20" Type="http://schemas.openxmlformats.org/officeDocument/2006/relationships/hyperlink" Target="https://www.hokej.cz/hrac/318533" TargetMode="External"/><Relationship Id="rId29" Type="http://schemas.openxmlformats.org/officeDocument/2006/relationships/hyperlink" Target="https://www.hokej.cz/hrac/10077692" TargetMode="External"/><Relationship Id="rId41" Type="http://schemas.openxmlformats.org/officeDocument/2006/relationships/hyperlink" Target="https://www.hokej.cz/hrac/13305" TargetMode="External"/><Relationship Id="rId1" Type="http://schemas.openxmlformats.org/officeDocument/2006/relationships/hyperlink" Target="https://www.hokej.cz/tipsport-extraliga/stats-center?season=2021&amp;competition=6705&amp;team=823&amp;yearFrom=&amp;stranger=0&amp;state=&amp;stats-order=t&amp;stats-direction=desc" TargetMode="External"/><Relationship Id="rId6" Type="http://schemas.openxmlformats.org/officeDocument/2006/relationships/hyperlink" Target="https://www.hokej.cz/tipsport-extraliga/stats-center?season=2021&amp;competition=6705&amp;team=823&amp;yearFrom=&amp;stranger=0&amp;state=&amp;stats-order=shs&amp;stats-direction=desc" TargetMode="External"/><Relationship Id="rId11" Type="http://schemas.openxmlformats.org/officeDocument/2006/relationships/hyperlink" Target="https://www.hokej.cz/tipsport-extraliga/stats-center?season=2021&amp;competition=6705&amp;team=823&amp;yearFrom=&amp;stranger=0&amp;state=&amp;stats-order=pm&amp;stats-direction=desc" TargetMode="External"/><Relationship Id="rId24" Type="http://schemas.openxmlformats.org/officeDocument/2006/relationships/hyperlink" Target="https://www.hokej.cz/hrac/9447" TargetMode="External"/><Relationship Id="rId32" Type="http://schemas.openxmlformats.org/officeDocument/2006/relationships/hyperlink" Target="https://www.hokej.cz/hrac/18941" TargetMode="External"/><Relationship Id="rId37" Type="http://schemas.openxmlformats.org/officeDocument/2006/relationships/hyperlink" Target="https://www.hokej.cz/hrac/15400" TargetMode="External"/><Relationship Id="rId40" Type="http://schemas.openxmlformats.org/officeDocument/2006/relationships/hyperlink" Target="https://www.hokej.cz/hrac/11273" TargetMode="External"/><Relationship Id="rId5" Type="http://schemas.openxmlformats.org/officeDocument/2006/relationships/hyperlink" Target="https://www.hokej.cz/tipsport-extraliga/stats-center?season=2021&amp;competition=6705&amp;team=823&amp;yearFrom=&amp;stranger=0&amp;state=&amp;stats-order=s&amp;stats-direction=desc" TargetMode="External"/><Relationship Id="rId15" Type="http://schemas.openxmlformats.org/officeDocument/2006/relationships/hyperlink" Target="https://www.hokej.cz/hrac/14150" TargetMode="External"/><Relationship Id="rId23" Type="http://schemas.openxmlformats.org/officeDocument/2006/relationships/hyperlink" Target="https://www.hokej.cz/hrac/2955" TargetMode="External"/><Relationship Id="rId28" Type="http://schemas.openxmlformats.org/officeDocument/2006/relationships/hyperlink" Target="https://www.hokej.cz/hrac/10099509" TargetMode="External"/><Relationship Id="rId36" Type="http://schemas.openxmlformats.org/officeDocument/2006/relationships/hyperlink" Target="https://www.hokej.cz/hrac/13198" TargetMode="External"/><Relationship Id="rId10" Type="http://schemas.openxmlformats.org/officeDocument/2006/relationships/hyperlink" Target="https://www.hokej.cz/tipsport-extraliga/stats-center?season=2021&amp;competition=6705&amp;team=823&amp;yearFrom=&amp;stranger=0&amp;state=&amp;stats-order=gw&amp;stats-direction=desc" TargetMode="External"/><Relationship Id="rId19" Type="http://schemas.openxmlformats.org/officeDocument/2006/relationships/hyperlink" Target="https://www.hokej.cz/hrac/7229427" TargetMode="External"/><Relationship Id="rId31" Type="http://schemas.openxmlformats.org/officeDocument/2006/relationships/hyperlink" Target="https://www.hokej.cz/hrac/51841" TargetMode="External"/><Relationship Id="rId4" Type="http://schemas.openxmlformats.org/officeDocument/2006/relationships/hyperlink" Target="https://www.hokej.cz/tipsport-extraliga/stats-center?season=2021&amp;competition=6705&amp;team=823&amp;yearFrom=&amp;stranger=0&amp;state=&amp;stats-order=ga&amp;stats-direction=asc" TargetMode="External"/><Relationship Id="rId9" Type="http://schemas.openxmlformats.org/officeDocument/2006/relationships/hyperlink" Target="https://www.hokej.cz/tipsport-extraliga/stats-center?season=2021&amp;competition=6705&amp;team=823&amp;yearFrom=&amp;stranger=0&amp;state=&amp;stats-order=gsh&amp;stats-direction=desc" TargetMode="External"/><Relationship Id="rId14" Type="http://schemas.openxmlformats.org/officeDocument/2006/relationships/hyperlink" Target="https://www.hokej.cz/hrac/10099336" TargetMode="External"/><Relationship Id="rId22" Type="http://schemas.openxmlformats.org/officeDocument/2006/relationships/hyperlink" Target="https://www.hokej.cz/hrac/10083188" TargetMode="External"/><Relationship Id="rId27" Type="http://schemas.openxmlformats.org/officeDocument/2006/relationships/hyperlink" Target="https://www.hokej.cz/hrac/10096884" TargetMode="External"/><Relationship Id="rId30" Type="http://schemas.openxmlformats.org/officeDocument/2006/relationships/hyperlink" Target="https://www.hokej.cz/hrac/29031" TargetMode="External"/><Relationship Id="rId35" Type="http://schemas.openxmlformats.org/officeDocument/2006/relationships/hyperlink" Target="https://www.hokej.cz/hrac/17112" TargetMode="External"/><Relationship Id="rId8" Type="http://schemas.openxmlformats.org/officeDocument/2006/relationships/hyperlink" Target="https://www.hokej.cz/tipsport-extraliga/stats-center?season=2021&amp;competition=6705&amp;team=823&amp;yearFrom=&amp;stranger=0&amp;state=&amp;stats-order=ppp&amp;stats-direction=desc" TargetMode="External"/><Relationship Id="rId3" Type="http://schemas.openxmlformats.org/officeDocument/2006/relationships/hyperlink" Target="https://www.hokej.cz/tipsport-extraliga/stats-center?season=2021&amp;competition=6705&amp;team=823&amp;yearFrom=&amp;stranger=0&amp;state=&amp;stats-order=a&amp;stats-direction=desc" TargetMode="External"/><Relationship Id="rId12" Type="http://schemas.openxmlformats.org/officeDocument/2006/relationships/hyperlink" Target="https://www.hokej.cz/tipsport-extraliga/stats-center?season=2021&amp;competition=6705&amp;team=823&amp;yearFrom=&amp;stranger=0&amp;state=&amp;stats-order=tm&amp;stats-direction=desc" TargetMode="External"/><Relationship Id="rId17" Type="http://schemas.openxmlformats.org/officeDocument/2006/relationships/hyperlink" Target="https://www.hokej.cz/hrac/1741" TargetMode="External"/><Relationship Id="rId25" Type="http://schemas.openxmlformats.org/officeDocument/2006/relationships/hyperlink" Target="https://www.hokej.cz/hrac/11291" TargetMode="External"/><Relationship Id="rId33" Type="http://schemas.openxmlformats.org/officeDocument/2006/relationships/hyperlink" Target="https://www.hokej.cz/hrac/13437" TargetMode="External"/><Relationship Id="rId38" Type="http://schemas.openxmlformats.org/officeDocument/2006/relationships/hyperlink" Target="https://www.hokej.cz/hrac/17113" TargetMode="External"/></Relationships>
</file>

<file path=xl/worksheets/_rels/sheet17.xml.rels><?xml version="1.0" encoding="UTF-8" standalone="yes"?>
<Relationships xmlns="http://schemas.openxmlformats.org/package/2006/relationships"><Relationship Id="rId117" Type="http://schemas.openxmlformats.org/officeDocument/2006/relationships/hyperlink" Target="https://www.hokej.cz/hrac/11273" TargetMode="External"/><Relationship Id="rId299" Type="http://schemas.openxmlformats.org/officeDocument/2006/relationships/hyperlink" Target="https://www.eliteprospects.com/league/italy2/stats/2018-2019/playoffs" TargetMode="External"/><Relationship Id="rId21" Type="http://schemas.openxmlformats.org/officeDocument/2006/relationships/hyperlink" Target="https://hokej.cz/hrac/13437" TargetMode="External"/><Relationship Id="rId63" Type="http://schemas.openxmlformats.org/officeDocument/2006/relationships/hyperlink" Target="https://www.hokej.cz/hrac/318533" TargetMode="External"/><Relationship Id="rId159" Type="http://schemas.openxmlformats.org/officeDocument/2006/relationships/hyperlink" Target="https://www.eliteprospects.com/team/155/hc-litvinov/2020-2021?tab=stats" TargetMode="External"/><Relationship Id="rId324" Type="http://schemas.openxmlformats.org/officeDocument/2006/relationships/hyperlink" Target="https://www.eliteprospects.com/league/czechia/stats/2021-2022/playoffs" TargetMode="External"/><Relationship Id="rId366" Type="http://schemas.openxmlformats.org/officeDocument/2006/relationships/hyperlink" Target="https://www.eliteprospects.com/league/czechia-q/stats/2021-2022/qualification" TargetMode="External"/><Relationship Id="rId170" Type="http://schemas.openxmlformats.org/officeDocument/2006/relationships/hyperlink" Target="https://www.eliteprospects.com/team/15659/mountfield-hk/2019-2020?tab=stats" TargetMode="External"/><Relationship Id="rId226" Type="http://schemas.openxmlformats.org/officeDocument/2006/relationships/hyperlink" Target="https://www.eliteprospects.com/league/czech/stats/2020-2021" TargetMode="External"/><Relationship Id="rId268" Type="http://schemas.openxmlformats.org/officeDocument/2006/relationships/hyperlink" Target="https://www.eliteprospects.com/league/ahl/stats/2018-2019" TargetMode="External"/><Relationship Id="rId32" Type="http://schemas.openxmlformats.org/officeDocument/2006/relationships/hyperlink" Target="https://www.hokej.cz/hrac/10083188" TargetMode="External"/><Relationship Id="rId74" Type="http://schemas.openxmlformats.org/officeDocument/2006/relationships/hyperlink" Target="https://www.hokej.cz/hrac/10099509" TargetMode="External"/><Relationship Id="rId128" Type="http://schemas.openxmlformats.org/officeDocument/2006/relationships/hyperlink" Target="https://www.eliteprospects.com/league/czech/stats/2020-2021" TargetMode="External"/><Relationship Id="rId335" Type="http://schemas.openxmlformats.org/officeDocument/2006/relationships/hyperlink" Target="https://www.eliteprospects.com/league/czechia2/stats/2020-2021" TargetMode="External"/><Relationship Id="rId377" Type="http://schemas.openxmlformats.org/officeDocument/2006/relationships/hyperlink" Target="https://www.eliteprospects.com/team/637/hc-plze%C5%88/2019-2020?tab=stats" TargetMode="External"/><Relationship Id="rId5" Type="http://schemas.openxmlformats.org/officeDocument/2006/relationships/hyperlink" Target="https://hokej.cz/hrac/1741" TargetMode="External"/><Relationship Id="rId181" Type="http://schemas.openxmlformats.org/officeDocument/2006/relationships/hyperlink" Target="https://www.eliteprospects.com/league/ahl/stats/2020-2021" TargetMode="External"/><Relationship Id="rId237" Type="http://schemas.openxmlformats.org/officeDocument/2006/relationships/hyperlink" Target="https://www.eliteprospects.com/league/international/stats/2019-2020" TargetMode="External"/><Relationship Id="rId402" Type="http://schemas.openxmlformats.org/officeDocument/2006/relationships/hyperlink" Target="https://www.eliteprospects.com/league/czechia/stats/2019-2020" TargetMode="External"/><Relationship Id="rId279" Type="http://schemas.openxmlformats.org/officeDocument/2006/relationships/hyperlink" Target="https://www.eliteprospects.com/team/4800/kansas-city-mavericks/2020-2021?tab=stats" TargetMode="External"/><Relationship Id="rId43" Type="http://schemas.openxmlformats.org/officeDocument/2006/relationships/hyperlink" Target="https://www.hokej.cz/hrac/29031" TargetMode="External"/><Relationship Id="rId139" Type="http://schemas.openxmlformats.org/officeDocument/2006/relationships/hyperlink" Target="https://www.eliteprospects.com/league/czech/stats/2019-2020" TargetMode="External"/><Relationship Id="rId290" Type="http://schemas.openxmlformats.org/officeDocument/2006/relationships/hyperlink" Target="https://www.eliteprospects.com/league/czech/stats/2020-2021" TargetMode="External"/><Relationship Id="rId304" Type="http://schemas.openxmlformats.org/officeDocument/2006/relationships/hyperlink" Target="https://www.eliteprospects.com/league/czechia2/stats/2020-2021" TargetMode="External"/><Relationship Id="rId346" Type="http://schemas.openxmlformats.org/officeDocument/2006/relationships/hyperlink" Target="https://www.eliteprospects.com/league/wjc-20/stats/2018-2019" TargetMode="External"/><Relationship Id="rId388" Type="http://schemas.openxmlformats.org/officeDocument/2006/relationships/hyperlink" Target="https://www.eliteprospects.com/league/poland-u20/stats/2018-2019" TargetMode="External"/><Relationship Id="rId85" Type="http://schemas.openxmlformats.org/officeDocument/2006/relationships/hyperlink" Target="https://www.hokej.cz/hrac/13305" TargetMode="External"/><Relationship Id="rId150" Type="http://schemas.openxmlformats.org/officeDocument/2006/relationships/hyperlink" Target="https://www.eliteprospects.com/league/czech/stats/2018-2019" TargetMode="External"/><Relationship Id="rId192" Type="http://schemas.openxmlformats.org/officeDocument/2006/relationships/hyperlink" Target="https://www.eliteprospects.com/league/czechia/stats/2018-2019/relegation" TargetMode="External"/><Relationship Id="rId206" Type="http://schemas.openxmlformats.org/officeDocument/2006/relationships/hyperlink" Target="https://www.eliteprospects.com/league/czechia/stats/2020-2021" TargetMode="External"/><Relationship Id="rId413" Type="http://schemas.openxmlformats.org/officeDocument/2006/relationships/hyperlink" Target="https://www.eliteprospects.com/league/international/stats/2019-2020" TargetMode="External"/><Relationship Id="rId248" Type="http://schemas.openxmlformats.org/officeDocument/2006/relationships/hyperlink" Target="https://www.eliteprospects.com/league/czech/stats/2020-2021" TargetMode="External"/><Relationship Id="rId12" Type="http://schemas.openxmlformats.org/officeDocument/2006/relationships/hyperlink" Target="https://hokej.cz/hrac/10083188" TargetMode="External"/><Relationship Id="rId108" Type="http://schemas.openxmlformats.org/officeDocument/2006/relationships/hyperlink" Target="https://www.hokej.cz/hrac/8607" TargetMode="External"/><Relationship Id="rId315" Type="http://schemas.openxmlformats.org/officeDocument/2006/relationships/hyperlink" Target="https://www.eliteprospects.com/league/slovakia/stats/2018-2019" TargetMode="External"/><Relationship Id="rId357" Type="http://schemas.openxmlformats.org/officeDocument/2006/relationships/hyperlink" Target="https://www.eliteprospects.com/league/czechia/stats/2020-2021" TargetMode="External"/><Relationship Id="rId54" Type="http://schemas.openxmlformats.org/officeDocument/2006/relationships/hyperlink" Target="https://www.hokej.cz/hrac/17113" TargetMode="External"/><Relationship Id="rId96" Type="http://schemas.openxmlformats.org/officeDocument/2006/relationships/hyperlink" Target="https://www.hokej.cz/hrac/11296" TargetMode="External"/><Relationship Id="rId161" Type="http://schemas.openxmlformats.org/officeDocument/2006/relationships/hyperlink" Target="https://www.eliteprospects.com/team/155/hc-verva-litvinov/2021-2022?tab=stats" TargetMode="External"/><Relationship Id="rId217" Type="http://schemas.openxmlformats.org/officeDocument/2006/relationships/hyperlink" Target="https://www.eliteprospects.com/league/czechia/stats/2020-2021" TargetMode="External"/><Relationship Id="rId399" Type="http://schemas.openxmlformats.org/officeDocument/2006/relationships/hyperlink" Target="https://www.eliteprospects.com/league/international/stats/2018-2019" TargetMode="External"/><Relationship Id="rId259" Type="http://schemas.openxmlformats.org/officeDocument/2006/relationships/hyperlink" Target="https://www.eliteprospects.com/league/international/stats/2018-2019" TargetMode="External"/><Relationship Id="rId424" Type="http://schemas.openxmlformats.org/officeDocument/2006/relationships/drawing" Target="../drawings/drawing7.xml"/><Relationship Id="rId23" Type="http://schemas.openxmlformats.org/officeDocument/2006/relationships/hyperlink" Target="https://hokej.cz/hrac/2491887" TargetMode="External"/><Relationship Id="rId119" Type="http://schemas.openxmlformats.org/officeDocument/2006/relationships/hyperlink" Target="https://www.hokej.cz/hrac/17113" TargetMode="External"/><Relationship Id="rId270" Type="http://schemas.openxmlformats.org/officeDocument/2006/relationships/hyperlink" Target="https://www.eliteprospects.com/league/echl/stats/2018-2019" TargetMode="External"/><Relationship Id="rId326" Type="http://schemas.openxmlformats.org/officeDocument/2006/relationships/hyperlink" Target="https://www.eliteprospects.com/league/ebel/stats/2018-2019" TargetMode="External"/><Relationship Id="rId65" Type="http://schemas.openxmlformats.org/officeDocument/2006/relationships/hyperlink" Target="https://www.hokej.cz/hrac/14369" TargetMode="External"/><Relationship Id="rId130" Type="http://schemas.openxmlformats.org/officeDocument/2006/relationships/hyperlink" Target="https://www.eliteprospects.com/team/772/hc-vitkovice/2018-2019?tab=stats" TargetMode="External"/><Relationship Id="rId368" Type="http://schemas.openxmlformats.org/officeDocument/2006/relationships/hyperlink" Target="https://www.eliteprospects.com/league/czechia/stats/2018-2019" TargetMode="External"/><Relationship Id="rId172" Type="http://schemas.openxmlformats.org/officeDocument/2006/relationships/hyperlink" Target="https://www.eliteprospects.com/league/czechia/stats/2019-2020/playoffs" TargetMode="External"/><Relationship Id="rId228" Type="http://schemas.openxmlformats.org/officeDocument/2006/relationships/hyperlink" Target="https://www.eliteprospects.com/team/164/hc-sparta-praha/2018-2019?tab=stats" TargetMode="External"/><Relationship Id="rId281" Type="http://schemas.openxmlformats.org/officeDocument/2006/relationships/hyperlink" Target="https://www.eliteprospects.com/team/155/hc-verva-litvinov/2021-2022?tab=stats" TargetMode="External"/><Relationship Id="rId337" Type="http://schemas.openxmlformats.org/officeDocument/2006/relationships/hyperlink" Target="https://www.eliteprospects.com/team/646/ryti%C5%99i-kladno/2021-2022?tab=stats" TargetMode="External"/><Relationship Id="rId34" Type="http://schemas.openxmlformats.org/officeDocument/2006/relationships/hyperlink" Target="https://www.hokej.cz/hrac/7229427" TargetMode="External"/><Relationship Id="rId76" Type="http://schemas.openxmlformats.org/officeDocument/2006/relationships/hyperlink" Target="https://www.hokej.cz/hrac/10079354" TargetMode="External"/><Relationship Id="rId141" Type="http://schemas.openxmlformats.org/officeDocument/2006/relationships/hyperlink" Target="https://www.eliteprospects.com/league/international/stats/2019-2020" TargetMode="External"/><Relationship Id="rId379" Type="http://schemas.openxmlformats.org/officeDocument/2006/relationships/hyperlink" Target="https://www.eliteprospects.com/league/czechia/stats/2019-2020" TargetMode="External"/><Relationship Id="rId7" Type="http://schemas.openxmlformats.org/officeDocument/2006/relationships/hyperlink" Target="https://hokej.cz/hrac/2955" TargetMode="External"/><Relationship Id="rId183" Type="http://schemas.openxmlformats.org/officeDocument/2006/relationships/hyperlink" Target="https://www.eliteprospects.com/league/czechia/stats/2021-2022" TargetMode="External"/><Relationship Id="rId239" Type="http://schemas.openxmlformats.org/officeDocument/2006/relationships/hyperlink" Target="https://www.eliteprospects.com/team/164/hc-sparta-praha/2020-2021?tab=stats" TargetMode="External"/><Relationship Id="rId390" Type="http://schemas.openxmlformats.org/officeDocument/2006/relationships/hyperlink" Target="https://www.eliteprospects.com/team/1825/cracovia-krakow/2018-2019?tab=stats" TargetMode="External"/><Relationship Id="rId404" Type="http://schemas.openxmlformats.org/officeDocument/2006/relationships/hyperlink" Target="https://www.eliteprospects.com/team/1418/sk-trha%C4%8Di-kada%C5%88/2019-2020?tab=stats" TargetMode="External"/><Relationship Id="rId250" Type="http://schemas.openxmlformats.org/officeDocument/2006/relationships/hyperlink" Target="https://www.eliteprospects.com/team/1632/slovakia/2020-2021?tab=stats" TargetMode="External"/><Relationship Id="rId292" Type="http://schemas.openxmlformats.org/officeDocument/2006/relationships/hyperlink" Target="https://www.eliteprospects.com/league/del2/stats/2018-2019" TargetMode="External"/><Relationship Id="rId306" Type="http://schemas.openxmlformats.org/officeDocument/2006/relationships/hyperlink" Target="https://www.eliteprospects.com/team/155/hc-litvinov/2020-2021?tab=stats" TargetMode="External"/><Relationship Id="rId45" Type="http://schemas.openxmlformats.org/officeDocument/2006/relationships/hyperlink" Target="https://www.hokej.cz/hrac/10079354" TargetMode="External"/><Relationship Id="rId87" Type="http://schemas.openxmlformats.org/officeDocument/2006/relationships/hyperlink" Target="https://www.hokej.cz/hrac/14465" TargetMode="External"/><Relationship Id="rId110" Type="http://schemas.openxmlformats.org/officeDocument/2006/relationships/hyperlink" Target="https://www.hokej.cz/hrac/10099509" TargetMode="External"/><Relationship Id="rId348" Type="http://schemas.openxmlformats.org/officeDocument/2006/relationships/hyperlink" Target="https://www.eliteprospects.com/team/9731/czechia-u20-all/2018-2019?tab=stats" TargetMode="External"/><Relationship Id="rId152" Type="http://schemas.openxmlformats.org/officeDocument/2006/relationships/hyperlink" Target="https://www.eliteprospects.com/team/1163/hc-dukla-jihlava/2019-2020?tab=stats" TargetMode="External"/><Relationship Id="rId194" Type="http://schemas.openxmlformats.org/officeDocument/2006/relationships/hyperlink" Target="https://www.eliteprospects.com/league/czechia/stats/2019-2020" TargetMode="External"/><Relationship Id="rId208" Type="http://schemas.openxmlformats.org/officeDocument/2006/relationships/hyperlink" Target="https://www.eliteprospects.com/team/155/hc-verva-litvinov/2021-2022?tab=stats" TargetMode="External"/><Relationship Id="rId415" Type="http://schemas.openxmlformats.org/officeDocument/2006/relationships/hyperlink" Target="https://www.eliteprospects.com/league/czechia/stats/2020-2021" TargetMode="External"/><Relationship Id="rId261" Type="http://schemas.openxmlformats.org/officeDocument/2006/relationships/hyperlink" Target="https://www.eliteprospects.com/league/czech/stats/2020-2021/playoffs" TargetMode="External"/><Relationship Id="rId14" Type="http://schemas.openxmlformats.org/officeDocument/2006/relationships/hyperlink" Target="https://hokej.cz/hrac/10077692" TargetMode="External"/><Relationship Id="rId56" Type="http://schemas.openxmlformats.org/officeDocument/2006/relationships/hyperlink" Target="https://www.hokej.cz/hrac/13305" TargetMode="External"/><Relationship Id="rId317" Type="http://schemas.openxmlformats.org/officeDocument/2006/relationships/hyperlink" Target="https://www.eliteprospects.com/team/169/hc-slovan-bratislava/2019-2020?tab=stats" TargetMode="External"/><Relationship Id="rId359" Type="http://schemas.openxmlformats.org/officeDocument/2006/relationships/hyperlink" Target="https://www.eliteprospects.com/team/9763/czechia-all/2020-2021?tab=stats" TargetMode="External"/><Relationship Id="rId98" Type="http://schemas.openxmlformats.org/officeDocument/2006/relationships/hyperlink" Target="https://www.hokej.cz/hrac/9447" TargetMode="External"/><Relationship Id="rId121" Type="http://schemas.openxmlformats.org/officeDocument/2006/relationships/hyperlink" Target="https://www.eliteprospects.com/team/700/bili-tygri-liberec/2018-2019?tab=stats" TargetMode="External"/><Relationship Id="rId163" Type="http://schemas.openxmlformats.org/officeDocument/2006/relationships/hyperlink" Target="https://www.eliteprospects.com/team/155/hc-verva-litvinov/2021-2022?tab=stats" TargetMode="External"/><Relationship Id="rId219" Type="http://schemas.openxmlformats.org/officeDocument/2006/relationships/hyperlink" Target="https://www.eliteprospects.com/team/155/hc-verva-litvinov/2021-2022?tab=stats" TargetMode="External"/><Relationship Id="rId370" Type="http://schemas.openxmlformats.org/officeDocument/2006/relationships/hyperlink" Target="https://www.eliteprospects.com/team/3809/hc-poruba-2011/2018-2019?tab=stats" TargetMode="External"/><Relationship Id="rId230" Type="http://schemas.openxmlformats.org/officeDocument/2006/relationships/hyperlink" Target="https://www.eliteprospects.com/league/czech/stats/2018-2019/playoffs" TargetMode="External"/><Relationship Id="rId25" Type="http://schemas.openxmlformats.org/officeDocument/2006/relationships/hyperlink" Target="https://hokej.cz/hrac/11273" TargetMode="External"/><Relationship Id="rId67" Type="http://schemas.openxmlformats.org/officeDocument/2006/relationships/hyperlink" Target="https://www.hokej.cz/hrac/9447" TargetMode="External"/><Relationship Id="rId272" Type="http://schemas.openxmlformats.org/officeDocument/2006/relationships/hyperlink" Target="https://www.eliteprospects.com/team/1336/toronto-marlies/2019-2020?tab=stats" TargetMode="External"/><Relationship Id="rId328" Type="http://schemas.openxmlformats.org/officeDocument/2006/relationships/hyperlink" Target="https://www.eliteprospects.com/team/153/hc-energie-karlovy-vary/2019-2020?tab=stats" TargetMode="External"/><Relationship Id="rId132" Type="http://schemas.openxmlformats.org/officeDocument/2006/relationships/hyperlink" Target="https://www.eliteprospects.com/league/czech/stats/2018-2019" TargetMode="External"/><Relationship Id="rId174" Type="http://schemas.openxmlformats.org/officeDocument/2006/relationships/hyperlink" Target="https://www.eliteprospects.com/league/czechia2/stats/2019-2020" TargetMode="External"/><Relationship Id="rId381" Type="http://schemas.openxmlformats.org/officeDocument/2006/relationships/hyperlink" Target="https://www.eliteprospects.com/league/czechia/stats/2020-2021" TargetMode="External"/><Relationship Id="rId241" Type="http://schemas.openxmlformats.org/officeDocument/2006/relationships/hyperlink" Target="https://www.eliteprospects.com/league/czech/stats/2020-2021/playoffs" TargetMode="External"/><Relationship Id="rId36" Type="http://schemas.openxmlformats.org/officeDocument/2006/relationships/hyperlink" Target="https://www.hokej.cz/hrac/318533" TargetMode="External"/><Relationship Id="rId283" Type="http://schemas.openxmlformats.org/officeDocument/2006/relationships/hyperlink" Target="https://www.eliteprospects.com/league/czechia/stats/2021-2022" TargetMode="External"/><Relationship Id="rId339" Type="http://schemas.openxmlformats.org/officeDocument/2006/relationships/hyperlink" Target="https://www.eliteprospects.com/team/646/ryti%C5%99i-kladno/2021-2022?tab=stats" TargetMode="External"/><Relationship Id="rId78" Type="http://schemas.openxmlformats.org/officeDocument/2006/relationships/hyperlink" Target="https://www.hokej.cz/hrac/10077692" TargetMode="External"/><Relationship Id="rId101" Type="http://schemas.openxmlformats.org/officeDocument/2006/relationships/hyperlink" Target="https://www.hokej.cz/hrac/2491887" TargetMode="External"/><Relationship Id="rId143" Type="http://schemas.openxmlformats.org/officeDocument/2006/relationships/hyperlink" Target="https://www.eliteprospects.com/team/699/bk-mlada-boleslav/2020-2021?tab=stats" TargetMode="External"/><Relationship Id="rId185" Type="http://schemas.openxmlformats.org/officeDocument/2006/relationships/hyperlink" Target="https://www.eliteprospects.com/league/czechia/stats/2018-2019/relegation" TargetMode="External"/><Relationship Id="rId350" Type="http://schemas.openxmlformats.org/officeDocument/2006/relationships/hyperlink" Target="https://www.eliteprospects.com/league/international-jr/stats/2018-2019" TargetMode="External"/><Relationship Id="rId406" Type="http://schemas.openxmlformats.org/officeDocument/2006/relationships/hyperlink" Target="https://www.eliteprospects.com/league/czechia2/stats/2019-2020" TargetMode="External"/><Relationship Id="rId9" Type="http://schemas.openxmlformats.org/officeDocument/2006/relationships/hyperlink" Target="https://hokej.cz/hrac/11296" TargetMode="External"/><Relationship Id="rId210" Type="http://schemas.openxmlformats.org/officeDocument/2006/relationships/hyperlink" Target="https://www.eliteprospects.com/league/czechia/stats/2021-2022" TargetMode="External"/><Relationship Id="rId392" Type="http://schemas.openxmlformats.org/officeDocument/2006/relationships/hyperlink" Target="https://www.eliteprospects.com/league/poland/stats/2018-2019/playoffs" TargetMode="External"/><Relationship Id="rId252" Type="http://schemas.openxmlformats.org/officeDocument/2006/relationships/hyperlink" Target="https://www.eliteprospects.com/team/169/hc-slovan-bratislava/2018-2019?tab=stats" TargetMode="External"/><Relationship Id="rId294" Type="http://schemas.openxmlformats.org/officeDocument/2006/relationships/hyperlink" Target="https://www.eliteprospects.com/team/2883/herner-ev-2007/2018-2019?tab=stats" TargetMode="External"/><Relationship Id="rId308" Type="http://schemas.openxmlformats.org/officeDocument/2006/relationships/hyperlink" Target="https://www.eliteprospects.com/league/czechia/stats/2020-2021" TargetMode="External"/><Relationship Id="rId47" Type="http://schemas.openxmlformats.org/officeDocument/2006/relationships/hyperlink" Target="https://www.hokej.cz/hrac/13437" TargetMode="External"/><Relationship Id="rId89" Type="http://schemas.openxmlformats.org/officeDocument/2006/relationships/hyperlink" Target="https://www.hokej.cz/hrac/10099336" TargetMode="External"/><Relationship Id="rId112" Type="http://schemas.openxmlformats.org/officeDocument/2006/relationships/hyperlink" Target="https://www.hokej.cz/hrac/15400" TargetMode="External"/><Relationship Id="rId154" Type="http://schemas.openxmlformats.org/officeDocument/2006/relationships/hyperlink" Target="https://www.eliteprospects.com/league/czech2/stats/2019-2020/playoffs" TargetMode="External"/><Relationship Id="rId361" Type="http://schemas.openxmlformats.org/officeDocument/2006/relationships/hyperlink" Target="https://www.eliteprospects.com/team/15659/mountfield-hk/2021-2022?tab=stats" TargetMode="External"/><Relationship Id="rId196" Type="http://schemas.openxmlformats.org/officeDocument/2006/relationships/hyperlink" Target="https://www.eliteprospects.com/league/czechia/stats/2020-2021" TargetMode="External"/><Relationship Id="rId417" Type="http://schemas.openxmlformats.org/officeDocument/2006/relationships/hyperlink" Target="https://www.eliteprospects.com/team/155/hc-litvinov/2021-2022?tab=stats" TargetMode="External"/><Relationship Id="rId16" Type="http://schemas.openxmlformats.org/officeDocument/2006/relationships/hyperlink" Target="https://hokej.cz/hrac/29031" TargetMode="External"/><Relationship Id="rId221" Type="http://schemas.openxmlformats.org/officeDocument/2006/relationships/hyperlink" Target="https://www.eliteprospects.com/team/637/hc-plzen/2018-2019?tab=stats" TargetMode="External"/><Relationship Id="rId263" Type="http://schemas.openxmlformats.org/officeDocument/2006/relationships/hyperlink" Target="https://www.eliteprospects.com/league/czech/stats/2020-2021/playoffs" TargetMode="External"/><Relationship Id="rId319" Type="http://schemas.openxmlformats.org/officeDocument/2006/relationships/hyperlink" Target="https://www.eliteprospects.com/team/198/severstal-cherepovets/2020-2021?tab=stats" TargetMode="External"/><Relationship Id="rId58" Type="http://schemas.openxmlformats.org/officeDocument/2006/relationships/hyperlink" Target="https://www.hokej.cz/hrac/14150" TargetMode="External"/><Relationship Id="rId123" Type="http://schemas.openxmlformats.org/officeDocument/2006/relationships/hyperlink" Target="https://www.eliteprospects.com/league/czech/stats/2018-2019/playoffs" TargetMode="External"/><Relationship Id="rId330" Type="http://schemas.openxmlformats.org/officeDocument/2006/relationships/hyperlink" Target="https://www.eliteprospects.com/league/czechia/stats/2019-2020" TargetMode="External"/><Relationship Id="rId165" Type="http://schemas.openxmlformats.org/officeDocument/2006/relationships/hyperlink" Target="https://www.eliteprospects.com/team/155/hc-verva-litvinov/2021-2022?tab=stats" TargetMode="External"/><Relationship Id="rId372" Type="http://schemas.openxmlformats.org/officeDocument/2006/relationships/hyperlink" Target="https://www.eliteprospects.com/team/9763/czechia-all/2018-2019?tab=stats" TargetMode="External"/><Relationship Id="rId232" Type="http://schemas.openxmlformats.org/officeDocument/2006/relationships/hyperlink" Target="https://www.eliteprospects.com/league/international/stats/2018-2019" TargetMode="External"/><Relationship Id="rId274" Type="http://schemas.openxmlformats.org/officeDocument/2006/relationships/hyperlink" Target="https://www.eliteprospects.com/team/25837/newfoundland-growlers/2019-2020?tab=stats" TargetMode="External"/><Relationship Id="rId27" Type="http://schemas.openxmlformats.org/officeDocument/2006/relationships/hyperlink" Target="https://hokej.cz/hrac/13305" TargetMode="External"/><Relationship Id="rId69" Type="http://schemas.openxmlformats.org/officeDocument/2006/relationships/hyperlink" Target="https://www.hokej.cz/hrac/18941" TargetMode="External"/><Relationship Id="rId134" Type="http://schemas.openxmlformats.org/officeDocument/2006/relationships/hyperlink" Target="https://www.eliteprospects.com/league/khl/stats/2018-2019" TargetMode="External"/><Relationship Id="rId80" Type="http://schemas.openxmlformats.org/officeDocument/2006/relationships/hyperlink" Target="https://www.hokej.cz/hrac/13437" TargetMode="External"/><Relationship Id="rId176" Type="http://schemas.openxmlformats.org/officeDocument/2006/relationships/hyperlink" Target="https://www.eliteprospects.com/team/15659/mountfield-hk/2020-2021?tab=stats" TargetMode="External"/><Relationship Id="rId341" Type="http://schemas.openxmlformats.org/officeDocument/2006/relationships/hyperlink" Target="https://www.eliteprospects.com/league/czechia-q/stats/2021-2022/qualification" TargetMode="External"/><Relationship Id="rId383" Type="http://schemas.openxmlformats.org/officeDocument/2006/relationships/hyperlink" Target="https://www.eliteprospects.com/team/9763/czechia-all/2020-2021?tab=stats" TargetMode="External"/><Relationship Id="rId201" Type="http://schemas.openxmlformats.org/officeDocument/2006/relationships/hyperlink" Target="https://www.eliteprospects.com/league/czechia/stats/2018-2019/playoffs" TargetMode="External"/><Relationship Id="rId243" Type="http://schemas.openxmlformats.org/officeDocument/2006/relationships/hyperlink" Target="https://www.eliteprospects.com/league/czech/stats/2019-2020" TargetMode="External"/><Relationship Id="rId285" Type="http://schemas.openxmlformats.org/officeDocument/2006/relationships/hyperlink" Target="https://www.eliteprospects.com/league/czechia/stats/2021-2022" TargetMode="External"/><Relationship Id="rId17" Type="http://schemas.openxmlformats.org/officeDocument/2006/relationships/hyperlink" Target="https://hokej.cz/hrac/51841" TargetMode="External"/><Relationship Id="rId38" Type="http://schemas.openxmlformats.org/officeDocument/2006/relationships/hyperlink" Target="https://www.hokej.cz/hrac/9447" TargetMode="External"/><Relationship Id="rId59" Type="http://schemas.openxmlformats.org/officeDocument/2006/relationships/hyperlink" Target="https://www.hokej.cz/hrac/1741" TargetMode="External"/><Relationship Id="rId103" Type="http://schemas.openxmlformats.org/officeDocument/2006/relationships/hyperlink" Target="https://www.hokej.cz/hrac/10096884" TargetMode="External"/><Relationship Id="rId124" Type="http://schemas.openxmlformats.org/officeDocument/2006/relationships/hyperlink" Target="https://www.eliteprospects.com/team/153/hc-energie-karlovy-vary/2019-2020?tab=stats" TargetMode="External"/><Relationship Id="rId310" Type="http://schemas.openxmlformats.org/officeDocument/2006/relationships/hyperlink" Target="https://www.eliteprospects.com/league/czechia2/stats/2021-2022" TargetMode="External"/><Relationship Id="rId70" Type="http://schemas.openxmlformats.org/officeDocument/2006/relationships/hyperlink" Target="https://www.hokej.cz/hrac/10096884" TargetMode="External"/><Relationship Id="rId91" Type="http://schemas.openxmlformats.org/officeDocument/2006/relationships/hyperlink" Target="https://www.hokej.cz/hrac/318533" TargetMode="External"/><Relationship Id="rId145" Type="http://schemas.openxmlformats.org/officeDocument/2006/relationships/hyperlink" Target="https://www.eliteprospects.com/league/czech/stats/2020-2021/playoffs" TargetMode="External"/><Relationship Id="rId166" Type="http://schemas.openxmlformats.org/officeDocument/2006/relationships/hyperlink" Target="https://www.eliteprospects.com/league/czechia/stats/2021-2022" TargetMode="External"/><Relationship Id="rId187" Type="http://schemas.openxmlformats.org/officeDocument/2006/relationships/hyperlink" Target="https://www.eliteprospects.com/league/czechia/stats/2020-2021" TargetMode="External"/><Relationship Id="rId331" Type="http://schemas.openxmlformats.org/officeDocument/2006/relationships/hyperlink" Target="https://www.eliteprospects.com/team/679/pirati-chomutov/2019-2020?tab=stats" TargetMode="External"/><Relationship Id="rId352" Type="http://schemas.openxmlformats.org/officeDocument/2006/relationships/hyperlink" Target="https://www.eliteprospects.com/league/czechia/stats/2019-2020" TargetMode="External"/><Relationship Id="rId373" Type="http://schemas.openxmlformats.org/officeDocument/2006/relationships/hyperlink" Target="https://www.eliteprospects.com/league/international/stats/2018-2019" TargetMode="External"/><Relationship Id="rId394" Type="http://schemas.openxmlformats.org/officeDocument/2006/relationships/hyperlink" Target="https://www.eliteprospects.com/league/poland/stats/2018-2019" TargetMode="External"/><Relationship Id="rId408" Type="http://schemas.openxmlformats.org/officeDocument/2006/relationships/hyperlink" Target="https://www.eliteprospects.com/league/czechia2/stats/2019-2020" TargetMode="External"/><Relationship Id="rId1" Type="http://schemas.openxmlformats.org/officeDocument/2006/relationships/hyperlink" Target="https://hokej.cz/hrac/14150" TargetMode="External"/><Relationship Id="rId212" Type="http://schemas.openxmlformats.org/officeDocument/2006/relationships/hyperlink" Target="https://www.eliteprospects.com/league/czechia/stats/2018-2019" TargetMode="External"/><Relationship Id="rId233" Type="http://schemas.openxmlformats.org/officeDocument/2006/relationships/hyperlink" Target="https://www.eliteprospects.com/league/international/stats/2018-2019" TargetMode="External"/><Relationship Id="rId254" Type="http://schemas.openxmlformats.org/officeDocument/2006/relationships/hyperlink" Target="https://www.eliteprospects.com/team/170/hk-32-liptovsky-mikulas/2018-2019?tab=stats" TargetMode="External"/><Relationship Id="rId28" Type="http://schemas.openxmlformats.org/officeDocument/2006/relationships/hyperlink" Target="https://www.hokej.cz/hrac/14150" TargetMode="External"/><Relationship Id="rId49" Type="http://schemas.openxmlformats.org/officeDocument/2006/relationships/hyperlink" Target="https://www.hokej.cz/hrac/2491887" TargetMode="External"/><Relationship Id="rId114" Type="http://schemas.openxmlformats.org/officeDocument/2006/relationships/hyperlink" Target="https://www.hokej.cz/hrac/13305" TargetMode="External"/><Relationship Id="rId275" Type="http://schemas.openxmlformats.org/officeDocument/2006/relationships/hyperlink" Target="https://www.eliteprospects.com/league/echl/stats/2019-2020" TargetMode="External"/><Relationship Id="rId296" Type="http://schemas.openxmlformats.org/officeDocument/2006/relationships/hyperlink" Target="https://www.eliteprospects.com/league/germany3/stats/2018-2019" TargetMode="External"/><Relationship Id="rId300" Type="http://schemas.openxmlformats.org/officeDocument/2006/relationships/hyperlink" Target="https://www.eliteprospects.com/team/1163/hc-dukla-jihlava/2019-2020?tab=stats" TargetMode="External"/><Relationship Id="rId60" Type="http://schemas.openxmlformats.org/officeDocument/2006/relationships/hyperlink" Target="https://www.hokej.cz/hrac/11188" TargetMode="External"/><Relationship Id="rId81" Type="http://schemas.openxmlformats.org/officeDocument/2006/relationships/hyperlink" Target="https://www.hokej.cz/hrac/13792" TargetMode="External"/><Relationship Id="rId135" Type="http://schemas.openxmlformats.org/officeDocument/2006/relationships/hyperlink" Target="https://www.eliteprospects.com/team/9763/czech-republic-all/2018-2019?tab=stats" TargetMode="External"/><Relationship Id="rId156" Type="http://schemas.openxmlformats.org/officeDocument/2006/relationships/hyperlink" Target="https://www.eliteprospects.com/league/czech2/stats/2020-2021/playoffs" TargetMode="External"/><Relationship Id="rId177" Type="http://schemas.openxmlformats.org/officeDocument/2006/relationships/hyperlink" Target="https://www.eliteprospects.com/league/czechia/stats/2020-2021" TargetMode="External"/><Relationship Id="rId198" Type="http://schemas.openxmlformats.org/officeDocument/2006/relationships/hyperlink" Target="https://www.eliteprospects.com/league/czechia/stats/2021-2022" TargetMode="External"/><Relationship Id="rId321" Type="http://schemas.openxmlformats.org/officeDocument/2006/relationships/hyperlink" Target="https://www.eliteprospects.com/league/khl/stats/2020-2021/playoffs" TargetMode="External"/><Relationship Id="rId342" Type="http://schemas.openxmlformats.org/officeDocument/2006/relationships/hyperlink" Target="https://www.eliteprospects.com/team/889/rimouski-oceanic/2018-2019?tab=stats" TargetMode="External"/><Relationship Id="rId363" Type="http://schemas.openxmlformats.org/officeDocument/2006/relationships/hyperlink" Target="https://www.eliteprospects.com/team/2705/sc-kolin/2021-2022?tab=stats" TargetMode="External"/><Relationship Id="rId384" Type="http://schemas.openxmlformats.org/officeDocument/2006/relationships/hyperlink" Target="https://www.eliteprospects.com/league/international/stats/2020-2021" TargetMode="External"/><Relationship Id="rId419" Type="http://schemas.openxmlformats.org/officeDocument/2006/relationships/hyperlink" Target="https://www.eliteprospects.com/league/czechia/stats/2021-2022" TargetMode="External"/><Relationship Id="rId202" Type="http://schemas.openxmlformats.org/officeDocument/2006/relationships/hyperlink" Target="https://www.eliteprospects.com/team/155/hc-verva-litvinov/2019-2020?tab=stats" TargetMode="External"/><Relationship Id="rId223" Type="http://schemas.openxmlformats.org/officeDocument/2006/relationships/hyperlink" Target="https://www.eliteprospects.com/league/czech/stats/2018-2019/playoffs" TargetMode="External"/><Relationship Id="rId244" Type="http://schemas.openxmlformats.org/officeDocument/2006/relationships/hyperlink" Target="https://www.eliteprospects.com/team/12426/slovakia-all/2019-2020?tab=stats" TargetMode="External"/><Relationship Id="rId18" Type="http://schemas.openxmlformats.org/officeDocument/2006/relationships/hyperlink" Target="https://hokej.cz/hrac/17112" TargetMode="External"/><Relationship Id="rId39" Type="http://schemas.openxmlformats.org/officeDocument/2006/relationships/hyperlink" Target="https://www.hokej.cz/hrac/11291" TargetMode="External"/><Relationship Id="rId265" Type="http://schemas.openxmlformats.org/officeDocument/2006/relationships/hyperlink" Target="https://www.eliteprospects.com/league/czech/stats/2020-2021/playoffs" TargetMode="External"/><Relationship Id="rId286" Type="http://schemas.openxmlformats.org/officeDocument/2006/relationships/hyperlink" Target="https://www.eliteprospects.com/team/155/hc-verva-litvinov/2021-2022?tab=stats" TargetMode="External"/><Relationship Id="rId50" Type="http://schemas.openxmlformats.org/officeDocument/2006/relationships/hyperlink" Target="https://www.hokej.cz/hrac/17112" TargetMode="External"/><Relationship Id="rId104" Type="http://schemas.openxmlformats.org/officeDocument/2006/relationships/hyperlink" Target="https://www.hokej.cz/hrac/18941" TargetMode="External"/><Relationship Id="rId125" Type="http://schemas.openxmlformats.org/officeDocument/2006/relationships/hyperlink" Target="https://www.eliteprospects.com/league/czech/stats/2019-2020" TargetMode="External"/><Relationship Id="rId146" Type="http://schemas.openxmlformats.org/officeDocument/2006/relationships/hyperlink" Target="https://www.eliteprospects.com/team/1342/lhk-jestrabi-prostejov/2018-2019?tab=stats" TargetMode="External"/><Relationship Id="rId167" Type="http://schemas.openxmlformats.org/officeDocument/2006/relationships/hyperlink" Target="https://www.eliteprospects.com/team/15659/mountfield-hk/2018-2019?tab=stats" TargetMode="External"/><Relationship Id="rId188" Type="http://schemas.openxmlformats.org/officeDocument/2006/relationships/hyperlink" Target="https://www.eliteprospects.com/league/czechia/stats/2020-2021/playoffs" TargetMode="External"/><Relationship Id="rId311" Type="http://schemas.openxmlformats.org/officeDocument/2006/relationships/hyperlink" Target="https://www.eliteprospects.com/league/czechia2/stats/2021-2022" TargetMode="External"/><Relationship Id="rId332" Type="http://schemas.openxmlformats.org/officeDocument/2006/relationships/hyperlink" Target="https://www.eliteprospects.com/league/czechia2/stats/2019-2020" TargetMode="External"/><Relationship Id="rId353" Type="http://schemas.openxmlformats.org/officeDocument/2006/relationships/hyperlink" Target="https://www.eliteprospects.com/league/czechia/stats/2019-2020/playoffs" TargetMode="External"/><Relationship Id="rId374" Type="http://schemas.openxmlformats.org/officeDocument/2006/relationships/hyperlink" Target="https://www.eliteprospects.com/league/international/stats/2018-2019" TargetMode="External"/><Relationship Id="rId395" Type="http://schemas.openxmlformats.org/officeDocument/2006/relationships/hyperlink" Target="https://www.eliteprospects.com/league/poland/stats/2018-2019" TargetMode="External"/><Relationship Id="rId409" Type="http://schemas.openxmlformats.org/officeDocument/2006/relationships/hyperlink" Target="https://www.eliteprospects.com/team/1648/poland/2019-2020?tab=stats" TargetMode="External"/><Relationship Id="rId71" Type="http://schemas.openxmlformats.org/officeDocument/2006/relationships/hyperlink" Target="https://www.hokej.cz/hrac/29031" TargetMode="External"/><Relationship Id="rId92" Type="http://schemas.openxmlformats.org/officeDocument/2006/relationships/hyperlink" Target="https://www.hokej.cz/hrac/11188" TargetMode="External"/><Relationship Id="rId213" Type="http://schemas.openxmlformats.org/officeDocument/2006/relationships/hyperlink" Target="https://www.eliteprospects.com/league/czechia/stats/2018-2019" TargetMode="External"/><Relationship Id="rId234" Type="http://schemas.openxmlformats.org/officeDocument/2006/relationships/hyperlink" Target="https://www.eliteprospects.com/team/164/hc-sparta-praha/2019-2020?tab=stats" TargetMode="External"/><Relationship Id="rId420" Type="http://schemas.openxmlformats.org/officeDocument/2006/relationships/hyperlink" Target="https://www.eliteprospects.com/team/1648/poland/2021-2022?tab=stats" TargetMode="External"/><Relationship Id="rId2" Type="http://schemas.openxmlformats.org/officeDocument/2006/relationships/hyperlink" Target="https://hokej.cz/hrac/10099336" TargetMode="External"/><Relationship Id="rId29" Type="http://schemas.openxmlformats.org/officeDocument/2006/relationships/hyperlink" Target="https://www.hokej.cz/hrac/10099336" TargetMode="External"/><Relationship Id="rId255" Type="http://schemas.openxmlformats.org/officeDocument/2006/relationships/hyperlink" Target="https://www.eliteprospects.com/league/slovakia/stats/2018-2019" TargetMode="External"/><Relationship Id="rId276" Type="http://schemas.openxmlformats.org/officeDocument/2006/relationships/hyperlink" Target="https://www.eliteprospects.com/team/18602/stockton-heat/2020-2021?tab=stats" TargetMode="External"/><Relationship Id="rId297" Type="http://schemas.openxmlformats.org/officeDocument/2006/relationships/hyperlink" Target="https://www.eliteprospects.com/team/3089/fiemme/2018-2019?tab=stats" TargetMode="External"/><Relationship Id="rId40" Type="http://schemas.openxmlformats.org/officeDocument/2006/relationships/hyperlink" Target="https://www.hokej.cz/hrac/18941" TargetMode="External"/><Relationship Id="rId115" Type="http://schemas.openxmlformats.org/officeDocument/2006/relationships/hyperlink" Target="https://www.hokej.cz/hrac/51841" TargetMode="External"/><Relationship Id="rId136" Type="http://schemas.openxmlformats.org/officeDocument/2006/relationships/hyperlink" Target="https://www.eliteprospects.com/league/international/stats/2018-2019" TargetMode="External"/><Relationship Id="rId157" Type="http://schemas.openxmlformats.org/officeDocument/2006/relationships/hyperlink" Target="https://www.eliteprospects.com/league/czech/stats/2020-2021" TargetMode="External"/><Relationship Id="rId178" Type="http://schemas.openxmlformats.org/officeDocument/2006/relationships/hyperlink" Target="https://www.eliteprospects.com/league/czechia/stats/2020-2021" TargetMode="External"/><Relationship Id="rId301" Type="http://schemas.openxmlformats.org/officeDocument/2006/relationships/hyperlink" Target="https://www.eliteprospects.com/league/czechia2/stats/2019-2020" TargetMode="External"/><Relationship Id="rId322" Type="http://schemas.openxmlformats.org/officeDocument/2006/relationships/hyperlink" Target="https://www.eliteprospects.com/team/154/hc-motor-%C4%8Ceske-bud%C4%9Bjovice/2021-2022?tab=stats" TargetMode="External"/><Relationship Id="rId343" Type="http://schemas.openxmlformats.org/officeDocument/2006/relationships/hyperlink" Target="https://www.eliteprospects.com/league/qmjhl/stats/2018-2019" TargetMode="External"/><Relationship Id="rId364" Type="http://schemas.openxmlformats.org/officeDocument/2006/relationships/hyperlink" Target="https://www.eliteprospects.com/league/czechia2/stats/2021-2022" TargetMode="External"/><Relationship Id="rId61" Type="http://schemas.openxmlformats.org/officeDocument/2006/relationships/hyperlink" Target="https://www.hokej.cz/hrac/7229427" TargetMode="External"/><Relationship Id="rId82" Type="http://schemas.openxmlformats.org/officeDocument/2006/relationships/hyperlink" Target="https://www.hokej.cz/hrac/51841" TargetMode="External"/><Relationship Id="rId199" Type="http://schemas.openxmlformats.org/officeDocument/2006/relationships/hyperlink" Target="https://www.eliteprospects.com/team/164/hc-sparta-praha/2018-2019?tab=stats" TargetMode="External"/><Relationship Id="rId203" Type="http://schemas.openxmlformats.org/officeDocument/2006/relationships/hyperlink" Target="https://www.eliteprospects.com/league/czechia/stats/2019-2020" TargetMode="External"/><Relationship Id="rId385" Type="http://schemas.openxmlformats.org/officeDocument/2006/relationships/hyperlink" Target="https://www.eliteprospects.com/team/155/hc-litvinov/2021-2022?tab=stats" TargetMode="External"/><Relationship Id="rId19" Type="http://schemas.openxmlformats.org/officeDocument/2006/relationships/hyperlink" Target="https://hokej.cz/hrac/10079354" TargetMode="External"/><Relationship Id="rId224" Type="http://schemas.openxmlformats.org/officeDocument/2006/relationships/hyperlink" Target="https://www.eliteprospects.com/team/637/hc-plzen/2019-2020?tab=stats" TargetMode="External"/><Relationship Id="rId245" Type="http://schemas.openxmlformats.org/officeDocument/2006/relationships/hyperlink" Target="https://www.eliteprospects.com/league/international/stats/2019-2020" TargetMode="External"/><Relationship Id="rId266" Type="http://schemas.openxmlformats.org/officeDocument/2006/relationships/hyperlink" Target="https://www.eliteprospects.com/team/1336/toronto-marlies/2018-2019?tab=stats" TargetMode="External"/><Relationship Id="rId287" Type="http://schemas.openxmlformats.org/officeDocument/2006/relationships/hyperlink" Target="https://www.eliteprospects.com/league/czechia/stats/2021-2022" TargetMode="External"/><Relationship Id="rId410" Type="http://schemas.openxmlformats.org/officeDocument/2006/relationships/hyperlink" Target="https://www.eliteprospects.com/league/ogq/stats/2019-2020" TargetMode="External"/><Relationship Id="rId30" Type="http://schemas.openxmlformats.org/officeDocument/2006/relationships/hyperlink" Target="https://www.hokej.cz/hrac/11188" TargetMode="External"/><Relationship Id="rId105" Type="http://schemas.openxmlformats.org/officeDocument/2006/relationships/hyperlink" Target="https://www.hokej.cz/hrac/13198" TargetMode="External"/><Relationship Id="rId126" Type="http://schemas.openxmlformats.org/officeDocument/2006/relationships/hyperlink" Target="https://www.eliteprospects.com/league/czech/stats/2019-2020/playoffs" TargetMode="External"/><Relationship Id="rId147" Type="http://schemas.openxmlformats.org/officeDocument/2006/relationships/hyperlink" Target="https://www.eliteprospects.com/league/czech2/stats/2018-2019" TargetMode="External"/><Relationship Id="rId168" Type="http://schemas.openxmlformats.org/officeDocument/2006/relationships/hyperlink" Target="https://www.eliteprospects.com/league/czechia/stats/2018-2019" TargetMode="External"/><Relationship Id="rId312" Type="http://schemas.openxmlformats.org/officeDocument/2006/relationships/hyperlink" Target="https://www.eliteprospects.com/team/155/hc-litvinov/2021-2022?tab=stats" TargetMode="External"/><Relationship Id="rId333" Type="http://schemas.openxmlformats.org/officeDocument/2006/relationships/hyperlink" Target="https://www.eliteprospects.com/league/czechia2/stats/2019-2020" TargetMode="External"/><Relationship Id="rId354" Type="http://schemas.openxmlformats.org/officeDocument/2006/relationships/hyperlink" Target="https://www.eliteprospects.com/team/3461/hc-stadion-litom%C4%9B%C5%99ice/2019-2020?tab=stats" TargetMode="External"/><Relationship Id="rId51" Type="http://schemas.openxmlformats.org/officeDocument/2006/relationships/hyperlink" Target="https://www.hokej.cz/hrac/11273" TargetMode="External"/><Relationship Id="rId72" Type="http://schemas.openxmlformats.org/officeDocument/2006/relationships/hyperlink" Target="https://www.hokej.cz/hrac/8607" TargetMode="External"/><Relationship Id="rId93" Type="http://schemas.openxmlformats.org/officeDocument/2006/relationships/hyperlink" Target="https://www.hokej.cz/hrac/1741" TargetMode="External"/><Relationship Id="rId189" Type="http://schemas.openxmlformats.org/officeDocument/2006/relationships/hyperlink" Target="https://www.eliteprospects.com/league/czechia/stats/2021-2022" TargetMode="External"/><Relationship Id="rId375" Type="http://schemas.openxmlformats.org/officeDocument/2006/relationships/hyperlink" Target="https://www.eliteprospects.com/team/772/hc-vitkovice/2019-2020?tab=stats" TargetMode="External"/><Relationship Id="rId396" Type="http://schemas.openxmlformats.org/officeDocument/2006/relationships/hyperlink" Target="https://www.eliteprospects.com/team/1719/poland-u20/2018-2019?tab=stats" TargetMode="External"/><Relationship Id="rId3" Type="http://schemas.openxmlformats.org/officeDocument/2006/relationships/hyperlink" Target="https://hokej.cz/hrac/11188" TargetMode="External"/><Relationship Id="rId214" Type="http://schemas.openxmlformats.org/officeDocument/2006/relationships/hyperlink" Target="https://www.eliteprospects.com/team/155/hc-verva-litvinov/2019-2020?tab=stats" TargetMode="External"/><Relationship Id="rId235" Type="http://schemas.openxmlformats.org/officeDocument/2006/relationships/hyperlink" Target="https://www.eliteprospects.com/league/czech/stats/2019-2020" TargetMode="External"/><Relationship Id="rId256" Type="http://schemas.openxmlformats.org/officeDocument/2006/relationships/hyperlink" Target="https://www.eliteprospects.com/team/1632/slovakia/2018-2019?tab=stats" TargetMode="External"/><Relationship Id="rId277" Type="http://schemas.openxmlformats.org/officeDocument/2006/relationships/hyperlink" Target="https://www.eliteprospects.com/league/ahl/stats/2020-2021" TargetMode="External"/><Relationship Id="rId298" Type="http://schemas.openxmlformats.org/officeDocument/2006/relationships/hyperlink" Target="https://www.eliteprospects.com/league/italy2/stats/2018-2019" TargetMode="External"/><Relationship Id="rId400" Type="http://schemas.openxmlformats.org/officeDocument/2006/relationships/hyperlink" Target="https://www.eliteprospects.com/league/international/stats/2018-2019" TargetMode="External"/><Relationship Id="rId421" Type="http://schemas.openxmlformats.org/officeDocument/2006/relationships/hyperlink" Target="https://www.eliteprospects.com/league/ogq/stats/2021-2022" TargetMode="External"/><Relationship Id="rId116" Type="http://schemas.openxmlformats.org/officeDocument/2006/relationships/hyperlink" Target="https://www.hokej.cz/hrac/51601" TargetMode="External"/><Relationship Id="rId137" Type="http://schemas.openxmlformats.org/officeDocument/2006/relationships/hyperlink" Target="https://www.eliteprospects.com/league/international/stats/2018-2019" TargetMode="External"/><Relationship Id="rId158" Type="http://schemas.openxmlformats.org/officeDocument/2006/relationships/hyperlink" Target="https://www.eliteprospects.com/league/czech/stats/2020-2021" TargetMode="External"/><Relationship Id="rId302" Type="http://schemas.openxmlformats.org/officeDocument/2006/relationships/hyperlink" Target="https://www.eliteprospects.com/league/czechia2/stats/2019-2020/playoffs" TargetMode="External"/><Relationship Id="rId323" Type="http://schemas.openxmlformats.org/officeDocument/2006/relationships/hyperlink" Target="https://www.eliteprospects.com/league/czechia/stats/2021-2022" TargetMode="External"/><Relationship Id="rId344" Type="http://schemas.openxmlformats.org/officeDocument/2006/relationships/hyperlink" Target="https://www.eliteprospects.com/league/qmjhl/stats/2018-2019/playoffs" TargetMode="External"/><Relationship Id="rId20" Type="http://schemas.openxmlformats.org/officeDocument/2006/relationships/hyperlink" Target="https://hokej.cz/hrac/13198" TargetMode="External"/><Relationship Id="rId41" Type="http://schemas.openxmlformats.org/officeDocument/2006/relationships/hyperlink" Target="https://www.hokej.cz/hrac/8607" TargetMode="External"/><Relationship Id="rId62" Type="http://schemas.openxmlformats.org/officeDocument/2006/relationships/hyperlink" Target="https://www.hokej.cz/hrac/10083188" TargetMode="External"/><Relationship Id="rId83" Type="http://schemas.openxmlformats.org/officeDocument/2006/relationships/hyperlink" Target="https://www.hokej.cz/hrac/51601" TargetMode="External"/><Relationship Id="rId179" Type="http://schemas.openxmlformats.org/officeDocument/2006/relationships/hyperlink" Target="https://www.eliteprospects.com/team/825/rockford-icehogs/2020-2021?tab=stats" TargetMode="External"/><Relationship Id="rId365" Type="http://schemas.openxmlformats.org/officeDocument/2006/relationships/hyperlink" Target="https://www.eliteprospects.com/league/czechia/stats/2021-2022/playoffs" TargetMode="External"/><Relationship Id="rId386" Type="http://schemas.openxmlformats.org/officeDocument/2006/relationships/hyperlink" Target="https://www.eliteprospects.com/league/czechia/stats/2021-2022" TargetMode="External"/><Relationship Id="rId190" Type="http://schemas.openxmlformats.org/officeDocument/2006/relationships/hyperlink" Target="https://www.eliteprospects.com/team/155/hc-verva-litvinov/2018-2019?tab=stats" TargetMode="External"/><Relationship Id="rId204" Type="http://schemas.openxmlformats.org/officeDocument/2006/relationships/hyperlink" Target="https://www.eliteprospects.com/league/czechia/stats/2019-2020" TargetMode="External"/><Relationship Id="rId225" Type="http://schemas.openxmlformats.org/officeDocument/2006/relationships/hyperlink" Target="https://www.eliteprospects.com/league/czech/stats/2019-2020" TargetMode="External"/><Relationship Id="rId246" Type="http://schemas.openxmlformats.org/officeDocument/2006/relationships/hyperlink" Target="https://www.eliteprospects.com/league/international/stats/2019-2020" TargetMode="External"/><Relationship Id="rId267" Type="http://schemas.openxmlformats.org/officeDocument/2006/relationships/hyperlink" Target="https://www.eliteprospects.com/league/ahl/stats/2018-2019" TargetMode="External"/><Relationship Id="rId288" Type="http://schemas.openxmlformats.org/officeDocument/2006/relationships/hyperlink" Target="https://www.eliteprospects.com/league/czech/stats/2020-2021" TargetMode="External"/><Relationship Id="rId411" Type="http://schemas.openxmlformats.org/officeDocument/2006/relationships/hyperlink" Target="https://www.eliteprospects.com/team/14520/poland-all/2019-2020?tab=stats" TargetMode="External"/><Relationship Id="rId106" Type="http://schemas.openxmlformats.org/officeDocument/2006/relationships/hyperlink" Target="https://www.hokej.cz/hrac/13792" TargetMode="External"/><Relationship Id="rId127" Type="http://schemas.openxmlformats.org/officeDocument/2006/relationships/hyperlink" Target="https://www.eliteprospects.com/team/637/hc-plzen/2020-2021?tab=stats" TargetMode="External"/><Relationship Id="rId313" Type="http://schemas.openxmlformats.org/officeDocument/2006/relationships/hyperlink" Target="https://www.eliteprospects.com/league/czechia/stats/2021-2022" TargetMode="External"/><Relationship Id="rId10" Type="http://schemas.openxmlformats.org/officeDocument/2006/relationships/hyperlink" Target="https://hokej.cz/hrac/11291" TargetMode="External"/><Relationship Id="rId31" Type="http://schemas.openxmlformats.org/officeDocument/2006/relationships/hyperlink" Target="https://www.hokej.cz/hrac/1741" TargetMode="External"/><Relationship Id="rId52" Type="http://schemas.openxmlformats.org/officeDocument/2006/relationships/hyperlink" Target="https://www.hokej.cz/hrac/15400" TargetMode="External"/><Relationship Id="rId73" Type="http://schemas.openxmlformats.org/officeDocument/2006/relationships/hyperlink" Target="https://www.hokej.cz/hrac/2491887" TargetMode="External"/><Relationship Id="rId94" Type="http://schemas.openxmlformats.org/officeDocument/2006/relationships/hyperlink" Target="https://www.hokej.cz/hrac/7229427" TargetMode="External"/><Relationship Id="rId148" Type="http://schemas.openxmlformats.org/officeDocument/2006/relationships/hyperlink" Target="https://www.eliteprospects.com/league/czech2/stats/2018-2019/playoffs" TargetMode="External"/><Relationship Id="rId169" Type="http://schemas.openxmlformats.org/officeDocument/2006/relationships/hyperlink" Target="https://www.eliteprospects.com/league/czechia/stats/2018-2019/playoffs" TargetMode="External"/><Relationship Id="rId334" Type="http://schemas.openxmlformats.org/officeDocument/2006/relationships/hyperlink" Target="https://www.eliteprospects.com/team/646/ryti%C5%99i-kladno/2020-2021?tab=stats" TargetMode="External"/><Relationship Id="rId355" Type="http://schemas.openxmlformats.org/officeDocument/2006/relationships/hyperlink" Target="https://www.eliteprospects.com/league/czechia2/stats/2019-2020" TargetMode="External"/><Relationship Id="rId376" Type="http://schemas.openxmlformats.org/officeDocument/2006/relationships/hyperlink" Target="https://www.eliteprospects.com/league/czechia/stats/2019-2020" TargetMode="External"/><Relationship Id="rId397" Type="http://schemas.openxmlformats.org/officeDocument/2006/relationships/hyperlink" Target="https://www.eliteprospects.com/league/wjc-20-d1b/stats/2018-2019" TargetMode="External"/><Relationship Id="rId4" Type="http://schemas.openxmlformats.org/officeDocument/2006/relationships/hyperlink" Target="https://hokej.cz/hrac/7229427" TargetMode="External"/><Relationship Id="rId180" Type="http://schemas.openxmlformats.org/officeDocument/2006/relationships/hyperlink" Target="https://www.eliteprospects.com/league/ahl/stats/2020-2021" TargetMode="External"/><Relationship Id="rId215" Type="http://schemas.openxmlformats.org/officeDocument/2006/relationships/hyperlink" Target="https://www.eliteprospects.com/league/czechia/stats/2019-2020" TargetMode="External"/><Relationship Id="rId236" Type="http://schemas.openxmlformats.org/officeDocument/2006/relationships/hyperlink" Target="https://www.eliteprospects.com/team/12426/slovakia-all/2019-2020?tab=stats" TargetMode="External"/><Relationship Id="rId257" Type="http://schemas.openxmlformats.org/officeDocument/2006/relationships/hyperlink" Target="https://www.eliteprospects.com/league/wc/stats/2018-2019" TargetMode="External"/><Relationship Id="rId278" Type="http://schemas.openxmlformats.org/officeDocument/2006/relationships/hyperlink" Target="https://www.eliteprospects.com/league/ahl/stats/2020-2021" TargetMode="External"/><Relationship Id="rId401" Type="http://schemas.openxmlformats.org/officeDocument/2006/relationships/hyperlink" Target="https://www.eliteprospects.com/team/155/hc-litvinov/2019-2020?tab=stats" TargetMode="External"/><Relationship Id="rId422" Type="http://schemas.openxmlformats.org/officeDocument/2006/relationships/hyperlink" Target="https://www.eliteprospects.com/league/wc-d1b/stats/2021-2022" TargetMode="External"/><Relationship Id="rId303" Type="http://schemas.openxmlformats.org/officeDocument/2006/relationships/hyperlink" Target="https://www.eliteprospects.com/team/1163/hc-dukla-jihlava/2020-2021?tab=stats" TargetMode="External"/><Relationship Id="rId42" Type="http://schemas.openxmlformats.org/officeDocument/2006/relationships/hyperlink" Target="https://www.hokej.cz/hrac/10099509" TargetMode="External"/><Relationship Id="rId84" Type="http://schemas.openxmlformats.org/officeDocument/2006/relationships/hyperlink" Target="https://www.hokej.cz/hrac/11273" TargetMode="External"/><Relationship Id="rId138" Type="http://schemas.openxmlformats.org/officeDocument/2006/relationships/hyperlink" Target="https://www.eliteprospects.com/team/699/bk-mlada-boleslav/2019-2020?tab=stats" TargetMode="External"/><Relationship Id="rId345" Type="http://schemas.openxmlformats.org/officeDocument/2006/relationships/hyperlink" Target="https://www.eliteprospects.com/team/1601/czechia-u20/2018-2019?tab=stats" TargetMode="External"/><Relationship Id="rId387" Type="http://schemas.openxmlformats.org/officeDocument/2006/relationships/hyperlink" Target="https://www.eliteprospects.com/team/19727/cracovia-krakow-u20/2018-2019?tab=stats" TargetMode="External"/><Relationship Id="rId191" Type="http://schemas.openxmlformats.org/officeDocument/2006/relationships/hyperlink" Target="https://www.eliteprospects.com/league/czechia/stats/2018-2019" TargetMode="External"/><Relationship Id="rId205" Type="http://schemas.openxmlformats.org/officeDocument/2006/relationships/hyperlink" Target="https://www.eliteprospects.com/team/155/hc-verva-litvinov/2020-2021?tab=stats" TargetMode="External"/><Relationship Id="rId247" Type="http://schemas.openxmlformats.org/officeDocument/2006/relationships/hyperlink" Target="https://www.eliteprospects.com/team/164/hc-sparta-praha/2020-2021?tab=stats" TargetMode="External"/><Relationship Id="rId412" Type="http://schemas.openxmlformats.org/officeDocument/2006/relationships/hyperlink" Target="https://www.eliteprospects.com/league/international/stats/2019-2020" TargetMode="External"/><Relationship Id="rId107" Type="http://schemas.openxmlformats.org/officeDocument/2006/relationships/hyperlink" Target="https://www.hokej.cz/hrac/13437" TargetMode="External"/><Relationship Id="rId289" Type="http://schemas.openxmlformats.org/officeDocument/2006/relationships/hyperlink" Target="https://www.eliteprospects.com/league/czech/stats/2020-2021" TargetMode="External"/><Relationship Id="rId11" Type="http://schemas.openxmlformats.org/officeDocument/2006/relationships/hyperlink" Target="https://hokej.cz/hrac/8607" TargetMode="External"/><Relationship Id="rId53" Type="http://schemas.openxmlformats.org/officeDocument/2006/relationships/hyperlink" Target="https://www.hokej.cz/hrac/13198" TargetMode="External"/><Relationship Id="rId149" Type="http://schemas.openxmlformats.org/officeDocument/2006/relationships/hyperlink" Target="https://www.eliteprospects.com/team/159/hc-dynamo-pardubice/2018-2019?tab=stats" TargetMode="External"/><Relationship Id="rId314" Type="http://schemas.openxmlformats.org/officeDocument/2006/relationships/hyperlink" Target="https://www.eliteprospects.com/team/168/hk-poprad/2018-2019?tab=stats" TargetMode="External"/><Relationship Id="rId356" Type="http://schemas.openxmlformats.org/officeDocument/2006/relationships/hyperlink" Target="https://www.eliteprospects.com/team/15659/mountfield-hk/2020-2021?tab=stats" TargetMode="External"/><Relationship Id="rId398" Type="http://schemas.openxmlformats.org/officeDocument/2006/relationships/hyperlink" Target="https://www.eliteprospects.com/team/14520/poland-all/2018-2019?tab=stats" TargetMode="External"/><Relationship Id="rId95" Type="http://schemas.openxmlformats.org/officeDocument/2006/relationships/hyperlink" Target="https://www.hokej.cz/hrac/10083188" TargetMode="External"/><Relationship Id="rId160" Type="http://schemas.openxmlformats.org/officeDocument/2006/relationships/hyperlink" Target="https://www.eliteprospects.com/team/1163/hc-dukla-jihlava/2019-2020?tab=stats" TargetMode="External"/><Relationship Id="rId216" Type="http://schemas.openxmlformats.org/officeDocument/2006/relationships/hyperlink" Target="https://www.eliteprospects.com/team/155/hc-verva-litvinov/2020-2021?tab=stats" TargetMode="External"/><Relationship Id="rId423" Type="http://schemas.openxmlformats.org/officeDocument/2006/relationships/printerSettings" Target="../printerSettings/printerSettings11.bin"/><Relationship Id="rId258" Type="http://schemas.openxmlformats.org/officeDocument/2006/relationships/hyperlink" Target="https://www.eliteprospects.com/team/12426/slovakia-all/2018-2019?tab=stats" TargetMode="External"/><Relationship Id="rId22" Type="http://schemas.openxmlformats.org/officeDocument/2006/relationships/hyperlink" Target="https://hokej.cz/hrac/15400" TargetMode="External"/><Relationship Id="rId64" Type="http://schemas.openxmlformats.org/officeDocument/2006/relationships/hyperlink" Target="https://www.hokej.cz/hrac/11296" TargetMode="External"/><Relationship Id="rId118" Type="http://schemas.openxmlformats.org/officeDocument/2006/relationships/hyperlink" Target="https://www.hokej.cz/hrac/14465" TargetMode="External"/><Relationship Id="rId325" Type="http://schemas.openxmlformats.org/officeDocument/2006/relationships/hyperlink" Target="https://www.eliteprospects.com/team/9882/orli-znojmo/2018-2019?tab=stats" TargetMode="External"/><Relationship Id="rId367" Type="http://schemas.openxmlformats.org/officeDocument/2006/relationships/hyperlink" Target="https://www.eliteprospects.com/team/772/hc-vitkovice/2018-2019?tab=stats" TargetMode="External"/><Relationship Id="rId171" Type="http://schemas.openxmlformats.org/officeDocument/2006/relationships/hyperlink" Target="https://www.eliteprospects.com/league/czechia/stats/2019-2020" TargetMode="External"/><Relationship Id="rId227" Type="http://schemas.openxmlformats.org/officeDocument/2006/relationships/hyperlink" Target="https://www.eliteprospects.com/league/czech/stats/2020-2021/playoffs" TargetMode="External"/><Relationship Id="rId269" Type="http://schemas.openxmlformats.org/officeDocument/2006/relationships/hyperlink" Target="https://www.eliteprospects.com/team/25837/newfoundland-growlers/2018-2019?tab=stats" TargetMode="External"/><Relationship Id="rId33" Type="http://schemas.openxmlformats.org/officeDocument/2006/relationships/hyperlink" Target="https://www.hokej.cz/hrac/14369" TargetMode="External"/><Relationship Id="rId129" Type="http://schemas.openxmlformats.org/officeDocument/2006/relationships/hyperlink" Target="https://www.eliteprospects.com/league/czech/stats/2020-2021/playoffs" TargetMode="External"/><Relationship Id="rId280" Type="http://schemas.openxmlformats.org/officeDocument/2006/relationships/hyperlink" Target="https://www.eliteprospects.com/league/echl/stats/2020-2021" TargetMode="External"/><Relationship Id="rId336" Type="http://schemas.openxmlformats.org/officeDocument/2006/relationships/hyperlink" Target="https://www.eliteprospects.com/league/czechia2/stats/2020-2021/playoffs" TargetMode="External"/><Relationship Id="rId75" Type="http://schemas.openxmlformats.org/officeDocument/2006/relationships/hyperlink" Target="https://www.hokej.cz/hrac/13198" TargetMode="External"/><Relationship Id="rId140" Type="http://schemas.openxmlformats.org/officeDocument/2006/relationships/hyperlink" Target="https://www.eliteprospects.com/team/9763/czech-republic-all/2019-2020?tab=stats" TargetMode="External"/><Relationship Id="rId182" Type="http://schemas.openxmlformats.org/officeDocument/2006/relationships/hyperlink" Target="https://www.eliteprospects.com/team/155/hc-verva-litvinov/2021-2022?tab=stats" TargetMode="External"/><Relationship Id="rId378" Type="http://schemas.openxmlformats.org/officeDocument/2006/relationships/hyperlink" Target="https://www.eliteprospects.com/league/czechia/stats/2019-2020" TargetMode="External"/><Relationship Id="rId403" Type="http://schemas.openxmlformats.org/officeDocument/2006/relationships/hyperlink" Target="https://www.eliteprospects.com/league/czechia/stats/2019-2020" TargetMode="External"/><Relationship Id="rId6" Type="http://schemas.openxmlformats.org/officeDocument/2006/relationships/hyperlink" Target="https://hokej.cz/hrac/318533" TargetMode="External"/><Relationship Id="rId238" Type="http://schemas.openxmlformats.org/officeDocument/2006/relationships/hyperlink" Target="https://www.eliteprospects.com/league/international/stats/2019-2020" TargetMode="External"/><Relationship Id="rId291" Type="http://schemas.openxmlformats.org/officeDocument/2006/relationships/hyperlink" Target="https://www.eliteprospects.com/team/9328/ehc-freiburg/2018-2019?tab=stats" TargetMode="External"/><Relationship Id="rId305" Type="http://schemas.openxmlformats.org/officeDocument/2006/relationships/hyperlink" Target="https://www.eliteprospects.com/league/czechia2/stats/2020-2021/playoffs" TargetMode="External"/><Relationship Id="rId347" Type="http://schemas.openxmlformats.org/officeDocument/2006/relationships/hyperlink" Target="https://www.eliteprospects.com/league/wjc-20/stats/2018-2019" TargetMode="External"/><Relationship Id="rId44" Type="http://schemas.openxmlformats.org/officeDocument/2006/relationships/hyperlink" Target="https://www.hokej.cz/hrac/10096884" TargetMode="External"/><Relationship Id="rId86" Type="http://schemas.openxmlformats.org/officeDocument/2006/relationships/hyperlink" Target="https://www.hokej.cz/hrac/10079423" TargetMode="External"/><Relationship Id="rId151" Type="http://schemas.openxmlformats.org/officeDocument/2006/relationships/hyperlink" Target="https://www.eliteprospects.com/league/czech/stats/2018-2019" TargetMode="External"/><Relationship Id="rId389" Type="http://schemas.openxmlformats.org/officeDocument/2006/relationships/hyperlink" Target="https://www.eliteprospects.com/league/poland-u20/stats/2018-2019" TargetMode="External"/><Relationship Id="rId193" Type="http://schemas.openxmlformats.org/officeDocument/2006/relationships/hyperlink" Target="https://www.eliteprospects.com/team/155/hc-verva-litvinov/2019-2020?tab=stats" TargetMode="External"/><Relationship Id="rId207" Type="http://schemas.openxmlformats.org/officeDocument/2006/relationships/hyperlink" Target="https://www.eliteprospects.com/league/czechia/stats/2020-2021/playoffs" TargetMode="External"/><Relationship Id="rId249" Type="http://schemas.openxmlformats.org/officeDocument/2006/relationships/hyperlink" Target="https://www.eliteprospects.com/league/czech/stats/2020-2021/playoffs" TargetMode="External"/><Relationship Id="rId414" Type="http://schemas.openxmlformats.org/officeDocument/2006/relationships/hyperlink" Target="https://www.eliteprospects.com/team/155/hc-litvinov/2020-2021?tab=stats" TargetMode="External"/><Relationship Id="rId13" Type="http://schemas.openxmlformats.org/officeDocument/2006/relationships/hyperlink" Target="https://hokej.cz/hrac/14369" TargetMode="External"/><Relationship Id="rId109" Type="http://schemas.openxmlformats.org/officeDocument/2006/relationships/hyperlink" Target="https://www.hokej.cz/hrac/17112" TargetMode="External"/><Relationship Id="rId260" Type="http://schemas.openxmlformats.org/officeDocument/2006/relationships/hyperlink" Target="https://www.eliteprospects.com/league/czech/stats/2020-2021" TargetMode="External"/><Relationship Id="rId316" Type="http://schemas.openxmlformats.org/officeDocument/2006/relationships/hyperlink" Target="https://www.eliteprospects.com/league/slovakia/stats/2018-2019/playoffs" TargetMode="External"/><Relationship Id="rId55" Type="http://schemas.openxmlformats.org/officeDocument/2006/relationships/hyperlink" Target="https://www.hokej.cz/hrac/14465" TargetMode="External"/><Relationship Id="rId97" Type="http://schemas.openxmlformats.org/officeDocument/2006/relationships/hyperlink" Target="https://www.hokej.cz/hrac/14369" TargetMode="External"/><Relationship Id="rId120" Type="http://schemas.openxmlformats.org/officeDocument/2006/relationships/hyperlink" Target="https://www.hokej.cz/hrac/10079423" TargetMode="External"/><Relationship Id="rId358" Type="http://schemas.openxmlformats.org/officeDocument/2006/relationships/hyperlink" Target="https://www.eliteprospects.com/league/czechia/stats/2020-2021/playoffs" TargetMode="External"/><Relationship Id="rId162" Type="http://schemas.openxmlformats.org/officeDocument/2006/relationships/hyperlink" Target="https://www.eliteprospects.com/league/czechia/stats/2021-2022" TargetMode="External"/><Relationship Id="rId218" Type="http://schemas.openxmlformats.org/officeDocument/2006/relationships/hyperlink" Target="https://www.eliteprospects.com/league/czechia/stats/2020-2021/playoffs" TargetMode="External"/><Relationship Id="rId271" Type="http://schemas.openxmlformats.org/officeDocument/2006/relationships/hyperlink" Target="https://www.eliteprospects.com/league/echl/stats/2018-2019/playoffs" TargetMode="External"/><Relationship Id="rId24" Type="http://schemas.openxmlformats.org/officeDocument/2006/relationships/hyperlink" Target="https://hokej.cz/hrac/17113" TargetMode="External"/><Relationship Id="rId66" Type="http://schemas.openxmlformats.org/officeDocument/2006/relationships/hyperlink" Target="https://www.hokej.cz/hrac/2955" TargetMode="External"/><Relationship Id="rId131" Type="http://schemas.openxmlformats.org/officeDocument/2006/relationships/hyperlink" Target="https://www.eliteprospects.com/league/czech/stats/2018-2019" TargetMode="External"/><Relationship Id="rId327" Type="http://schemas.openxmlformats.org/officeDocument/2006/relationships/hyperlink" Target="https://www.eliteprospects.com/league/ebel/stats/2018-2019/playoffs" TargetMode="External"/><Relationship Id="rId369" Type="http://schemas.openxmlformats.org/officeDocument/2006/relationships/hyperlink" Target="https://www.eliteprospects.com/league/czechia/stats/2018-2019/playoffs" TargetMode="External"/><Relationship Id="rId173" Type="http://schemas.openxmlformats.org/officeDocument/2006/relationships/hyperlink" Target="https://www.eliteprospects.com/team/1418/sk-trha%C4%8Di-kada%C5%88/2019-2020?tab=stats" TargetMode="External"/><Relationship Id="rId229" Type="http://schemas.openxmlformats.org/officeDocument/2006/relationships/hyperlink" Target="https://www.eliteprospects.com/league/czech/stats/2018-2019" TargetMode="External"/><Relationship Id="rId380" Type="http://schemas.openxmlformats.org/officeDocument/2006/relationships/hyperlink" Target="https://www.eliteprospects.com/team/155/hc-litvinov/2020-2021?tab=stats" TargetMode="External"/><Relationship Id="rId240" Type="http://schemas.openxmlformats.org/officeDocument/2006/relationships/hyperlink" Target="https://www.eliteprospects.com/league/czech/stats/2020-2021" TargetMode="External"/><Relationship Id="rId35" Type="http://schemas.openxmlformats.org/officeDocument/2006/relationships/hyperlink" Target="https://www.hokej.cz/hrac/11296" TargetMode="External"/><Relationship Id="rId77" Type="http://schemas.openxmlformats.org/officeDocument/2006/relationships/hyperlink" Target="https://www.hokej.cz/hrac/15400" TargetMode="External"/><Relationship Id="rId100" Type="http://schemas.openxmlformats.org/officeDocument/2006/relationships/hyperlink" Target="https://www.hokej.cz/hrac/11291" TargetMode="External"/><Relationship Id="rId282" Type="http://schemas.openxmlformats.org/officeDocument/2006/relationships/hyperlink" Target="https://www.eliteprospects.com/league/czechia/stats/2021-2022" TargetMode="External"/><Relationship Id="rId338" Type="http://schemas.openxmlformats.org/officeDocument/2006/relationships/hyperlink" Target="https://www.eliteprospects.com/league/czechia/stats/2021-2022" TargetMode="External"/><Relationship Id="rId8" Type="http://schemas.openxmlformats.org/officeDocument/2006/relationships/hyperlink" Target="https://hokej.cz/hrac/9447" TargetMode="External"/><Relationship Id="rId142" Type="http://schemas.openxmlformats.org/officeDocument/2006/relationships/hyperlink" Target="https://www.eliteprospects.com/league/international/stats/2019-2020" TargetMode="External"/><Relationship Id="rId184" Type="http://schemas.openxmlformats.org/officeDocument/2006/relationships/hyperlink" Target="https://www.eliteprospects.com/league/czechia/stats/2018-2019" TargetMode="External"/><Relationship Id="rId391" Type="http://schemas.openxmlformats.org/officeDocument/2006/relationships/hyperlink" Target="https://www.eliteprospects.com/league/poland/stats/2018-2019" TargetMode="External"/><Relationship Id="rId405" Type="http://schemas.openxmlformats.org/officeDocument/2006/relationships/hyperlink" Target="https://www.eliteprospects.com/league/czechia2/stats/2019-2020" TargetMode="External"/><Relationship Id="rId251" Type="http://schemas.openxmlformats.org/officeDocument/2006/relationships/hyperlink" Target="https://www.eliteprospects.com/league/wc/stats/2020-2021" TargetMode="External"/><Relationship Id="rId46" Type="http://schemas.openxmlformats.org/officeDocument/2006/relationships/hyperlink" Target="https://www.hokej.cz/hrac/10077692" TargetMode="External"/><Relationship Id="rId293" Type="http://schemas.openxmlformats.org/officeDocument/2006/relationships/hyperlink" Target="https://www.eliteprospects.com/league/del2/stats/2018-2019" TargetMode="External"/><Relationship Id="rId307" Type="http://schemas.openxmlformats.org/officeDocument/2006/relationships/hyperlink" Target="https://www.eliteprospects.com/league/czechia/stats/2020-2021" TargetMode="External"/><Relationship Id="rId349" Type="http://schemas.openxmlformats.org/officeDocument/2006/relationships/hyperlink" Target="https://www.eliteprospects.com/league/international-jr/stats/2018-2019" TargetMode="External"/><Relationship Id="rId88" Type="http://schemas.openxmlformats.org/officeDocument/2006/relationships/hyperlink" Target="https://www.hokej.cz/hrac/17113" TargetMode="External"/><Relationship Id="rId111" Type="http://schemas.openxmlformats.org/officeDocument/2006/relationships/hyperlink" Target="https://www.hokej.cz/hrac/10079354" TargetMode="External"/><Relationship Id="rId153" Type="http://schemas.openxmlformats.org/officeDocument/2006/relationships/hyperlink" Target="https://www.eliteprospects.com/league/czech2/stats/2019-2020" TargetMode="External"/><Relationship Id="rId195" Type="http://schemas.openxmlformats.org/officeDocument/2006/relationships/hyperlink" Target="https://www.eliteprospects.com/team/155/hc-verva-litvinov/2020-2021?tab=stats" TargetMode="External"/><Relationship Id="rId209" Type="http://schemas.openxmlformats.org/officeDocument/2006/relationships/hyperlink" Target="https://www.eliteprospects.com/league/czechia/stats/2021-2022" TargetMode="External"/><Relationship Id="rId360" Type="http://schemas.openxmlformats.org/officeDocument/2006/relationships/hyperlink" Target="https://www.eliteprospects.com/league/international/stats/2020-2021" TargetMode="External"/><Relationship Id="rId416" Type="http://schemas.openxmlformats.org/officeDocument/2006/relationships/hyperlink" Target="https://www.eliteprospects.com/league/czechia/stats/2020-2021/playoffs" TargetMode="External"/><Relationship Id="rId220" Type="http://schemas.openxmlformats.org/officeDocument/2006/relationships/hyperlink" Target="https://www.eliteprospects.com/league/czechia/stats/2021-2022" TargetMode="External"/><Relationship Id="rId15" Type="http://schemas.openxmlformats.org/officeDocument/2006/relationships/hyperlink" Target="https://hokej.cz/hrac/10096884" TargetMode="External"/><Relationship Id="rId57" Type="http://schemas.openxmlformats.org/officeDocument/2006/relationships/hyperlink" Target="https://www.hokej.cz/hrac/10099336" TargetMode="External"/><Relationship Id="rId262" Type="http://schemas.openxmlformats.org/officeDocument/2006/relationships/hyperlink" Target="https://www.eliteprospects.com/league/czech/stats/2020-2021" TargetMode="External"/><Relationship Id="rId318" Type="http://schemas.openxmlformats.org/officeDocument/2006/relationships/hyperlink" Target="https://www.eliteprospects.com/league/slovakia/stats/2019-2020" TargetMode="External"/><Relationship Id="rId99" Type="http://schemas.openxmlformats.org/officeDocument/2006/relationships/hyperlink" Target="https://www.hokej.cz/hrac/2955" TargetMode="External"/><Relationship Id="rId122" Type="http://schemas.openxmlformats.org/officeDocument/2006/relationships/hyperlink" Target="https://www.eliteprospects.com/league/czech/stats/2018-2019" TargetMode="External"/><Relationship Id="rId164" Type="http://schemas.openxmlformats.org/officeDocument/2006/relationships/hyperlink" Target="https://www.eliteprospects.com/league/czechia/stats/2021-2022" TargetMode="External"/><Relationship Id="rId371" Type="http://schemas.openxmlformats.org/officeDocument/2006/relationships/hyperlink" Target="https://www.eliteprospects.com/league/czechia2/stats/2018-2019" TargetMode="External"/><Relationship Id="rId26" Type="http://schemas.openxmlformats.org/officeDocument/2006/relationships/hyperlink" Target="https://hokej.cz/hrac/10099509" TargetMode="External"/><Relationship Id="rId231" Type="http://schemas.openxmlformats.org/officeDocument/2006/relationships/hyperlink" Target="https://www.eliteprospects.com/team/12426/slovakia-all/2018-2019?tab=stats" TargetMode="External"/><Relationship Id="rId273" Type="http://schemas.openxmlformats.org/officeDocument/2006/relationships/hyperlink" Target="https://www.eliteprospects.com/league/ahl/stats/2019-2020" TargetMode="External"/><Relationship Id="rId329" Type="http://schemas.openxmlformats.org/officeDocument/2006/relationships/hyperlink" Target="https://www.eliteprospects.com/league/czechia/stats/2019-2020" TargetMode="External"/><Relationship Id="rId68" Type="http://schemas.openxmlformats.org/officeDocument/2006/relationships/hyperlink" Target="https://www.hokej.cz/hrac/11291" TargetMode="External"/><Relationship Id="rId133" Type="http://schemas.openxmlformats.org/officeDocument/2006/relationships/hyperlink" Target="https://www.eliteprospects.com/team/185/amur-khabarovsk/2018-2019?tab=stats" TargetMode="External"/><Relationship Id="rId175" Type="http://schemas.openxmlformats.org/officeDocument/2006/relationships/hyperlink" Target="https://www.eliteprospects.com/league/czechia2/stats/2019-2020" TargetMode="External"/><Relationship Id="rId340" Type="http://schemas.openxmlformats.org/officeDocument/2006/relationships/hyperlink" Target="https://www.eliteprospects.com/league/czechia-q/stats/2021-2022" TargetMode="External"/><Relationship Id="rId200" Type="http://schemas.openxmlformats.org/officeDocument/2006/relationships/hyperlink" Target="https://www.eliteprospects.com/league/czechia/stats/2018-2019" TargetMode="External"/><Relationship Id="rId382" Type="http://schemas.openxmlformats.org/officeDocument/2006/relationships/hyperlink" Target="https://www.eliteprospects.com/league/czechia/stats/2020-2021/playoffs" TargetMode="External"/><Relationship Id="rId242" Type="http://schemas.openxmlformats.org/officeDocument/2006/relationships/hyperlink" Target="https://www.eliteprospects.com/team/164/hc-sparta-praha/2019-2020?tab=stats" TargetMode="External"/><Relationship Id="rId284" Type="http://schemas.openxmlformats.org/officeDocument/2006/relationships/hyperlink" Target="https://www.eliteprospects.com/team/155/hc-verva-litvinov/2021-2022?tab=stats" TargetMode="External"/><Relationship Id="rId37" Type="http://schemas.openxmlformats.org/officeDocument/2006/relationships/hyperlink" Target="https://www.hokej.cz/hrac/2955" TargetMode="External"/><Relationship Id="rId79" Type="http://schemas.openxmlformats.org/officeDocument/2006/relationships/hyperlink" Target="https://www.hokej.cz/hrac/17112" TargetMode="External"/><Relationship Id="rId102" Type="http://schemas.openxmlformats.org/officeDocument/2006/relationships/hyperlink" Target="https://www.hokej.cz/hrac/29031" TargetMode="External"/><Relationship Id="rId144" Type="http://schemas.openxmlformats.org/officeDocument/2006/relationships/hyperlink" Target="https://www.eliteprospects.com/league/czech/stats/2020-2021" TargetMode="External"/><Relationship Id="rId90" Type="http://schemas.openxmlformats.org/officeDocument/2006/relationships/hyperlink" Target="https://www.hokej.cz/hrac/14150" TargetMode="External"/><Relationship Id="rId186" Type="http://schemas.openxmlformats.org/officeDocument/2006/relationships/hyperlink" Target="https://www.eliteprospects.com/league/czechia/stats/2019-2020" TargetMode="External"/><Relationship Id="rId351" Type="http://schemas.openxmlformats.org/officeDocument/2006/relationships/hyperlink" Target="https://www.eliteprospects.com/team/15659/mountfield-hk/2019-2020?tab=stats" TargetMode="External"/><Relationship Id="rId393" Type="http://schemas.openxmlformats.org/officeDocument/2006/relationships/hyperlink" Target="https://www.eliteprospects.com/team/26846/pzhl-u23/2018-2019?tab=stats" TargetMode="External"/><Relationship Id="rId407" Type="http://schemas.openxmlformats.org/officeDocument/2006/relationships/hyperlink" Target="https://www.eliteprospects.com/team/3461/hc-stadion-litom%C4%9B%C5%99ice/2019-2020?tab=stats" TargetMode="External"/><Relationship Id="rId211" Type="http://schemas.openxmlformats.org/officeDocument/2006/relationships/hyperlink" Target="https://www.eliteprospects.com/team/155/hc-verva-litvinov/2018-2019?tab=stats" TargetMode="External"/><Relationship Id="rId253" Type="http://schemas.openxmlformats.org/officeDocument/2006/relationships/hyperlink" Target="https://www.eliteprospects.com/league/khl/stats/2018-2019" TargetMode="External"/><Relationship Id="rId295" Type="http://schemas.openxmlformats.org/officeDocument/2006/relationships/hyperlink" Target="https://www.eliteprospects.com/league/germany3/stats/2018-2019" TargetMode="External"/><Relationship Id="rId309" Type="http://schemas.openxmlformats.org/officeDocument/2006/relationships/hyperlink" Target="https://www.eliteprospects.com/team/1163/hc-dukla-jihlava/2021-2022?tab=stats" TargetMode="External"/><Relationship Id="rId48" Type="http://schemas.openxmlformats.org/officeDocument/2006/relationships/hyperlink" Target="https://www.hokej.cz/hrac/51841" TargetMode="External"/><Relationship Id="rId113" Type="http://schemas.openxmlformats.org/officeDocument/2006/relationships/hyperlink" Target="https://www.hokej.cz/hrac/10077692" TargetMode="External"/><Relationship Id="rId320" Type="http://schemas.openxmlformats.org/officeDocument/2006/relationships/hyperlink" Target="https://www.eliteprospects.com/league/khl/stats/2020-2021" TargetMode="External"/><Relationship Id="rId155" Type="http://schemas.openxmlformats.org/officeDocument/2006/relationships/hyperlink" Target="https://www.eliteprospects.com/league/czech2/stats/2020-2021" TargetMode="External"/><Relationship Id="rId197" Type="http://schemas.openxmlformats.org/officeDocument/2006/relationships/hyperlink" Target="https://www.eliteprospects.com/league/czechia/stats/2020-2021/playoffs" TargetMode="External"/><Relationship Id="rId362" Type="http://schemas.openxmlformats.org/officeDocument/2006/relationships/hyperlink" Target="https://www.eliteprospects.com/league/czechia/stats/2021-2022" TargetMode="External"/><Relationship Id="rId418" Type="http://schemas.openxmlformats.org/officeDocument/2006/relationships/hyperlink" Target="https://www.eliteprospects.com/league/czechia/stats/2021-2022" TargetMode="External"/><Relationship Id="rId222" Type="http://schemas.openxmlformats.org/officeDocument/2006/relationships/hyperlink" Target="https://www.eliteprospects.com/league/czech/stats/2018-2019" TargetMode="External"/><Relationship Id="rId264" Type="http://schemas.openxmlformats.org/officeDocument/2006/relationships/hyperlink" Target="https://www.eliteprospects.com/league/czech/stats/2020-2021"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printerSettings" Target="../printerSettings/printerSettings14.bin"/><Relationship Id="rId5" Type="http://schemas.openxmlformats.org/officeDocument/2006/relationships/comments" Target="../comments3.xml"/><Relationship Id="rId4" Type="http://schemas.openxmlformats.org/officeDocument/2006/relationships/table" Target="../tables/table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17" Type="http://schemas.openxmlformats.org/officeDocument/2006/relationships/hyperlink" Target="https://www.eliteprospects.com/team/646/ryti%C5%99i-kladno/2021-2022?tab=stats" TargetMode="External"/><Relationship Id="rId299" Type="http://schemas.openxmlformats.org/officeDocument/2006/relationships/hyperlink" Target="https://www.eliteprospects.com/team/3461/hc-stadion-litom%C4%9B%C5%99ice/2022-2023?tab=stats" TargetMode="External"/><Relationship Id="rId21" Type="http://schemas.openxmlformats.org/officeDocument/2006/relationships/hyperlink" Target="https://www.eliteprospects.com/league/czech/stats/2020-2021/playoffs" TargetMode="External"/><Relationship Id="rId63" Type="http://schemas.openxmlformats.org/officeDocument/2006/relationships/hyperlink" Target="https://www.eliteprospects.com/league/czechia/stats/2021-2022" TargetMode="External"/><Relationship Id="rId159" Type="http://schemas.openxmlformats.org/officeDocument/2006/relationships/hyperlink" Target="https://www.eliteprospects.com/league/czechia/stats/2019-2020" TargetMode="External"/><Relationship Id="rId324" Type="http://schemas.openxmlformats.org/officeDocument/2006/relationships/hyperlink" Target="https://www.eliteprospects.com/team/162/hc-slavia-praha/2022-2023?tab=stats" TargetMode="External"/><Relationship Id="rId366" Type="http://schemas.openxmlformats.org/officeDocument/2006/relationships/hyperlink" Target="https://www.eliteprospects.com/league/czechia2/stats/2020-2021/playoffs" TargetMode="External"/><Relationship Id="rId170" Type="http://schemas.openxmlformats.org/officeDocument/2006/relationships/hyperlink" Target="https://www.eliteprospects.com/team/1825/cracovia-krakow/2018-2019?tab=stats" TargetMode="External"/><Relationship Id="rId226" Type="http://schemas.openxmlformats.org/officeDocument/2006/relationships/hyperlink" Target="https://www.hokej.cz/hrac/13305?t=9oss9h1o5rxioi747gkdfhil5zki4mkc2ow%3C%21DOCTYPE%2BHTML%2BPUBLIC" TargetMode="External"/><Relationship Id="rId433" Type="http://schemas.openxmlformats.org/officeDocument/2006/relationships/hyperlink" Target="https://www.eliteprospects.com/league/echl/stats/all-time" TargetMode="External"/><Relationship Id="rId268" Type="http://schemas.openxmlformats.org/officeDocument/2006/relationships/hyperlink" Target="https://www.hokej.cz/hrac/petr-straka/11296?t=15viya1rz6mv9add4wo7imlpfpzjoh9fo9gr2x5zqz58is07ju9av8k" TargetMode="External"/><Relationship Id="rId32" Type="http://schemas.openxmlformats.org/officeDocument/2006/relationships/hyperlink" Target="https://www.eliteprospects.com/team/169/hc-slovan-bratislava/2018-2019?tab=stats" TargetMode="External"/><Relationship Id="rId74" Type="http://schemas.openxmlformats.org/officeDocument/2006/relationships/hyperlink" Target="https://www.eliteprospects.com/team/2883/herner-ev-2007/2018-2019?tab=stats" TargetMode="External"/><Relationship Id="rId128" Type="http://schemas.openxmlformats.org/officeDocument/2006/relationships/hyperlink" Target="https://www.eliteprospects.com/team/9731/czechia-u20-all/2018-2019?tab=stats" TargetMode="External"/><Relationship Id="rId335" Type="http://schemas.openxmlformats.org/officeDocument/2006/relationships/hyperlink" Target="https://www.eliteprospects.com/team/155/hc-litvinov/2021-2022?tab=stats" TargetMode="External"/><Relationship Id="rId377" Type="http://schemas.openxmlformats.org/officeDocument/2006/relationships/hyperlink" Target="https://www.eliteprospects.com/league/international-jr/stats/2021-2022" TargetMode="External"/><Relationship Id="rId5" Type="http://schemas.openxmlformats.org/officeDocument/2006/relationships/hyperlink" Target="https://www.eliteprospects.com/league/czech/stats/2019-2020" TargetMode="External"/><Relationship Id="rId181" Type="http://schemas.openxmlformats.org/officeDocument/2006/relationships/hyperlink" Target="https://www.eliteprospects.com/team/155/hc-litvinov/2019-2020?tab=stats" TargetMode="External"/><Relationship Id="rId237" Type="http://schemas.openxmlformats.org/officeDocument/2006/relationships/hyperlink" Target="https://www.hokej.cz/hrac/14369" TargetMode="External"/><Relationship Id="rId402" Type="http://schemas.openxmlformats.org/officeDocument/2006/relationships/hyperlink" Target="https://www.hokej.cz/hrac/giorgio-estephan/10099336?t=q94l5kqneoefeyergn06ztwli3a2tnoolx2a5wly0eo09lh9mjh20nm" TargetMode="External"/><Relationship Id="rId279" Type="http://schemas.openxmlformats.org/officeDocument/2006/relationships/hyperlink" Target="https://www.hokej.cz/hrac/daniel-kolar/13305?t=15viya1rz6mv9add4wo7imlpfpzjoh9fo9gr2x5zqz58is07ju9av8k" TargetMode="External"/><Relationship Id="rId43" Type="http://schemas.openxmlformats.org/officeDocument/2006/relationships/hyperlink" Target="https://www.eliteprospects.com/league/czech/stats/2020-2021/playoffs" TargetMode="External"/><Relationship Id="rId139" Type="http://schemas.openxmlformats.org/officeDocument/2006/relationships/hyperlink" Target="https://www.eliteprospects.com/team/9763/czechia-all/2020-2021?tab=stats" TargetMode="External"/><Relationship Id="rId290" Type="http://schemas.openxmlformats.org/officeDocument/2006/relationships/hyperlink" Target="https://www.eliteprospects.com/league/czechia2/stats/2021-2022/playoffs" TargetMode="External"/><Relationship Id="rId304" Type="http://schemas.openxmlformats.org/officeDocument/2006/relationships/hyperlink" Target="https://www.eliteprospects.com/team/155/hc-litvinov/2020-2021?tab=stats" TargetMode="External"/><Relationship Id="rId346" Type="http://schemas.openxmlformats.org/officeDocument/2006/relationships/hyperlink" Target="https://www.eliteprospects.com/league/czechia2/stats/2022-2023" TargetMode="External"/><Relationship Id="rId388" Type="http://schemas.openxmlformats.org/officeDocument/2006/relationships/hyperlink" Target="https://www.eliteprospects.com/league/czechia2/stats/2021-2022" TargetMode="External"/><Relationship Id="rId85" Type="http://schemas.openxmlformats.org/officeDocument/2006/relationships/hyperlink" Target="https://www.eliteprospects.com/league/czechia2/stats/2020-2021/playoffs" TargetMode="External"/><Relationship Id="rId150" Type="http://schemas.openxmlformats.org/officeDocument/2006/relationships/hyperlink" Target="https://www.eliteprospects.com/team/3809/hc-poruba-2011/2018-2019?tab=stats" TargetMode="External"/><Relationship Id="rId192" Type="http://schemas.openxmlformats.org/officeDocument/2006/relationships/hyperlink" Target="https://www.eliteprospects.com/league/international/stats/2019-2020" TargetMode="External"/><Relationship Id="rId206" Type="http://schemas.openxmlformats.org/officeDocument/2006/relationships/hyperlink" Target="https://www.hokej.cz/hrac/15672?t=9oss9h1o5rxioi747gkdfhil5zki4mkc2ow%3C%21DOCTYPE%2BHTML%2BPUBLIC" TargetMode="External"/><Relationship Id="rId413" Type="http://schemas.openxmlformats.org/officeDocument/2006/relationships/hyperlink" Target="https://www.hokej.cz/hrac/denis-zeman/51841?t=q94l5kqneoefeyergn06ztwli3a2tnoolx2a5wly0eo09lh9mjh20nm" TargetMode="External"/><Relationship Id="rId248" Type="http://schemas.openxmlformats.org/officeDocument/2006/relationships/hyperlink" Target="https://www.hokej.cz/hrac/19035" TargetMode="External"/><Relationship Id="rId12" Type="http://schemas.openxmlformats.org/officeDocument/2006/relationships/hyperlink" Target="https://www.eliteprospects.com/league/international/stats/2018-2019" TargetMode="External"/><Relationship Id="rId108" Type="http://schemas.openxmlformats.org/officeDocument/2006/relationships/hyperlink" Target="https://www.eliteprospects.com/team/153/hc-energie-karlovy-vary/2019-2020?tab=stats" TargetMode="External"/><Relationship Id="rId315" Type="http://schemas.openxmlformats.org/officeDocument/2006/relationships/hyperlink" Target="https://www.eliteprospects.com/team/155/hc-litvinov/2021-2022?tab=stats" TargetMode="External"/><Relationship Id="rId357" Type="http://schemas.openxmlformats.org/officeDocument/2006/relationships/hyperlink" Target="https://www.eliteprospects.com/team/1342/lhk-jest%C5%99abi-prost%C4%9Bjov/2022-2023?tab=stats" TargetMode="External"/><Relationship Id="rId54" Type="http://schemas.openxmlformats.org/officeDocument/2006/relationships/hyperlink" Target="https://www.eliteprospects.com/team/25837/newfoundland-growlers/2019-2020?tab=stats" TargetMode="External"/><Relationship Id="rId96" Type="http://schemas.openxmlformats.org/officeDocument/2006/relationships/hyperlink" Target="https://www.eliteprospects.com/league/slovakia/stats/2018-2019/playoffs" TargetMode="External"/><Relationship Id="rId161" Type="http://schemas.openxmlformats.org/officeDocument/2006/relationships/hyperlink" Target="https://www.eliteprospects.com/league/czechia/stats/2020-2021" TargetMode="External"/><Relationship Id="rId217" Type="http://schemas.openxmlformats.org/officeDocument/2006/relationships/hyperlink" Target="https://www.hokej.cz/hrac/10079557?t=9oss9h1o5rxioi747gkdfhil5zki4mkc2ow%3C%21DOCTYPE%2BHTML%2BPUBLIC" TargetMode="External"/><Relationship Id="rId399" Type="http://schemas.openxmlformats.org/officeDocument/2006/relationships/hyperlink" Target="https://www.eliteprospects.com/team/1565/hc-banik-sokolov/2022-2023?tab=stats" TargetMode="External"/><Relationship Id="rId259" Type="http://schemas.openxmlformats.org/officeDocument/2006/relationships/hyperlink" Target="https://www.hokej.cz/hrac/jindrich-abdul/14203?t=15viya1rz6mv9add4wo7imlpfpzjoh9fo9gr2x5zqz58is07ju9av8k" TargetMode="External"/><Relationship Id="rId424" Type="http://schemas.openxmlformats.org/officeDocument/2006/relationships/hyperlink" Target="https://www.hokej.cz/hrac/matej-chalupa/18941?t=q94l5kqneoefeyergn06ztwli3a2tnoolx2a5wly0eo09lh9mjh20nm" TargetMode="External"/><Relationship Id="rId23" Type="http://schemas.openxmlformats.org/officeDocument/2006/relationships/hyperlink" Target="https://www.eliteprospects.com/league/czech/stats/2019-2020" TargetMode="External"/><Relationship Id="rId119" Type="http://schemas.openxmlformats.org/officeDocument/2006/relationships/hyperlink" Target="https://www.eliteprospects.com/team/646/ryti%C5%99i-kladno/2021-2022?tab=stats" TargetMode="External"/><Relationship Id="rId270" Type="http://schemas.openxmlformats.org/officeDocument/2006/relationships/hyperlink" Target="https://www.hokej.cz/hrac/joshua-jared-wesley/10102701?t=15viya1rz6mv9add4wo7imlpfpzjoh9fo9gr2x5zqz58is07ju9av8k" TargetMode="External"/><Relationship Id="rId326" Type="http://schemas.openxmlformats.org/officeDocument/2006/relationships/hyperlink" Target="https://www.eliteprospects.com/team/155/hc-litvinov/2022-2023?tab=stats" TargetMode="External"/><Relationship Id="rId65" Type="http://schemas.openxmlformats.org/officeDocument/2006/relationships/hyperlink" Target="https://www.eliteprospects.com/league/czechia/stats/2021-2022" TargetMode="External"/><Relationship Id="rId130" Type="http://schemas.openxmlformats.org/officeDocument/2006/relationships/hyperlink" Target="https://www.eliteprospects.com/league/international-jr/stats/2018-2019" TargetMode="External"/><Relationship Id="rId368" Type="http://schemas.openxmlformats.org/officeDocument/2006/relationships/hyperlink" Target="https://www.eliteprospects.com/league/international-jr/stats/2020-2021" TargetMode="External"/><Relationship Id="rId172" Type="http://schemas.openxmlformats.org/officeDocument/2006/relationships/hyperlink" Target="https://www.eliteprospects.com/league/poland/stats/2018-2019/playoffs" TargetMode="External"/><Relationship Id="rId228" Type="http://schemas.openxmlformats.org/officeDocument/2006/relationships/hyperlink" Target="https://www.hokej.cz/hrac/15672" TargetMode="External"/><Relationship Id="rId435" Type="http://schemas.openxmlformats.org/officeDocument/2006/relationships/hyperlink" Target="https://www.eliteprospects.com/league/ahl/stats/all-time" TargetMode="External"/><Relationship Id="rId281" Type="http://schemas.openxmlformats.org/officeDocument/2006/relationships/hyperlink" Target="https://www.eliteprospects.com/league/czechia-u20/stats/2020-2021" TargetMode="External"/><Relationship Id="rId337" Type="http://schemas.openxmlformats.org/officeDocument/2006/relationships/hyperlink" Target="https://www.eliteprospects.com/league/czechia/stats/2021-2022" TargetMode="External"/><Relationship Id="rId34" Type="http://schemas.openxmlformats.org/officeDocument/2006/relationships/hyperlink" Target="https://www.eliteprospects.com/team/170/hk-32-liptovsky-mikulas/2018-2019?tab=stats" TargetMode="External"/><Relationship Id="rId76" Type="http://schemas.openxmlformats.org/officeDocument/2006/relationships/hyperlink" Target="https://www.eliteprospects.com/league/germany3/stats/2018-2019" TargetMode="External"/><Relationship Id="rId141" Type="http://schemas.openxmlformats.org/officeDocument/2006/relationships/hyperlink" Target="https://www.eliteprospects.com/team/15659/mountfield-hk/2021-2022?tab=stats" TargetMode="External"/><Relationship Id="rId379" Type="http://schemas.openxmlformats.org/officeDocument/2006/relationships/hyperlink" Target="https://www.eliteprospects.com/league/czechia/stats/2022-2023" TargetMode="External"/><Relationship Id="rId7" Type="http://schemas.openxmlformats.org/officeDocument/2006/relationships/hyperlink" Target="https://www.eliteprospects.com/league/czech/stats/2020-2021/playoffs" TargetMode="External"/><Relationship Id="rId183" Type="http://schemas.openxmlformats.org/officeDocument/2006/relationships/hyperlink" Target="https://www.eliteprospects.com/league/czechia/stats/2019-2020" TargetMode="External"/><Relationship Id="rId239" Type="http://schemas.openxmlformats.org/officeDocument/2006/relationships/hyperlink" Target="https://www.hokej.cz/hrac/10102701" TargetMode="External"/><Relationship Id="rId390" Type="http://schemas.openxmlformats.org/officeDocument/2006/relationships/hyperlink" Target="https://www.eliteprospects.com/team/1163/hc-dukla-jihlava/2021-2022?tab=stats" TargetMode="External"/><Relationship Id="rId404" Type="http://schemas.openxmlformats.org/officeDocument/2006/relationships/hyperlink" Target="https://www.hokej.cz/hrac/andrej-kudrna/7229427?t=q94l5kqneoefeyergn06ztwli3a2tnoolx2a5wly0eo09lh9mjh20nm" TargetMode="External"/><Relationship Id="rId250" Type="http://schemas.openxmlformats.org/officeDocument/2006/relationships/hyperlink" Target="https://www.hokej.cz/hrac/11296" TargetMode="External"/><Relationship Id="rId292" Type="http://schemas.openxmlformats.org/officeDocument/2006/relationships/hyperlink" Target="https://www.eliteprospects.com/league/czechia3/stats/2021-2022" TargetMode="External"/><Relationship Id="rId306" Type="http://schemas.openxmlformats.org/officeDocument/2006/relationships/hyperlink" Target="https://www.eliteprospects.com/league/czechia/stats/2020-2021" TargetMode="External"/><Relationship Id="rId45" Type="http://schemas.openxmlformats.org/officeDocument/2006/relationships/hyperlink" Target="https://www.eliteprospects.com/league/czech/stats/2020-2021/playoffs" TargetMode="External"/><Relationship Id="rId87" Type="http://schemas.openxmlformats.org/officeDocument/2006/relationships/hyperlink" Target="https://www.eliteprospects.com/league/czechia/stats/2020-2021" TargetMode="External"/><Relationship Id="rId110" Type="http://schemas.openxmlformats.org/officeDocument/2006/relationships/hyperlink" Target="https://www.eliteprospects.com/league/czechia/stats/2019-2020" TargetMode="External"/><Relationship Id="rId348" Type="http://schemas.openxmlformats.org/officeDocument/2006/relationships/hyperlink" Target="https://www.eliteprospects.com/league/czechia-u20/stats/2020-2021" TargetMode="External"/><Relationship Id="rId152" Type="http://schemas.openxmlformats.org/officeDocument/2006/relationships/hyperlink" Target="https://www.eliteprospects.com/team/9763/czechia-all/2018-2019?tab=stats" TargetMode="External"/><Relationship Id="rId194" Type="http://schemas.openxmlformats.org/officeDocument/2006/relationships/hyperlink" Target="https://www.eliteprospects.com/team/155/hc-litvinov/2020-2021?tab=stats" TargetMode="External"/><Relationship Id="rId208" Type="http://schemas.openxmlformats.org/officeDocument/2006/relationships/hyperlink" Target="https://www.hokej.cz/hrac/13667?t=9oss9h1o5rxioi747gkdfhil5zki4mkc2ow%3C%21DOCTYPE%2BHTML%2BPUBLIC" TargetMode="External"/><Relationship Id="rId415" Type="http://schemas.openxmlformats.org/officeDocument/2006/relationships/hyperlink" Target="https://www.hokej.cz/hrac/petr-straka/11296?t=q94l5kqneoefeyergn06ztwli3a2tnoolx2a5wly0eo09lh9mjh20nm" TargetMode="External"/><Relationship Id="rId261" Type="http://schemas.openxmlformats.org/officeDocument/2006/relationships/hyperlink" Target="https://www.hokej.cz/hrac/ralfs-freibergs/10079557?t=15viya1rz6mv9add4wo7imlpfpzjoh9fo9gr2x5zqz58is07ju9av8k" TargetMode="External"/><Relationship Id="rId14" Type="http://schemas.openxmlformats.org/officeDocument/2006/relationships/hyperlink" Target="https://www.eliteprospects.com/team/164/hc-sparta-praha/2019-2020?tab=stats" TargetMode="External"/><Relationship Id="rId56" Type="http://schemas.openxmlformats.org/officeDocument/2006/relationships/hyperlink" Target="https://www.eliteprospects.com/team/18602/stockton-heat/2020-2021?tab=stats" TargetMode="External"/><Relationship Id="rId317" Type="http://schemas.openxmlformats.org/officeDocument/2006/relationships/hyperlink" Target="https://www.eliteprospects.com/league/czechia/stats/2021-2022" TargetMode="External"/><Relationship Id="rId359" Type="http://schemas.openxmlformats.org/officeDocument/2006/relationships/hyperlink" Target="https://www.eliteprospects.com/league/czechia2/stats/2022-2023" TargetMode="External"/><Relationship Id="rId98" Type="http://schemas.openxmlformats.org/officeDocument/2006/relationships/hyperlink" Target="https://www.eliteprospects.com/league/slovakia/stats/2019-2020" TargetMode="External"/><Relationship Id="rId121" Type="http://schemas.openxmlformats.org/officeDocument/2006/relationships/hyperlink" Target="https://www.eliteprospects.com/league/czechia-q/stats/2021-2022/qualification" TargetMode="External"/><Relationship Id="rId163" Type="http://schemas.openxmlformats.org/officeDocument/2006/relationships/hyperlink" Target="https://www.eliteprospects.com/team/9763/czechia-all/2020-2021?tab=stats" TargetMode="External"/><Relationship Id="rId219" Type="http://schemas.openxmlformats.org/officeDocument/2006/relationships/hyperlink" Target="https://www.hokej.cz/hrac/51841?t=9oss9h1o5rxioi747gkdfhil5zki4mkc2ow%3C%21DOCTYPE%2BHTML%2BPUBLIC" TargetMode="External"/><Relationship Id="rId370" Type="http://schemas.openxmlformats.org/officeDocument/2006/relationships/hyperlink" Target="https://www.eliteprospects.com/league/czechia-u20/stats/2021-2022" TargetMode="External"/><Relationship Id="rId426" Type="http://schemas.openxmlformats.org/officeDocument/2006/relationships/hyperlink" Target="https://www.hokej.cz/hrac/tim-danielcak/10098484?t=q94l5kqneoefeyergn06ztwli3a2tnoolx2a5wly0eo09lh9mjh20nm" TargetMode="External"/><Relationship Id="rId230" Type="http://schemas.openxmlformats.org/officeDocument/2006/relationships/hyperlink" Target="https://www.hokej.cz/hrac/7229427" TargetMode="External"/><Relationship Id="rId25" Type="http://schemas.openxmlformats.org/officeDocument/2006/relationships/hyperlink" Target="https://www.eliteprospects.com/league/international/stats/2019-2020" TargetMode="External"/><Relationship Id="rId67" Type="http://schemas.openxmlformats.org/officeDocument/2006/relationships/hyperlink" Target="https://www.eliteprospects.com/league/czechia/stats/2021-2022" TargetMode="External"/><Relationship Id="rId272" Type="http://schemas.openxmlformats.org/officeDocument/2006/relationships/hyperlink" Target="https://www.hokej.cz/hrac/jan-strejcek/13198?t=15viya1rz6mv9add4wo7imlpfpzjoh9fo9gr2x5zqz58is07ju9av8k" TargetMode="External"/><Relationship Id="rId328" Type="http://schemas.openxmlformats.org/officeDocument/2006/relationships/hyperlink" Target="https://www.eliteprospects.com/team/3714/hc-litvinov-u20/2020-2021?tab=stats" TargetMode="External"/><Relationship Id="rId132" Type="http://schemas.openxmlformats.org/officeDocument/2006/relationships/hyperlink" Target="https://www.eliteprospects.com/league/czechia/stats/2019-2020" TargetMode="External"/><Relationship Id="rId174" Type="http://schemas.openxmlformats.org/officeDocument/2006/relationships/hyperlink" Target="https://www.eliteprospects.com/league/poland/stats/2018-2019" TargetMode="External"/><Relationship Id="rId381" Type="http://schemas.openxmlformats.org/officeDocument/2006/relationships/hyperlink" Target="https://www.eliteprospects.com/league/czechia2/stats/2022-2023" TargetMode="External"/><Relationship Id="rId241" Type="http://schemas.openxmlformats.org/officeDocument/2006/relationships/hyperlink" Target="https://www.hokej.cz/hrac/51841" TargetMode="External"/><Relationship Id="rId437" Type="http://schemas.openxmlformats.org/officeDocument/2006/relationships/hyperlink" Target="https://www.eliteprospects.com/league/echl/stats/all-time" TargetMode="External"/><Relationship Id="rId36" Type="http://schemas.openxmlformats.org/officeDocument/2006/relationships/hyperlink" Target="https://www.eliteprospects.com/team/1632/slovakia/2018-2019?tab=stats" TargetMode="External"/><Relationship Id="rId283" Type="http://schemas.openxmlformats.org/officeDocument/2006/relationships/hyperlink" Target="https://www.eliteprospects.com/league/czechia2/stats/2020-2021" TargetMode="External"/><Relationship Id="rId339" Type="http://schemas.openxmlformats.org/officeDocument/2006/relationships/hyperlink" Target="https://www.eliteprospects.com/league/international-jr/stats/2021-2022" TargetMode="External"/><Relationship Id="rId78" Type="http://schemas.openxmlformats.org/officeDocument/2006/relationships/hyperlink" Target="https://www.eliteprospects.com/league/italy2/stats/2018-2019" TargetMode="External"/><Relationship Id="rId101" Type="http://schemas.openxmlformats.org/officeDocument/2006/relationships/hyperlink" Target="https://www.eliteprospects.com/league/khl/stats/2020-2021/playoffs" TargetMode="External"/><Relationship Id="rId143" Type="http://schemas.openxmlformats.org/officeDocument/2006/relationships/hyperlink" Target="https://www.eliteprospects.com/team/2705/sc-kolin/2021-2022?tab=stats" TargetMode="External"/><Relationship Id="rId185" Type="http://schemas.openxmlformats.org/officeDocument/2006/relationships/hyperlink" Target="https://www.eliteprospects.com/league/czechia2/stats/2019-2020" TargetMode="External"/><Relationship Id="rId350" Type="http://schemas.openxmlformats.org/officeDocument/2006/relationships/hyperlink" Target="https://www.eliteprospects.com/league/ncdc/stats/2021-2022" TargetMode="External"/><Relationship Id="rId406" Type="http://schemas.openxmlformats.org/officeDocument/2006/relationships/hyperlink" Target="https://www.hokej.cz/hrac/nicolas-hlava/13667?t=q94l5kqneoefeyergn06ztwli3a2tnoolx2a5wly0eo09lh9mjh20nm" TargetMode="External"/><Relationship Id="rId9" Type="http://schemas.openxmlformats.org/officeDocument/2006/relationships/hyperlink" Target="https://www.eliteprospects.com/league/czech/stats/2018-2019" TargetMode="External"/><Relationship Id="rId210" Type="http://schemas.openxmlformats.org/officeDocument/2006/relationships/hyperlink" Target="https://www.hokej.cz/hrac/10083186?t=9oss9h1o5rxioi747gkdfhil5zki4mkc2ow%3C%21DOCTYPE%2BHTML%2BPUBLIC" TargetMode="External"/><Relationship Id="rId392" Type="http://schemas.openxmlformats.org/officeDocument/2006/relationships/hyperlink" Target="https://www.eliteprospects.com/league/czechia-q/stats/2021-2022/qualification" TargetMode="External"/><Relationship Id="rId252" Type="http://schemas.openxmlformats.org/officeDocument/2006/relationships/hyperlink" Target="https://www.hokej.cz/hrac/simon-stransky/15672?t=15viya1rz6mv9add4wo7imlpfpzjoh9fo9gr2x5zqz58is07ju9av8k" TargetMode="External"/><Relationship Id="rId294" Type="http://schemas.openxmlformats.org/officeDocument/2006/relationships/hyperlink" Target="https://www.eliteprospects.com/team/155/hc-litvinov/2022-2023?tab=stats" TargetMode="External"/><Relationship Id="rId308" Type="http://schemas.openxmlformats.org/officeDocument/2006/relationships/hyperlink" Target="https://www.eliteprospects.com/league/czechia2/stats/2020-2021" TargetMode="External"/><Relationship Id="rId47" Type="http://schemas.openxmlformats.org/officeDocument/2006/relationships/hyperlink" Target="https://www.eliteprospects.com/league/ahl/stats/2018-2019" TargetMode="External"/><Relationship Id="rId89" Type="http://schemas.openxmlformats.org/officeDocument/2006/relationships/hyperlink" Target="https://www.eliteprospects.com/team/1163/hc-dukla-jihlava/2021-2022?tab=stats" TargetMode="External"/><Relationship Id="rId112" Type="http://schemas.openxmlformats.org/officeDocument/2006/relationships/hyperlink" Target="https://www.eliteprospects.com/league/czechia2/stats/2019-2020" TargetMode="External"/><Relationship Id="rId154" Type="http://schemas.openxmlformats.org/officeDocument/2006/relationships/hyperlink" Target="https://www.eliteprospects.com/league/international/stats/2018-2019" TargetMode="External"/><Relationship Id="rId361" Type="http://schemas.openxmlformats.org/officeDocument/2006/relationships/hyperlink" Target="https://www.eliteprospects.com/league/czechia2/stats/2022-2023" TargetMode="External"/><Relationship Id="rId196" Type="http://schemas.openxmlformats.org/officeDocument/2006/relationships/hyperlink" Target="https://www.eliteprospects.com/league/czechia/stats/2020-2021/playoffs" TargetMode="External"/><Relationship Id="rId417" Type="http://schemas.openxmlformats.org/officeDocument/2006/relationships/hyperlink" Target="https://www.hokej.cz/hrac/martin-havelka/17112?t=q94l5kqneoefeyergn06ztwli3a2tnoolx2a5wly0eo09lh9mjh20nm" TargetMode="External"/><Relationship Id="rId16" Type="http://schemas.openxmlformats.org/officeDocument/2006/relationships/hyperlink" Target="https://www.eliteprospects.com/team/12426/slovakia-all/2019-2020?tab=stats" TargetMode="External"/><Relationship Id="rId221" Type="http://schemas.openxmlformats.org/officeDocument/2006/relationships/hyperlink" Target="https://www.hokej.cz/hrac/19035?t=9oss9h1o5rxioi747gkdfhil5zki4mkc2ow%3C%21DOCTYPE%2BHTML%2BPUBLIC" TargetMode="External"/><Relationship Id="rId263" Type="http://schemas.openxmlformats.org/officeDocument/2006/relationships/hyperlink" Target="https://www.hokej.cz/hrac/denis-zeman/51841?t=15viya1rz6mv9add4wo7imlpfpzjoh9fo9gr2x5zqz58is07ju9av8k" TargetMode="External"/><Relationship Id="rId319" Type="http://schemas.openxmlformats.org/officeDocument/2006/relationships/hyperlink" Target="https://www.eliteprospects.com/league/czechia2/stats/2021-2022" TargetMode="External"/><Relationship Id="rId58" Type="http://schemas.openxmlformats.org/officeDocument/2006/relationships/hyperlink" Target="https://www.eliteprospects.com/league/ahl/stats/2020-2021" TargetMode="External"/><Relationship Id="rId123" Type="http://schemas.openxmlformats.org/officeDocument/2006/relationships/hyperlink" Target="https://www.eliteprospects.com/league/qmjhl/stats/2018-2019" TargetMode="External"/><Relationship Id="rId330" Type="http://schemas.openxmlformats.org/officeDocument/2006/relationships/hyperlink" Target="https://www.eliteprospects.com/team/155/hc-litvinov/2020-2021?tab=stats" TargetMode="External"/><Relationship Id="rId165" Type="http://schemas.openxmlformats.org/officeDocument/2006/relationships/hyperlink" Target="https://www.eliteprospects.com/team/155/hc-litvinov/2021-2022?tab=stats" TargetMode="External"/><Relationship Id="rId372" Type="http://schemas.openxmlformats.org/officeDocument/2006/relationships/hyperlink" Target="https://www.eliteprospects.com/team/155/hc-litvinov/2021-2022?tab=stats" TargetMode="External"/><Relationship Id="rId428" Type="http://schemas.openxmlformats.org/officeDocument/2006/relationships/hyperlink" Target="https://www.hokej.cz/hrac/lukas-stehlik/10077692?t=q94l5kqneoefeyergn06ztwli3a2tnoolx2a5wly0eo09lh9mjh20nm" TargetMode="External"/><Relationship Id="rId232" Type="http://schemas.openxmlformats.org/officeDocument/2006/relationships/hyperlink" Target="https://www.hokej.cz/hrac/5607414" TargetMode="External"/><Relationship Id="rId274" Type="http://schemas.openxmlformats.org/officeDocument/2006/relationships/hyperlink" Target="https://www.hokej.cz/hrac/jiri-fronk/13792?t=15viya1rz6mv9add4wo7imlpfpzjoh9fo9gr2x5zqz58is07ju9av8k" TargetMode="External"/><Relationship Id="rId27" Type="http://schemas.openxmlformats.org/officeDocument/2006/relationships/hyperlink" Target="https://www.eliteprospects.com/team/164/hc-sparta-praha/2020-2021?tab=stats" TargetMode="External"/><Relationship Id="rId69" Type="http://schemas.openxmlformats.org/officeDocument/2006/relationships/hyperlink" Target="https://www.eliteprospects.com/league/czech/stats/2020-2021" TargetMode="External"/><Relationship Id="rId134" Type="http://schemas.openxmlformats.org/officeDocument/2006/relationships/hyperlink" Target="https://www.eliteprospects.com/team/3461/hc-stadion-litom%C4%9B%C5%99ice/2019-2020?tab=stats" TargetMode="External"/><Relationship Id="rId80" Type="http://schemas.openxmlformats.org/officeDocument/2006/relationships/hyperlink" Target="https://www.eliteprospects.com/team/1163/hc-dukla-jihlava/2019-2020?tab=stats" TargetMode="External"/><Relationship Id="rId176" Type="http://schemas.openxmlformats.org/officeDocument/2006/relationships/hyperlink" Target="https://www.eliteprospects.com/team/1719/poland-u20/2018-2019?tab=stats" TargetMode="External"/><Relationship Id="rId341" Type="http://schemas.openxmlformats.org/officeDocument/2006/relationships/hyperlink" Target="https://www.eliteprospects.com/team/162/hc-slavia-praha/2022-2023?tab=stats" TargetMode="External"/><Relationship Id="rId383" Type="http://schemas.openxmlformats.org/officeDocument/2006/relationships/hyperlink" Target="https://www.eliteprospects.com/league/czechia/stats/2020-2021" TargetMode="External"/><Relationship Id="rId439" Type="http://schemas.openxmlformats.org/officeDocument/2006/relationships/drawing" Target="../drawings/drawing9.xml"/><Relationship Id="rId201" Type="http://schemas.openxmlformats.org/officeDocument/2006/relationships/hyperlink" Target="https://www.eliteprospects.com/league/ogq/stats/2021-2022" TargetMode="External"/><Relationship Id="rId243" Type="http://schemas.openxmlformats.org/officeDocument/2006/relationships/hyperlink" Target="https://www.hokej.cz/hrac/13792" TargetMode="External"/><Relationship Id="rId285" Type="http://schemas.openxmlformats.org/officeDocument/2006/relationships/hyperlink" Target="https://www.eliteprospects.com/team/155/hc-litvinov/2021-2022?tab=stats" TargetMode="External"/><Relationship Id="rId38" Type="http://schemas.openxmlformats.org/officeDocument/2006/relationships/hyperlink" Target="https://www.eliteprospects.com/team/12426/slovakia-all/2018-2019?tab=stats" TargetMode="External"/><Relationship Id="rId103" Type="http://schemas.openxmlformats.org/officeDocument/2006/relationships/hyperlink" Target="https://www.eliteprospects.com/league/czechia/stats/2021-2022" TargetMode="External"/><Relationship Id="rId310" Type="http://schemas.openxmlformats.org/officeDocument/2006/relationships/hyperlink" Target="https://www.eliteprospects.com/team/9731/czechia-u20-all/2020-2021?tab=stats" TargetMode="External"/><Relationship Id="rId91" Type="http://schemas.openxmlformats.org/officeDocument/2006/relationships/hyperlink" Target="https://www.eliteprospects.com/league/czechia2/stats/2021-2022" TargetMode="External"/><Relationship Id="rId145" Type="http://schemas.openxmlformats.org/officeDocument/2006/relationships/hyperlink" Target="https://www.eliteprospects.com/league/czechia/stats/2021-2022/playoffs" TargetMode="External"/><Relationship Id="rId187" Type="http://schemas.openxmlformats.org/officeDocument/2006/relationships/hyperlink" Target="https://www.eliteprospects.com/team/3461/hc-stadion-litom%C4%9B%C5%99ice/2019-2020?tab=stats" TargetMode="External"/><Relationship Id="rId352" Type="http://schemas.openxmlformats.org/officeDocument/2006/relationships/hyperlink" Target="https://www.eliteprospects.com/league/czechia3/stats/2021-2022" TargetMode="External"/><Relationship Id="rId394" Type="http://schemas.openxmlformats.org/officeDocument/2006/relationships/hyperlink" Target="https://www.eliteprospects.com/league/czechia/stats/2021-2022" TargetMode="External"/><Relationship Id="rId408" Type="http://schemas.openxmlformats.org/officeDocument/2006/relationships/hyperlink" Target="https://www.hokej.cz/hrac/jindrich-abdul/14203?t=q94l5kqneoefeyergn06ztwli3a2tnoolx2a5wly0eo09lh9mjh20nm" TargetMode="External"/><Relationship Id="rId212" Type="http://schemas.openxmlformats.org/officeDocument/2006/relationships/hyperlink" Target="https://www.hokej.cz/hrac/17113?t=9oss9h1o5rxioi747gkdfhil5zki4mkc2ow%3C%21DOCTYPE%2BHTML%2BPUBLIC" TargetMode="External"/><Relationship Id="rId254" Type="http://schemas.openxmlformats.org/officeDocument/2006/relationships/hyperlink" Target="https://www.hokej.cz/hrac/patrik-zdrahal/14150?t=15viya1rz6mv9add4wo7imlpfpzjoh9fo9gr2x5zqz58is07ju9av8k" TargetMode="External"/><Relationship Id="rId49" Type="http://schemas.openxmlformats.org/officeDocument/2006/relationships/hyperlink" Target="https://www.eliteprospects.com/team/25837/newfoundland-growlers/2018-2019?tab=stats" TargetMode="External"/><Relationship Id="rId114" Type="http://schemas.openxmlformats.org/officeDocument/2006/relationships/hyperlink" Target="https://www.eliteprospects.com/team/646/ryti%C5%99i-kladno/2020-2021?tab=stats" TargetMode="External"/><Relationship Id="rId296" Type="http://schemas.openxmlformats.org/officeDocument/2006/relationships/hyperlink" Target="https://www.eliteprospects.com/team/1565/hc-banik-sokolov/2022-2023?tab=stats" TargetMode="External"/><Relationship Id="rId60" Type="http://schemas.openxmlformats.org/officeDocument/2006/relationships/hyperlink" Target="https://www.eliteprospects.com/league/echl/stats/2020-2021" TargetMode="External"/><Relationship Id="rId81" Type="http://schemas.openxmlformats.org/officeDocument/2006/relationships/hyperlink" Target="https://www.eliteprospects.com/league/czechia2/stats/2019-2020" TargetMode="External"/><Relationship Id="rId135" Type="http://schemas.openxmlformats.org/officeDocument/2006/relationships/hyperlink" Target="https://www.eliteprospects.com/league/czechia2/stats/2019-2020" TargetMode="External"/><Relationship Id="rId156" Type="http://schemas.openxmlformats.org/officeDocument/2006/relationships/hyperlink" Target="https://www.eliteprospects.com/league/czechia/stats/2019-2020" TargetMode="External"/><Relationship Id="rId177" Type="http://schemas.openxmlformats.org/officeDocument/2006/relationships/hyperlink" Target="https://www.eliteprospects.com/league/wjc-20-d1b/stats/2018-2019" TargetMode="External"/><Relationship Id="rId198" Type="http://schemas.openxmlformats.org/officeDocument/2006/relationships/hyperlink" Target="https://www.eliteprospects.com/league/czechia/stats/2021-2022" TargetMode="External"/><Relationship Id="rId321" Type="http://schemas.openxmlformats.org/officeDocument/2006/relationships/hyperlink" Target="https://www.eliteprospects.com/league/international-jr/stats/2021-2022" TargetMode="External"/><Relationship Id="rId342" Type="http://schemas.openxmlformats.org/officeDocument/2006/relationships/hyperlink" Target="https://www.eliteprospects.com/league/czechia2/stats/2022-2023" TargetMode="External"/><Relationship Id="rId363" Type="http://schemas.openxmlformats.org/officeDocument/2006/relationships/hyperlink" Target="https://www.eliteprospects.com/league/czechia-u20/stats/2020-2021" TargetMode="External"/><Relationship Id="rId384" Type="http://schemas.openxmlformats.org/officeDocument/2006/relationships/hyperlink" Target="https://www.eliteprospects.com/league/czechia/stats/2020-2021/playoffs" TargetMode="External"/><Relationship Id="rId419" Type="http://schemas.openxmlformats.org/officeDocument/2006/relationships/hyperlink" Target="https://www.hokej.cz/hrac/joshua-jared-wesley/10102701?t=q94l5kqneoefeyergn06ztwli3a2tnoolx2a5wly0eo09lh9mjh20nm" TargetMode="External"/><Relationship Id="rId202" Type="http://schemas.openxmlformats.org/officeDocument/2006/relationships/hyperlink" Target="https://www.eliteprospects.com/league/wc-d1b/stats/2021-2022" TargetMode="External"/><Relationship Id="rId223" Type="http://schemas.openxmlformats.org/officeDocument/2006/relationships/hyperlink" Target="https://www.hokej.cz/hrac/13198?t=9oss9h1o5rxioi747gkdfhil5zki4mkc2ow%3C%21DOCTYPE%2BHTML%2BPUBLIC" TargetMode="External"/><Relationship Id="rId244" Type="http://schemas.openxmlformats.org/officeDocument/2006/relationships/hyperlink" Target="https://www.hokej.cz/hrac/18941" TargetMode="External"/><Relationship Id="rId430" Type="http://schemas.openxmlformats.org/officeDocument/2006/relationships/hyperlink" Target="https://www.eliteprospects.com/league/nhl/stats/all-time" TargetMode="External"/><Relationship Id="rId18" Type="http://schemas.openxmlformats.org/officeDocument/2006/relationships/hyperlink" Target="https://www.eliteprospects.com/league/international/stats/2019-2020" TargetMode="External"/><Relationship Id="rId39" Type="http://schemas.openxmlformats.org/officeDocument/2006/relationships/hyperlink" Target="https://www.eliteprospects.com/league/international/stats/2018-2019" TargetMode="External"/><Relationship Id="rId265" Type="http://schemas.openxmlformats.org/officeDocument/2006/relationships/hyperlink" Target="https://www.hokej.cz/hrac/michal-gut/10077703?t=15viya1rz6mv9add4wo7imlpfpzjoh9fo9gr2x5zqz58is07ju9av8k" TargetMode="External"/><Relationship Id="rId286" Type="http://schemas.openxmlformats.org/officeDocument/2006/relationships/hyperlink" Target="https://www.eliteprospects.com/league/czechia/stats/2021-2022" TargetMode="External"/><Relationship Id="rId50" Type="http://schemas.openxmlformats.org/officeDocument/2006/relationships/hyperlink" Target="https://www.eliteprospects.com/league/echl/stats/2018-2019" TargetMode="External"/><Relationship Id="rId104" Type="http://schemas.openxmlformats.org/officeDocument/2006/relationships/hyperlink" Target="https://www.eliteprospects.com/league/czechia/stats/2021-2022/playoffs" TargetMode="External"/><Relationship Id="rId125" Type="http://schemas.openxmlformats.org/officeDocument/2006/relationships/hyperlink" Target="https://www.eliteprospects.com/team/1601/czechia-u20/2018-2019?tab=stats" TargetMode="External"/><Relationship Id="rId146" Type="http://schemas.openxmlformats.org/officeDocument/2006/relationships/hyperlink" Target="https://www.eliteprospects.com/league/czechia-q/stats/2021-2022/qualification" TargetMode="External"/><Relationship Id="rId167" Type="http://schemas.openxmlformats.org/officeDocument/2006/relationships/hyperlink" Target="https://www.eliteprospects.com/team/19727/cracovia-krakow-u20/2018-2019?tab=stats" TargetMode="External"/><Relationship Id="rId188" Type="http://schemas.openxmlformats.org/officeDocument/2006/relationships/hyperlink" Target="https://www.eliteprospects.com/league/czechia2/stats/2019-2020" TargetMode="External"/><Relationship Id="rId311" Type="http://schemas.openxmlformats.org/officeDocument/2006/relationships/hyperlink" Target="https://www.eliteprospects.com/league/international-jr/stats/2020-2021" TargetMode="External"/><Relationship Id="rId332" Type="http://schemas.openxmlformats.org/officeDocument/2006/relationships/hyperlink" Target="https://www.eliteprospects.com/league/czechia/stats/2020-2021" TargetMode="External"/><Relationship Id="rId353" Type="http://schemas.openxmlformats.org/officeDocument/2006/relationships/hyperlink" Target="https://www.eliteprospects.com/league/czechia3/stats/2021-2022/playoffs" TargetMode="External"/><Relationship Id="rId374" Type="http://schemas.openxmlformats.org/officeDocument/2006/relationships/hyperlink" Target="https://www.eliteprospects.com/team/3461/hc-stadion-litom%C4%9B%C5%99ice/2021-2022?tab=stats" TargetMode="External"/><Relationship Id="rId395" Type="http://schemas.openxmlformats.org/officeDocument/2006/relationships/hyperlink" Target="https://www.eliteprospects.com/league/czechia/stats/2021-2022" TargetMode="External"/><Relationship Id="rId409" Type="http://schemas.openxmlformats.org/officeDocument/2006/relationships/hyperlink" Target="https://www.hokej.cz/hrac/kristaps-zile/5607414?t=q94l5kqneoefeyergn06ztwli3a2tnoolx2a5wly0eo09lh9mjh20nm" TargetMode="External"/><Relationship Id="rId71" Type="http://schemas.openxmlformats.org/officeDocument/2006/relationships/hyperlink" Target="https://www.eliteprospects.com/team/9328/ehc-freiburg/2018-2019?tab=stats" TargetMode="External"/><Relationship Id="rId92" Type="http://schemas.openxmlformats.org/officeDocument/2006/relationships/hyperlink" Target="https://www.eliteprospects.com/team/155/hc-litvinov/2021-2022?tab=stats" TargetMode="External"/><Relationship Id="rId213" Type="http://schemas.openxmlformats.org/officeDocument/2006/relationships/hyperlink" Target="https://www.hokej.cz/hrac/10102701?t=9oss9h1o5rxioi747gkdfhil5zki4mkc2ow%3C%21DOCTYPE%2BHTML%2BPUBLIC" TargetMode="External"/><Relationship Id="rId234" Type="http://schemas.openxmlformats.org/officeDocument/2006/relationships/hyperlink" Target="https://www.hokej.cz/hrac/10083186" TargetMode="External"/><Relationship Id="rId420" Type="http://schemas.openxmlformats.org/officeDocument/2006/relationships/hyperlink" Target="https://www.hokej.cz/hrac/marek-berka/51601?t=q94l5kqneoefeyergn06ztwli3a2tnoolx2a5wly0eo09lh9mjh20nm" TargetMode="External"/><Relationship Id="rId2" Type="http://schemas.openxmlformats.org/officeDocument/2006/relationships/hyperlink" Target="https://www.eliteprospects.com/league/czech/stats/2018-2019" TargetMode="External"/><Relationship Id="rId29" Type="http://schemas.openxmlformats.org/officeDocument/2006/relationships/hyperlink" Target="https://www.eliteprospects.com/league/czech/stats/2020-2021/playoffs" TargetMode="External"/><Relationship Id="rId255" Type="http://schemas.openxmlformats.org/officeDocument/2006/relationships/hyperlink" Target="https://www.hokej.cz/hrac/andrej-kudrna/7229427?t=15viya1rz6mv9add4wo7imlpfpzjoh9fo9gr2x5zqz58is07ju9av8k" TargetMode="External"/><Relationship Id="rId276" Type="http://schemas.openxmlformats.org/officeDocument/2006/relationships/hyperlink" Target="https://www.hokej.cz/hrac/radim-salda/19035?t=15viya1rz6mv9add4wo7imlpfpzjoh9fo9gr2x5zqz58is07ju9av8k" TargetMode="External"/><Relationship Id="rId297" Type="http://schemas.openxmlformats.org/officeDocument/2006/relationships/hyperlink" Target="https://www.eliteprospects.com/league/czechia2/stats/2022-2023" TargetMode="External"/><Relationship Id="rId40" Type="http://schemas.openxmlformats.org/officeDocument/2006/relationships/hyperlink" Target="https://www.eliteprospects.com/league/czech/stats/2020-2021" TargetMode="External"/><Relationship Id="rId115" Type="http://schemas.openxmlformats.org/officeDocument/2006/relationships/hyperlink" Target="https://www.eliteprospects.com/league/czechia2/stats/2020-2021" TargetMode="External"/><Relationship Id="rId136" Type="http://schemas.openxmlformats.org/officeDocument/2006/relationships/hyperlink" Target="https://www.eliteprospects.com/team/15659/mountfield-hk/2020-2021?tab=stats" TargetMode="External"/><Relationship Id="rId157" Type="http://schemas.openxmlformats.org/officeDocument/2006/relationships/hyperlink" Target="https://www.eliteprospects.com/team/637/hc-plze%C5%88/2019-2020?tab=stats" TargetMode="External"/><Relationship Id="rId178" Type="http://schemas.openxmlformats.org/officeDocument/2006/relationships/hyperlink" Target="https://www.eliteprospects.com/team/14520/poland-all/2018-2019?tab=stats" TargetMode="External"/><Relationship Id="rId301" Type="http://schemas.openxmlformats.org/officeDocument/2006/relationships/hyperlink" Target="https://www.eliteprospects.com/team/3714/hc-litvinov-u20/2020-2021?tab=stats" TargetMode="External"/><Relationship Id="rId322" Type="http://schemas.openxmlformats.org/officeDocument/2006/relationships/hyperlink" Target="https://www.eliteprospects.com/team/1565/hc-banik-sokolov/2022-2023?tab=stats" TargetMode="External"/><Relationship Id="rId343" Type="http://schemas.openxmlformats.org/officeDocument/2006/relationships/hyperlink" Target="https://www.eliteprospects.com/team/24585/moste%C4%8Dti-lvi/2022-2023?tab=stats" TargetMode="External"/><Relationship Id="rId364" Type="http://schemas.openxmlformats.org/officeDocument/2006/relationships/hyperlink" Target="https://www.eliteprospects.com/team/3461/hc-stadion-litom%C4%9B%C5%99ice/2020-2021?tab=stats" TargetMode="External"/><Relationship Id="rId61" Type="http://schemas.openxmlformats.org/officeDocument/2006/relationships/hyperlink" Target="https://www.eliteprospects.com/team/155/hc-verva-litvinov/2021-2022?tab=stats" TargetMode="External"/><Relationship Id="rId82" Type="http://schemas.openxmlformats.org/officeDocument/2006/relationships/hyperlink" Target="https://www.eliteprospects.com/league/czechia2/stats/2019-2020/playoffs" TargetMode="External"/><Relationship Id="rId199" Type="http://schemas.openxmlformats.org/officeDocument/2006/relationships/hyperlink" Target="https://www.eliteprospects.com/league/czechia/stats/2021-2022" TargetMode="External"/><Relationship Id="rId203" Type="http://schemas.openxmlformats.org/officeDocument/2006/relationships/hyperlink" Target="https://www.hokej.cz/hrac/7229427?t=9oss9h1o5rxioi747gkdfhil5zki4mkc2ow%3C%21DOCTYPE%2BHTML%2BPUBLIC" TargetMode="External"/><Relationship Id="rId385" Type="http://schemas.openxmlformats.org/officeDocument/2006/relationships/hyperlink" Target="https://www.eliteprospects.com/team/1418/sk-trha%C4%8Di-kada%C5%88/2020-2021?tab=stats" TargetMode="External"/><Relationship Id="rId19" Type="http://schemas.openxmlformats.org/officeDocument/2006/relationships/hyperlink" Target="https://www.eliteprospects.com/team/164/hc-sparta-praha/2020-2021?tab=stats" TargetMode="External"/><Relationship Id="rId224" Type="http://schemas.openxmlformats.org/officeDocument/2006/relationships/hyperlink" Target="https://www.hokej.cz/hrac/13792?t=9oss9h1o5rxioi747gkdfhil5zki4mkc2ow%3C%21DOCTYPE%2BHTML%2BPUBLIC" TargetMode="External"/><Relationship Id="rId245" Type="http://schemas.openxmlformats.org/officeDocument/2006/relationships/hyperlink" Target="https://www.hokej.cz/hrac/13305" TargetMode="External"/><Relationship Id="rId266" Type="http://schemas.openxmlformats.org/officeDocument/2006/relationships/hyperlink" Target="https://www.hokej.cz/hrac/ondrej-jurcik/11273?t=15viya1rz6mv9add4wo7imlpfpzjoh9fo9gr2x5zqz58is07ju9av8k" TargetMode="External"/><Relationship Id="rId287" Type="http://schemas.openxmlformats.org/officeDocument/2006/relationships/hyperlink" Target="https://www.eliteprospects.com/league/czechia/stats/2021-2022" TargetMode="External"/><Relationship Id="rId410" Type="http://schemas.openxmlformats.org/officeDocument/2006/relationships/hyperlink" Target="https://www.hokej.cz/hrac/ralfs-freibergs/10079557?t=q94l5kqneoefeyergn06ztwli3a2tnoolx2a5wly0eo09lh9mjh20nm" TargetMode="External"/><Relationship Id="rId431" Type="http://schemas.openxmlformats.org/officeDocument/2006/relationships/hyperlink" Target="https://www.eliteprospects.com/league/ncaa/stats/all-time" TargetMode="External"/><Relationship Id="rId30" Type="http://schemas.openxmlformats.org/officeDocument/2006/relationships/hyperlink" Target="https://www.eliteprospects.com/team/1632/slovakia/2020-2021?tab=stats" TargetMode="External"/><Relationship Id="rId105" Type="http://schemas.openxmlformats.org/officeDocument/2006/relationships/hyperlink" Target="https://www.eliteprospects.com/team/9882/orli-znojmo/2018-2019?tab=stats" TargetMode="External"/><Relationship Id="rId126" Type="http://schemas.openxmlformats.org/officeDocument/2006/relationships/hyperlink" Target="https://www.eliteprospects.com/league/wjc-20/stats/2018-2019" TargetMode="External"/><Relationship Id="rId147" Type="http://schemas.openxmlformats.org/officeDocument/2006/relationships/hyperlink" Target="https://www.eliteprospects.com/team/772/hc-vitkovice/2018-2019?tab=stats" TargetMode="External"/><Relationship Id="rId168" Type="http://schemas.openxmlformats.org/officeDocument/2006/relationships/hyperlink" Target="https://www.eliteprospects.com/league/poland-u20/stats/2018-2019" TargetMode="External"/><Relationship Id="rId312" Type="http://schemas.openxmlformats.org/officeDocument/2006/relationships/hyperlink" Target="https://www.eliteprospects.com/team/3714/hc-litvinov-u20/2021-2022?tab=stats" TargetMode="External"/><Relationship Id="rId333" Type="http://schemas.openxmlformats.org/officeDocument/2006/relationships/hyperlink" Target="https://www.eliteprospects.com/league/czechia-u20/stats/2021-2022" TargetMode="External"/><Relationship Id="rId354" Type="http://schemas.openxmlformats.org/officeDocument/2006/relationships/hyperlink" Target="https://www.eliteprospects.com/team/24585/moste%C4%8Dti-lvi/2022-2023?tab=stats" TargetMode="External"/><Relationship Id="rId51" Type="http://schemas.openxmlformats.org/officeDocument/2006/relationships/hyperlink" Target="https://www.eliteprospects.com/league/echl/stats/2018-2019/playoffs" TargetMode="External"/><Relationship Id="rId72" Type="http://schemas.openxmlformats.org/officeDocument/2006/relationships/hyperlink" Target="https://www.eliteprospects.com/league/del2/stats/2018-2019" TargetMode="External"/><Relationship Id="rId93" Type="http://schemas.openxmlformats.org/officeDocument/2006/relationships/hyperlink" Target="https://www.eliteprospects.com/league/czechia/stats/2021-2022" TargetMode="External"/><Relationship Id="rId189" Type="http://schemas.openxmlformats.org/officeDocument/2006/relationships/hyperlink" Target="https://www.eliteprospects.com/team/1648/poland/2019-2020?tab=stats" TargetMode="External"/><Relationship Id="rId375" Type="http://schemas.openxmlformats.org/officeDocument/2006/relationships/hyperlink" Target="https://www.eliteprospects.com/league/czechia2/stats/2021-2022" TargetMode="External"/><Relationship Id="rId396" Type="http://schemas.openxmlformats.org/officeDocument/2006/relationships/hyperlink" Target="https://www.eliteprospects.com/team/155/hc-litvinov/2022-2023?tab=stats" TargetMode="External"/><Relationship Id="rId3" Type="http://schemas.openxmlformats.org/officeDocument/2006/relationships/hyperlink" Target="https://www.eliteprospects.com/league/czech/stats/2018-2019/playoffs" TargetMode="External"/><Relationship Id="rId214" Type="http://schemas.openxmlformats.org/officeDocument/2006/relationships/hyperlink" Target="https://www.hokej.cz/hrac/10096884?t=9oss9h1o5rxioi747gkdfhil5zki4mkc2ow%3C%21DOCTYPE%2BHTML%2BPUBLIC" TargetMode="External"/><Relationship Id="rId235" Type="http://schemas.openxmlformats.org/officeDocument/2006/relationships/hyperlink" Target="https://www.hokej.cz/hrac/10077703" TargetMode="External"/><Relationship Id="rId256" Type="http://schemas.openxmlformats.org/officeDocument/2006/relationships/hyperlink" Target="https://www.hokej.cz/hrac/matus-sukel/2491887?t=15viya1rz6mv9add4wo7imlpfpzjoh9fo9gr2x5zqz58is07ju9av8k" TargetMode="External"/><Relationship Id="rId277" Type="http://schemas.openxmlformats.org/officeDocument/2006/relationships/hyperlink" Target="https://www.hokej.cz/hrac/tim-danielcak/10098484?t=15viya1rz6mv9add4wo7imlpfpzjoh9fo9gr2x5zqz58is07ju9av8k" TargetMode="External"/><Relationship Id="rId298" Type="http://schemas.openxmlformats.org/officeDocument/2006/relationships/hyperlink" Target="https://www.eliteprospects.com/league/czechia2/stats/2022-2023" TargetMode="External"/><Relationship Id="rId400" Type="http://schemas.openxmlformats.org/officeDocument/2006/relationships/hyperlink" Target="https://www.eliteprospects.com/league/czechia2/stats/2022-2023" TargetMode="External"/><Relationship Id="rId421" Type="http://schemas.openxmlformats.org/officeDocument/2006/relationships/hyperlink" Target="https://www.hokej.cz/hrac/jan-strejcek/13198?t=q94l5kqneoefeyergn06ztwli3a2tnoolx2a5wly0eo09lh9mjh20nm" TargetMode="External"/><Relationship Id="rId116" Type="http://schemas.openxmlformats.org/officeDocument/2006/relationships/hyperlink" Target="https://www.eliteprospects.com/league/czechia2/stats/2020-2021/playoffs" TargetMode="External"/><Relationship Id="rId137" Type="http://schemas.openxmlformats.org/officeDocument/2006/relationships/hyperlink" Target="https://www.eliteprospects.com/league/czechia/stats/2020-2021" TargetMode="External"/><Relationship Id="rId158" Type="http://schemas.openxmlformats.org/officeDocument/2006/relationships/hyperlink" Target="https://www.eliteprospects.com/league/czechia/stats/2019-2020" TargetMode="External"/><Relationship Id="rId302" Type="http://schemas.openxmlformats.org/officeDocument/2006/relationships/hyperlink" Target="https://www.eliteprospects.com/league/czechia-u20/stats/2020-2021" TargetMode="External"/><Relationship Id="rId323" Type="http://schemas.openxmlformats.org/officeDocument/2006/relationships/hyperlink" Target="https://www.eliteprospects.com/league/czechia2/stats/2022-2023" TargetMode="External"/><Relationship Id="rId344" Type="http://schemas.openxmlformats.org/officeDocument/2006/relationships/hyperlink" Target="https://www.eliteprospects.com/league/czechia3/stats/2022-2023" TargetMode="External"/><Relationship Id="rId20" Type="http://schemas.openxmlformats.org/officeDocument/2006/relationships/hyperlink" Target="https://www.eliteprospects.com/league/czech/stats/2020-2021" TargetMode="External"/><Relationship Id="rId41" Type="http://schemas.openxmlformats.org/officeDocument/2006/relationships/hyperlink" Target="https://www.eliteprospects.com/league/czech/stats/2020-2021/playoffs" TargetMode="External"/><Relationship Id="rId62" Type="http://schemas.openxmlformats.org/officeDocument/2006/relationships/hyperlink" Target="https://www.eliteprospects.com/league/czechia/stats/2021-2022" TargetMode="External"/><Relationship Id="rId83" Type="http://schemas.openxmlformats.org/officeDocument/2006/relationships/hyperlink" Target="https://www.eliteprospects.com/team/1163/hc-dukla-jihlava/2020-2021?tab=stats" TargetMode="External"/><Relationship Id="rId179" Type="http://schemas.openxmlformats.org/officeDocument/2006/relationships/hyperlink" Target="https://www.eliteprospects.com/league/international/stats/2018-2019" TargetMode="External"/><Relationship Id="rId365" Type="http://schemas.openxmlformats.org/officeDocument/2006/relationships/hyperlink" Target="https://www.eliteprospects.com/league/czechia2/stats/2020-2021" TargetMode="External"/><Relationship Id="rId386" Type="http://schemas.openxmlformats.org/officeDocument/2006/relationships/hyperlink" Target="https://www.eliteprospects.com/league/czechia2/stats/2020-2021" TargetMode="External"/><Relationship Id="rId190" Type="http://schemas.openxmlformats.org/officeDocument/2006/relationships/hyperlink" Target="https://www.eliteprospects.com/league/ogq/stats/2019-2020" TargetMode="External"/><Relationship Id="rId204" Type="http://schemas.openxmlformats.org/officeDocument/2006/relationships/hyperlink" Target="https://www.hokej.cz/hrac/14150?t=9oss9h1o5rxioi747gkdfhil5zki4mkc2ow%3C%21DOCTYPE%2BHTML%2BPUBLIC" TargetMode="External"/><Relationship Id="rId225" Type="http://schemas.openxmlformats.org/officeDocument/2006/relationships/hyperlink" Target="https://www.hokej.cz/hrac/18941?t=9oss9h1o5rxioi747gkdfhil5zki4mkc2ow%3C%21DOCTYPE%2BHTML%2BPUBLIC" TargetMode="External"/><Relationship Id="rId246" Type="http://schemas.openxmlformats.org/officeDocument/2006/relationships/hyperlink" Target="https://www.hokej.cz/hrac/10096884" TargetMode="External"/><Relationship Id="rId267" Type="http://schemas.openxmlformats.org/officeDocument/2006/relationships/hyperlink" Target="https://www.hokej.cz/hrac/filip-helt/17113?t=15viya1rz6mv9add4wo7imlpfpzjoh9fo9gr2x5zqz58is07ju9av8k" TargetMode="External"/><Relationship Id="rId288" Type="http://schemas.openxmlformats.org/officeDocument/2006/relationships/hyperlink" Target="https://www.eliteprospects.com/team/3461/hc-stadion-litom%C4%9B%C5%99ice/2021-2022?tab=stats" TargetMode="External"/><Relationship Id="rId411" Type="http://schemas.openxmlformats.org/officeDocument/2006/relationships/hyperlink" Target="https://www.hokej.cz/hrac/patrik-demel/14369?t=q94l5kqneoefeyergn06ztwli3a2tnoolx2a5wly0eo09lh9mjh20nm" TargetMode="External"/><Relationship Id="rId432" Type="http://schemas.openxmlformats.org/officeDocument/2006/relationships/hyperlink" Target="https://www.eliteprospects.com/league/liiga/stats/all-time" TargetMode="External"/><Relationship Id="rId106" Type="http://schemas.openxmlformats.org/officeDocument/2006/relationships/hyperlink" Target="https://www.eliteprospects.com/league/ebel/stats/2018-2019" TargetMode="External"/><Relationship Id="rId127" Type="http://schemas.openxmlformats.org/officeDocument/2006/relationships/hyperlink" Target="https://www.eliteprospects.com/league/wjc-20/stats/2018-2019" TargetMode="External"/><Relationship Id="rId313" Type="http://schemas.openxmlformats.org/officeDocument/2006/relationships/hyperlink" Target="https://www.eliteprospects.com/league/czechia-u20/stats/2021-2022" TargetMode="External"/><Relationship Id="rId10" Type="http://schemas.openxmlformats.org/officeDocument/2006/relationships/hyperlink" Target="https://www.eliteprospects.com/league/czech/stats/2018-2019/playoffs" TargetMode="External"/><Relationship Id="rId31" Type="http://schemas.openxmlformats.org/officeDocument/2006/relationships/hyperlink" Target="https://www.eliteprospects.com/league/wc/stats/2020-2021" TargetMode="External"/><Relationship Id="rId52" Type="http://schemas.openxmlformats.org/officeDocument/2006/relationships/hyperlink" Target="https://www.eliteprospects.com/team/1336/toronto-marlies/2019-2020?tab=stats" TargetMode="External"/><Relationship Id="rId73" Type="http://schemas.openxmlformats.org/officeDocument/2006/relationships/hyperlink" Target="https://www.eliteprospects.com/league/del2/stats/2018-2019" TargetMode="External"/><Relationship Id="rId94" Type="http://schemas.openxmlformats.org/officeDocument/2006/relationships/hyperlink" Target="https://www.eliteprospects.com/team/168/hk-poprad/2018-2019?tab=stats" TargetMode="External"/><Relationship Id="rId148" Type="http://schemas.openxmlformats.org/officeDocument/2006/relationships/hyperlink" Target="https://www.eliteprospects.com/league/czechia/stats/2018-2019" TargetMode="External"/><Relationship Id="rId169" Type="http://schemas.openxmlformats.org/officeDocument/2006/relationships/hyperlink" Target="https://www.eliteprospects.com/league/poland-u20/stats/2018-2019" TargetMode="External"/><Relationship Id="rId334" Type="http://schemas.openxmlformats.org/officeDocument/2006/relationships/hyperlink" Target="https://www.eliteprospects.com/league/czechia-u20/stats/2021-2022/relegation" TargetMode="External"/><Relationship Id="rId355" Type="http://schemas.openxmlformats.org/officeDocument/2006/relationships/hyperlink" Target="https://www.eliteprospects.com/league/czechia3/stats/2022-2023" TargetMode="External"/><Relationship Id="rId376" Type="http://schemas.openxmlformats.org/officeDocument/2006/relationships/hyperlink" Target="https://www.eliteprospects.com/team/9731/czechia-u20-all/2021-2022?tab=stats" TargetMode="External"/><Relationship Id="rId397" Type="http://schemas.openxmlformats.org/officeDocument/2006/relationships/hyperlink" Target="https://www.eliteprospects.com/league/czechia/stats/2022-2023" TargetMode="External"/><Relationship Id="rId4" Type="http://schemas.openxmlformats.org/officeDocument/2006/relationships/hyperlink" Target="https://www.eliteprospects.com/team/637/hc-plzen/2019-2020?tab=stats" TargetMode="External"/><Relationship Id="rId180" Type="http://schemas.openxmlformats.org/officeDocument/2006/relationships/hyperlink" Target="https://www.eliteprospects.com/league/international/stats/2018-2019" TargetMode="External"/><Relationship Id="rId215" Type="http://schemas.openxmlformats.org/officeDocument/2006/relationships/hyperlink" Target="https://www.hokej.cz/hrac/11296?t=9oss9h1o5rxioi747gkdfhil5zki4mkc2ow%3C%21DOCTYPE%2BHTML%2BPUBLIC" TargetMode="External"/><Relationship Id="rId236" Type="http://schemas.openxmlformats.org/officeDocument/2006/relationships/hyperlink" Target="https://www.hokej.cz/hrac/51601" TargetMode="External"/><Relationship Id="rId257" Type="http://schemas.openxmlformats.org/officeDocument/2006/relationships/hyperlink" Target="https://www.hokej.cz/hrac/nicolas-hlava/13667?t=15viya1rz6mv9add4wo7imlpfpzjoh9fo9gr2x5zqz58is07ju9av8k" TargetMode="External"/><Relationship Id="rId278" Type="http://schemas.openxmlformats.org/officeDocument/2006/relationships/hyperlink" Target="https://www.hokej.cz/hrac/lukas-stehlik/10077692?t=15viya1rz6mv9add4wo7imlpfpzjoh9fo9gr2x5zqz58is07ju9av8k" TargetMode="External"/><Relationship Id="rId401" Type="http://schemas.openxmlformats.org/officeDocument/2006/relationships/hyperlink" Target="https://www.hokej.cz/hrac/simon-stransky/15672?t=q94l5kqneoefeyergn06ztwli3a2tnoolx2a5wly0eo09lh9mjh20nm" TargetMode="External"/><Relationship Id="rId422" Type="http://schemas.openxmlformats.org/officeDocument/2006/relationships/hyperlink" Target="https://www.hokej.cz/hrac/radim-salda/19035?t=q94l5kqneoefeyergn06ztwli3a2tnoolx2a5wly0eo09lh9mjh20nm" TargetMode="External"/><Relationship Id="rId303" Type="http://schemas.openxmlformats.org/officeDocument/2006/relationships/hyperlink" Target="https://www.eliteprospects.com/league/czechia-u20/stats/2020-2021" TargetMode="External"/><Relationship Id="rId42" Type="http://schemas.openxmlformats.org/officeDocument/2006/relationships/hyperlink" Target="https://www.eliteprospects.com/league/czech/stats/2020-2021" TargetMode="External"/><Relationship Id="rId84" Type="http://schemas.openxmlformats.org/officeDocument/2006/relationships/hyperlink" Target="https://www.eliteprospects.com/league/czechia2/stats/2020-2021" TargetMode="External"/><Relationship Id="rId138" Type="http://schemas.openxmlformats.org/officeDocument/2006/relationships/hyperlink" Target="https://www.eliteprospects.com/league/czechia/stats/2020-2021/playoffs" TargetMode="External"/><Relationship Id="rId345" Type="http://schemas.openxmlformats.org/officeDocument/2006/relationships/hyperlink" Target="https://www.eliteprospects.com/team/1565/hc-banik-sokolov/2022-2023?tab=stats" TargetMode="External"/><Relationship Id="rId387" Type="http://schemas.openxmlformats.org/officeDocument/2006/relationships/hyperlink" Target="https://www.eliteprospects.com/team/1163/hc-dukla-jihlava/2021-2022?tab=stats" TargetMode="External"/><Relationship Id="rId191" Type="http://schemas.openxmlformats.org/officeDocument/2006/relationships/hyperlink" Target="https://www.eliteprospects.com/team/14520/poland-all/2019-2020?tab=stats" TargetMode="External"/><Relationship Id="rId205" Type="http://schemas.openxmlformats.org/officeDocument/2006/relationships/hyperlink" Target="https://www.hokej.cz/hrac/10099336?t=9oss9h1o5rxioi747gkdfhil5zki4mkc2ow%3C%21DOCTYPE%2BHTML%2BPUBLIC" TargetMode="External"/><Relationship Id="rId247" Type="http://schemas.openxmlformats.org/officeDocument/2006/relationships/hyperlink" Target="https://www.hokej.cz/hrac/17112" TargetMode="External"/><Relationship Id="rId412" Type="http://schemas.openxmlformats.org/officeDocument/2006/relationships/hyperlink" Target="https://www.hokej.cz/hrac/pawel-zygmunt/10096884?t=q94l5kqneoefeyergn06ztwli3a2tnoolx2a5wly0eo09lh9mjh20nm" TargetMode="External"/><Relationship Id="rId107" Type="http://schemas.openxmlformats.org/officeDocument/2006/relationships/hyperlink" Target="https://www.eliteprospects.com/league/ebel/stats/2018-2019/playoffs" TargetMode="External"/><Relationship Id="rId289" Type="http://schemas.openxmlformats.org/officeDocument/2006/relationships/hyperlink" Target="https://www.eliteprospects.com/league/czechia2/stats/2021-2022" TargetMode="External"/><Relationship Id="rId11" Type="http://schemas.openxmlformats.org/officeDocument/2006/relationships/hyperlink" Target="https://www.eliteprospects.com/team/12426/slovakia-all/2018-2019?tab=stats" TargetMode="External"/><Relationship Id="rId53" Type="http://schemas.openxmlformats.org/officeDocument/2006/relationships/hyperlink" Target="https://www.eliteprospects.com/league/ahl/stats/2019-2020" TargetMode="External"/><Relationship Id="rId149" Type="http://schemas.openxmlformats.org/officeDocument/2006/relationships/hyperlink" Target="https://www.eliteprospects.com/league/czechia/stats/2018-2019/playoffs" TargetMode="External"/><Relationship Id="rId314" Type="http://schemas.openxmlformats.org/officeDocument/2006/relationships/hyperlink" Target="https://www.eliteprospects.com/league/czechia-u20/stats/2021-2022/relegation" TargetMode="External"/><Relationship Id="rId356" Type="http://schemas.openxmlformats.org/officeDocument/2006/relationships/hyperlink" Target="https://www.eliteprospects.com/league/czechia3/stats/2022-2023" TargetMode="External"/><Relationship Id="rId398" Type="http://schemas.openxmlformats.org/officeDocument/2006/relationships/hyperlink" Target="https://www.eliteprospects.com/league/czechia/stats/2022-2023" TargetMode="External"/><Relationship Id="rId95" Type="http://schemas.openxmlformats.org/officeDocument/2006/relationships/hyperlink" Target="https://www.eliteprospects.com/league/slovakia/stats/2018-2019" TargetMode="External"/><Relationship Id="rId160" Type="http://schemas.openxmlformats.org/officeDocument/2006/relationships/hyperlink" Target="https://www.eliteprospects.com/team/155/hc-litvinov/2020-2021?tab=stats" TargetMode="External"/><Relationship Id="rId216" Type="http://schemas.openxmlformats.org/officeDocument/2006/relationships/hyperlink" Target="https://www.hokej.cz/hrac/14203?t=9oss9h1o5rxioi747gkdfhil5zki4mkc2ow%3C%21DOCTYPE%2BHTML%2BPUBLIC" TargetMode="External"/><Relationship Id="rId423" Type="http://schemas.openxmlformats.org/officeDocument/2006/relationships/hyperlink" Target="https://www.hokej.cz/hrac/lukas-valek/14465?t=q94l5kqneoefeyergn06ztwli3a2tnoolx2a5wly0eo09lh9mjh20nm" TargetMode="External"/><Relationship Id="rId258" Type="http://schemas.openxmlformats.org/officeDocument/2006/relationships/hyperlink" Target="https://www.hokej.cz/hrac/janis-jaks/10083186?t=15viya1rz6mv9add4wo7imlpfpzjoh9fo9gr2x5zqz58is07ju9av8k" TargetMode="External"/><Relationship Id="rId22" Type="http://schemas.openxmlformats.org/officeDocument/2006/relationships/hyperlink" Target="https://www.eliteprospects.com/team/164/hc-sparta-praha/2019-2020?tab=stats" TargetMode="External"/><Relationship Id="rId64" Type="http://schemas.openxmlformats.org/officeDocument/2006/relationships/hyperlink" Target="https://www.eliteprospects.com/team/155/hc-verva-litvinov/2021-2022?tab=stats" TargetMode="External"/><Relationship Id="rId118" Type="http://schemas.openxmlformats.org/officeDocument/2006/relationships/hyperlink" Target="https://www.eliteprospects.com/league/czechia/stats/2021-2022" TargetMode="External"/><Relationship Id="rId325" Type="http://schemas.openxmlformats.org/officeDocument/2006/relationships/hyperlink" Target="https://www.eliteprospects.com/league/czechia2/stats/2022-2023" TargetMode="External"/><Relationship Id="rId367" Type="http://schemas.openxmlformats.org/officeDocument/2006/relationships/hyperlink" Target="https://www.eliteprospects.com/team/9731/czechia-u20-all/2020-2021?tab=stats" TargetMode="External"/><Relationship Id="rId171" Type="http://schemas.openxmlformats.org/officeDocument/2006/relationships/hyperlink" Target="https://www.eliteprospects.com/league/poland/stats/2018-2019" TargetMode="External"/><Relationship Id="rId227" Type="http://schemas.openxmlformats.org/officeDocument/2006/relationships/hyperlink" Target="https://www.hokej.cz/hrac/10099336" TargetMode="External"/><Relationship Id="rId269" Type="http://schemas.openxmlformats.org/officeDocument/2006/relationships/hyperlink" Target="https://www.hokej.cz/hrac/martin-havelka/17112?t=15viya1rz6mv9add4wo7imlpfpzjoh9fo9gr2x5zqz58is07ju9av8k" TargetMode="External"/><Relationship Id="rId434" Type="http://schemas.openxmlformats.org/officeDocument/2006/relationships/hyperlink" Target="https://www.eliteprospects.com/league/ahl/stats/all-time" TargetMode="External"/><Relationship Id="rId33" Type="http://schemas.openxmlformats.org/officeDocument/2006/relationships/hyperlink" Target="https://www.eliteprospects.com/league/khl/stats/2018-2019" TargetMode="External"/><Relationship Id="rId129" Type="http://schemas.openxmlformats.org/officeDocument/2006/relationships/hyperlink" Target="https://www.eliteprospects.com/league/international-jr/stats/2018-2019" TargetMode="External"/><Relationship Id="rId280" Type="http://schemas.openxmlformats.org/officeDocument/2006/relationships/hyperlink" Target="https://www.eliteprospects.com/team/3714/hc-litvinov-u20/2020-2021?tab=stats" TargetMode="External"/><Relationship Id="rId336" Type="http://schemas.openxmlformats.org/officeDocument/2006/relationships/hyperlink" Target="https://www.eliteprospects.com/league/czechia/stats/2021-2022" TargetMode="External"/><Relationship Id="rId75" Type="http://schemas.openxmlformats.org/officeDocument/2006/relationships/hyperlink" Target="https://www.eliteprospects.com/league/germany3/stats/2018-2019" TargetMode="External"/><Relationship Id="rId140" Type="http://schemas.openxmlformats.org/officeDocument/2006/relationships/hyperlink" Target="https://www.eliteprospects.com/league/international/stats/2020-2021" TargetMode="External"/><Relationship Id="rId182" Type="http://schemas.openxmlformats.org/officeDocument/2006/relationships/hyperlink" Target="https://www.eliteprospects.com/league/czechia/stats/2019-2020" TargetMode="External"/><Relationship Id="rId378" Type="http://schemas.openxmlformats.org/officeDocument/2006/relationships/hyperlink" Target="https://www.eliteprospects.com/team/155/hc-litvinov/2022-2023?tab=stats" TargetMode="External"/><Relationship Id="rId403" Type="http://schemas.openxmlformats.org/officeDocument/2006/relationships/hyperlink" Target="https://www.hokej.cz/hrac/patrik-zdrahal/14150?t=q94l5kqneoefeyergn06ztwli3a2tnoolx2a5wly0eo09lh9mjh20nm" TargetMode="External"/><Relationship Id="rId6" Type="http://schemas.openxmlformats.org/officeDocument/2006/relationships/hyperlink" Target="https://www.eliteprospects.com/league/czech/stats/2020-2021" TargetMode="External"/><Relationship Id="rId238" Type="http://schemas.openxmlformats.org/officeDocument/2006/relationships/hyperlink" Target="https://www.hokej.cz/hrac/14203" TargetMode="External"/><Relationship Id="rId291" Type="http://schemas.openxmlformats.org/officeDocument/2006/relationships/hyperlink" Target="https://www.eliteprospects.com/team/1907/hc-d%C4%9B%C4%8Din/2021-2022?tab=stats" TargetMode="External"/><Relationship Id="rId305" Type="http://schemas.openxmlformats.org/officeDocument/2006/relationships/hyperlink" Target="https://www.eliteprospects.com/league/czechia/stats/2020-2021" TargetMode="External"/><Relationship Id="rId347" Type="http://schemas.openxmlformats.org/officeDocument/2006/relationships/hyperlink" Target="https://www.eliteprospects.com/team/3714/hc-litvinov-u20/2020-2021?tab=stats" TargetMode="External"/><Relationship Id="rId44" Type="http://schemas.openxmlformats.org/officeDocument/2006/relationships/hyperlink" Target="https://www.eliteprospects.com/league/czech/stats/2020-2021" TargetMode="External"/><Relationship Id="rId86" Type="http://schemas.openxmlformats.org/officeDocument/2006/relationships/hyperlink" Target="https://www.eliteprospects.com/team/155/hc-litvinov/2020-2021?tab=stats" TargetMode="External"/><Relationship Id="rId151" Type="http://schemas.openxmlformats.org/officeDocument/2006/relationships/hyperlink" Target="https://www.eliteprospects.com/league/czechia2/stats/2018-2019" TargetMode="External"/><Relationship Id="rId389" Type="http://schemas.openxmlformats.org/officeDocument/2006/relationships/hyperlink" Target="https://www.eliteprospects.com/league/czechia2/stats/2021-2022/playoffs" TargetMode="External"/><Relationship Id="rId193" Type="http://schemas.openxmlformats.org/officeDocument/2006/relationships/hyperlink" Target="https://www.eliteprospects.com/league/international/stats/2019-2020" TargetMode="External"/><Relationship Id="rId207" Type="http://schemas.openxmlformats.org/officeDocument/2006/relationships/hyperlink" Target="https://www.hokej.cz/hrac/2491887?t=9oss9h1o5rxioi747gkdfhil5zki4mkc2ow%3C%21DOCTYPE%2BHTML%2BPUBLIC" TargetMode="External"/><Relationship Id="rId249" Type="http://schemas.openxmlformats.org/officeDocument/2006/relationships/hyperlink" Target="https://www.hokej.cz/hrac/13198" TargetMode="External"/><Relationship Id="rId414" Type="http://schemas.openxmlformats.org/officeDocument/2006/relationships/hyperlink" Target="https://www.hokej.cz/hrac/michal-gut/10077703?t=q94l5kqneoefeyergn06ztwli3a2tnoolx2a5wly0eo09lh9mjh20nm" TargetMode="External"/><Relationship Id="rId13" Type="http://schemas.openxmlformats.org/officeDocument/2006/relationships/hyperlink" Target="https://www.eliteprospects.com/league/international/stats/2018-2019" TargetMode="External"/><Relationship Id="rId109" Type="http://schemas.openxmlformats.org/officeDocument/2006/relationships/hyperlink" Target="https://www.eliteprospects.com/league/czechia/stats/2019-2020" TargetMode="External"/><Relationship Id="rId260" Type="http://schemas.openxmlformats.org/officeDocument/2006/relationships/hyperlink" Target="https://www.hokej.cz/hrac/kristaps-zile/5607414?t=15viya1rz6mv9add4wo7imlpfpzjoh9fo9gr2x5zqz58is07ju9av8k" TargetMode="External"/><Relationship Id="rId316" Type="http://schemas.openxmlformats.org/officeDocument/2006/relationships/hyperlink" Target="https://www.eliteprospects.com/league/czechia/stats/2021-2022" TargetMode="External"/><Relationship Id="rId55" Type="http://schemas.openxmlformats.org/officeDocument/2006/relationships/hyperlink" Target="https://www.eliteprospects.com/league/echl/stats/2019-2020" TargetMode="External"/><Relationship Id="rId97" Type="http://schemas.openxmlformats.org/officeDocument/2006/relationships/hyperlink" Target="https://www.eliteprospects.com/team/169/hc-slovan-bratislava/2019-2020?tab=stats" TargetMode="External"/><Relationship Id="rId120" Type="http://schemas.openxmlformats.org/officeDocument/2006/relationships/hyperlink" Target="https://www.eliteprospects.com/league/czechia-q/stats/2021-2022" TargetMode="External"/><Relationship Id="rId358" Type="http://schemas.openxmlformats.org/officeDocument/2006/relationships/hyperlink" Target="https://www.eliteprospects.com/league/czechia2/stats/2022-2023" TargetMode="External"/><Relationship Id="rId162" Type="http://schemas.openxmlformats.org/officeDocument/2006/relationships/hyperlink" Target="https://www.eliteprospects.com/league/czechia/stats/2020-2021/playoffs" TargetMode="External"/><Relationship Id="rId218" Type="http://schemas.openxmlformats.org/officeDocument/2006/relationships/hyperlink" Target="https://www.hokej.cz/hrac/14369?t=9oss9h1o5rxioi747gkdfhil5zki4mkc2ow%3C%21DOCTYPE%2BHTML%2BPUBLIC" TargetMode="External"/><Relationship Id="rId425" Type="http://schemas.openxmlformats.org/officeDocument/2006/relationships/hyperlink" Target="https://www.hokej.cz/hrac/jiri-fronk/13792?t=q94l5kqneoefeyergn06ztwli3a2tnoolx2a5wly0eo09lh9mjh20nm" TargetMode="External"/><Relationship Id="rId271" Type="http://schemas.openxmlformats.org/officeDocument/2006/relationships/hyperlink" Target="https://www.hokej.cz/hrac/marek-berka/51601?t=15viya1rz6mv9add4wo7imlpfpzjoh9fo9gr2x5zqz58is07ju9av8k" TargetMode="External"/><Relationship Id="rId24" Type="http://schemas.openxmlformats.org/officeDocument/2006/relationships/hyperlink" Target="https://www.eliteprospects.com/team/12426/slovakia-all/2019-2020?tab=stats" TargetMode="External"/><Relationship Id="rId66" Type="http://schemas.openxmlformats.org/officeDocument/2006/relationships/hyperlink" Target="https://www.eliteprospects.com/team/155/hc-verva-litvinov/2021-2022?tab=stats" TargetMode="External"/><Relationship Id="rId131" Type="http://schemas.openxmlformats.org/officeDocument/2006/relationships/hyperlink" Target="https://www.eliteprospects.com/team/15659/mountfield-hk/2019-2020?tab=stats" TargetMode="External"/><Relationship Id="rId327" Type="http://schemas.openxmlformats.org/officeDocument/2006/relationships/hyperlink" Target="https://www.eliteprospects.com/league/czechia/stats/2022-2023" TargetMode="External"/><Relationship Id="rId369" Type="http://schemas.openxmlformats.org/officeDocument/2006/relationships/hyperlink" Target="https://www.eliteprospects.com/team/3714/hc-litvinov-u20/2021-2022?tab=stats" TargetMode="External"/><Relationship Id="rId173" Type="http://schemas.openxmlformats.org/officeDocument/2006/relationships/hyperlink" Target="https://www.eliteprospects.com/team/26846/pzhl-u23/2018-2019?tab=stats" TargetMode="External"/><Relationship Id="rId229" Type="http://schemas.openxmlformats.org/officeDocument/2006/relationships/hyperlink" Target="https://www.hokej.cz/hrac/14150" TargetMode="External"/><Relationship Id="rId380" Type="http://schemas.openxmlformats.org/officeDocument/2006/relationships/hyperlink" Target="https://www.eliteprospects.com/team/1565/hc-banik-sokolov/2022-2023?tab=stats" TargetMode="External"/><Relationship Id="rId436" Type="http://schemas.openxmlformats.org/officeDocument/2006/relationships/hyperlink" Target="https://www.eliteprospects.com/league/czechia/stats/all-time" TargetMode="External"/><Relationship Id="rId240" Type="http://schemas.openxmlformats.org/officeDocument/2006/relationships/hyperlink" Target="https://www.hokej.cz/hrac/17113" TargetMode="External"/><Relationship Id="rId35" Type="http://schemas.openxmlformats.org/officeDocument/2006/relationships/hyperlink" Target="https://www.eliteprospects.com/league/slovakia/stats/2018-2019" TargetMode="External"/><Relationship Id="rId77" Type="http://schemas.openxmlformats.org/officeDocument/2006/relationships/hyperlink" Target="https://www.eliteprospects.com/team/3089/fiemme/2018-2019?tab=stats" TargetMode="External"/><Relationship Id="rId100" Type="http://schemas.openxmlformats.org/officeDocument/2006/relationships/hyperlink" Target="https://www.eliteprospects.com/league/khl/stats/2020-2021" TargetMode="External"/><Relationship Id="rId282" Type="http://schemas.openxmlformats.org/officeDocument/2006/relationships/hyperlink" Target="https://www.eliteprospects.com/team/3461/hc-stadion-litom%C4%9B%C5%99ice/2020-2021?tab=stats" TargetMode="External"/><Relationship Id="rId338" Type="http://schemas.openxmlformats.org/officeDocument/2006/relationships/hyperlink" Target="https://www.eliteprospects.com/team/9875/czechia-u19-all/2021-2022?tab=stats" TargetMode="External"/><Relationship Id="rId8" Type="http://schemas.openxmlformats.org/officeDocument/2006/relationships/hyperlink" Target="https://www.eliteprospects.com/team/164/hc-sparta-praha/2018-2019?tab=stats" TargetMode="External"/><Relationship Id="rId142" Type="http://schemas.openxmlformats.org/officeDocument/2006/relationships/hyperlink" Target="https://www.eliteprospects.com/league/czechia/stats/2021-2022" TargetMode="External"/><Relationship Id="rId184" Type="http://schemas.openxmlformats.org/officeDocument/2006/relationships/hyperlink" Target="https://www.eliteprospects.com/team/1418/sk-trha%C4%8Di-kada%C5%88/2019-2020?tab=stats" TargetMode="External"/><Relationship Id="rId391" Type="http://schemas.openxmlformats.org/officeDocument/2006/relationships/hyperlink" Target="https://www.eliteprospects.com/league/czechia-q/stats/2021-2022" TargetMode="External"/><Relationship Id="rId405" Type="http://schemas.openxmlformats.org/officeDocument/2006/relationships/hyperlink" Target="https://www.hokej.cz/hrac/matus-sukel/2491887?t=q94l5kqneoefeyergn06ztwli3a2tnoolx2a5wly0eo09lh9mjh20nm" TargetMode="External"/><Relationship Id="rId251" Type="http://schemas.openxmlformats.org/officeDocument/2006/relationships/hyperlink" Target="https://www.hokej.cz/hrac/11273?t=9oss9h1o5rxioi747gkdfhil5zki4mkc2ow%3C%21DOCTYPE%2BHTML%2BPUBLIC" TargetMode="External"/><Relationship Id="rId46" Type="http://schemas.openxmlformats.org/officeDocument/2006/relationships/hyperlink" Target="https://www.eliteprospects.com/team/1336/toronto-marlies/2018-2019?tab=stats" TargetMode="External"/><Relationship Id="rId293" Type="http://schemas.openxmlformats.org/officeDocument/2006/relationships/hyperlink" Target="https://www.eliteprospects.com/league/czechia3/stats/2021-2022" TargetMode="External"/><Relationship Id="rId307" Type="http://schemas.openxmlformats.org/officeDocument/2006/relationships/hyperlink" Target="https://www.eliteprospects.com/team/3461/hc-stadion-litom%C4%9B%C5%99ice/2020-2021?tab=stats" TargetMode="External"/><Relationship Id="rId349" Type="http://schemas.openxmlformats.org/officeDocument/2006/relationships/hyperlink" Target="https://www.eliteprospects.com/team/30841/boston-advantage/2021-2022?tab=stats" TargetMode="External"/><Relationship Id="rId88" Type="http://schemas.openxmlformats.org/officeDocument/2006/relationships/hyperlink" Target="https://www.eliteprospects.com/league/czechia/stats/2020-2021" TargetMode="External"/><Relationship Id="rId111" Type="http://schemas.openxmlformats.org/officeDocument/2006/relationships/hyperlink" Target="https://www.eliteprospects.com/team/679/pirati-chomutov/2019-2020?tab=stats" TargetMode="External"/><Relationship Id="rId153" Type="http://schemas.openxmlformats.org/officeDocument/2006/relationships/hyperlink" Target="https://www.eliteprospects.com/league/international/stats/2018-2019" TargetMode="External"/><Relationship Id="rId195" Type="http://schemas.openxmlformats.org/officeDocument/2006/relationships/hyperlink" Target="https://www.eliteprospects.com/league/czechia/stats/2020-2021" TargetMode="External"/><Relationship Id="rId209" Type="http://schemas.openxmlformats.org/officeDocument/2006/relationships/hyperlink" Target="https://www.hokej.cz/hrac/10077703?t=9oss9h1o5rxioi747gkdfhil5zki4mkc2ow%3C%21DOCTYPE%2BHTML%2BPUBLIC" TargetMode="External"/><Relationship Id="rId360" Type="http://schemas.openxmlformats.org/officeDocument/2006/relationships/hyperlink" Target="https://www.eliteprospects.com/team/1565/hc-banik-sokolov/2022-2023?tab=stats" TargetMode="External"/><Relationship Id="rId416" Type="http://schemas.openxmlformats.org/officeDocument/2006/relationships/hyperlink" Target="https://www.hokej.cz/hrac/ondrej-jurcik/11273?t=q94l5kqneoefeyergn06ztwli3a2tnoolx2a5wly0eo09lh9mjh20nm" TargetMode="External"/><Relationship Id="rId220" Type="http://schemas.openxmlformats.org/officeDocument/2006/relationships/hyperlink" Target="https://www.hokej.cz/hrac/17112?t=9oss9h1o5rxioi747gkdfhil5zki4mkc2ow%3C%21DOCTYPE%2BHTML%2BPUBLIC" TargetMode="External"/><Relationship Id="rId15" Type="http://schemas.openxmlformats.org/officeDocument/2006/relationships/hyperlink" Target="https://www.eliteprospects.com/league/czech/stats/2019-2020" TargetMode="External"/><Relationship Id="rId57" Type="http://schemas.openxmlformats.org/officeDocument/2006/relationships/hyperlink" Target="https://www.eliteprospects.com/league/ahl/stats/2020-2021" TargetMode="External"/><Relationship Id="rId262" Type="http://schemas.openxmlformats.org/officeDocument/2006/relationships/hyperlink" Target="https://www.hokej.cz/hrac/pawel-zygmunt/10096884?t=15viya1rz6mv9add4wo7imlpfpzjoh9fo9gr2x5zqz58is07ju9av8k" TargetMode="External"/><Relationship Id="rId318" Type="http://schemas.openxmlformats.org/officeDocument/2006/relationships/hyperlink" Target="https://www.eliteprospects.com/team/3461/hc-stadion-litom%C4%9B%C5%99ice/2021-2022?tab=stats" TargetMode="External"/><Relationship Id="rId99" Type="http://schemas.openxmlformats.org/officeDocument/2006/relationships/hyperlink" Target="https://www.eliteprospects.com/team/198/severstal-cherepovets/2020-2021?tab=stats" TargetMode="External"/><Relationship Id="rId122" Type="http://schemas.openxmlformats.org/officeDocument/2006/relationships/hyperlink" Target="https://www.eliteprospects.com/team/889/rimouski-oceanic/2018-2019?tab=stats" TargetMode="External"/><Relationship Id="rId164" Type="http://schemas.openxmlformats.org/officeDocument/2006/relationships/hyperlink" Target="https://www.eliteprospects.com/league/international/stats/2020-2021" TargetMode="External"/><Relationship Id="rId371" Type="http://schemas.openxmlformats.org/officeDocument/2006/relationships/hyperlink" Target="https://www.eliteprospects.com/league/czechia-u20/stats/2021-2022/relegation" TargetMode="External"/><Relationship Id="rId427" Type="http://schemas.openxmlformats.org/officeDocument/2006/relationships/hyperlink" Target="https://www.hokej.cz/hrac/josef-jicha/15400?t=q94l5kqneoefeyergn06ztwli3a2tnoolx2a5wly0eo09lh9mjh20nm" TargetMode="External"/><Relationship Id="rId26" Type="http://schemas.openxmlformats.org/officeDocument/2006/relationships/hyperlink" Target="https://www.eliteprospects.com/league/international/stats/2019-2020" TargetMode="External"/><Relationship Id="rId231" Type="http://schemas.openxmlformats.org/officeDocument/2006/relationships/hyperlink" Target="https://www.hokej.cz/hrac/13667" TargetMode="External"/><Relationship Id="rId273" Type="http://schemas.openxmlformats.org/officeDocument/2006/relationships/hyperlink" Target="https://www.hokej.cz/hrac/lukas-valek/14465?t=15viya1rz6mv9add4wo7imlpfpzjoh9fo9gr2x5zqz58is07ju9av8k" TargetMode="External"/><Relationship Id="rId329" Type="http://schemas.openxmlformats.org/officeDocument/2006/relationships/hyperlink" Target="https://www.eliteprospects.com/league/czechia-u20/stats/2020-2021" TargetMode="External"/><Relationship Id="rId68" Type="http://schemas.openxmlformats.org/officeDocument/2006/relationships/hyperlink" Target="https://www.eliteprospects.com/league/czech/stats/2020-2021" TargetMode="External"/><Relationship Id="rId133" Type="http://schemas.openxmlformats.org/officeDocument/2006/relationships/hyperlink" Target="https://www.eliteprospects.com/league/czechia/stats/2019-2020/playoffs" TargetMode="External"/><Relationship Id="rId175" Type="http://schemas.openxmlformats.org/officeDocument/2006/relationships/hyperlink" Target="https://www.eliteprospects.com/league/poland/stats/2018-2019" TargetMode="External"/><Relationship Id="rId340" Type="http://schemas.openxmlformats.org/officeDocument/2006/relationships/hyperlink" Target="https://www.eliteprospects.com/league/czechia-u20/stats/2022-2023" TargetMode="External"/><Relationship Id="rId200" Type="http://schemas.openxmlformats.org/officeDocument/2006/relationships/hyperlink" Target="https://www.eliteprospects.com/team/1648/poland/2021-2022?tab=stats" TargetMode="External"/><Relationship Id="rId382" Type="http://schemas.openxmlformats.org/officeDocument/2006/relationships/hyperlink" Target="https://www.eliteprospects.com/team/155/hc-litvinov/2020-2021?tab=stats" TargetMode="External"/><Relationship Id="rId438" Type="http://schemas.openxmlformats.org/officeDocument/2006/relationships/printerSettings" Target="../printerSettings/printerSettings16.bin"/><Relationship Id="rId242" Type="http://schemas.openxmlformats.org/officeDocument/2006/relationships/hyperlink" Target="https://www.hokej.cz/hrac/10079557" TargetMode="External"/><Relationship Id="rId284" Type="http://schemas.openxmlformats.org/officeDocument/2006/relationships/hyperlink" Target="https://www.eliteprospects.com/league/czechia2/stats/2020-2021/playoffs" TargetMode="External"/><Relationship Id="rId37" Type="http://schemas.openxmlformats.org/officeDocument/2006/relationships/hyperlink" Target="https://www.eliteprospects.com/league/wc/stats/2018-2019" TargetMode="External"/><Relationship Id="rId79" Type="http://schemas.openxmlformats.org/officeDocument/2006/relationships/hyperlink" Target="https://www.eliteprospects.com/league/italy2/stats/2018-2019/playoffs" TargetMode="External"/><Relationship Id="rId102" Type="http://schemas.openxmlformats.org/officeDocument/2006/relationships/hyperlink" Target="https://www.eliteprospects.com/team/154/hc-motor-%C4%8Ceske-bud%C4%9Bjovice/2021-2022?tab=stats" TargetMode="External"/><Relationship Id="rId144" Type="http://schemas.openxmlformats.org/officeDocument/2006/relationships/hyperlink" Target="https://www.eliteprospects.com/league/czechia2/stats/2021-2022" TargetMode="External"/><Relationship Id="rId90" Type="http://schemas.openxmlformats.org/officeDocument/2006/relationships/hyperlink" Target="https://www.eliteprospects.com/league/czechia2/stats/2021-2022" TargetMode="External"/><Relationship Id="rId186" Type="http://schemas.openxmlformats.org/officeDocument/2006/relationships/hyperlink" Target="https://www.eliteprospects.com/league/czechia2/stats/2019-2020" TargetMode="External"/><Relationship Id="rId351" Type="http://schemas.openxmlformats.org/officeDocument/2006/relationships/hyperlink" Target="https://www.eliteprospects.com/team/24585/moste%C4%8Dti-lvi/2021-2022?tab=stats" TargetMode="External"/><Relationship Id="rId393" Type="http://schemas.openxmlformats.org/officeDocument/2006/relationships/hyperlink" Target="https://www.eliteprospects.com/team/155/hc-litvinov/2021-2022?tab=stats" TargetMode="External"/><Relationship Id="rId407" Type="http://schemas.openxmlformats.org/officeDocument/2006/relationships/hyperlink" Target="https://www.hokej.cz/hrac/janis-jaks/10083186?t=q94l5kqneoefeyergn06ztwli3a2tnoolx2a5wly0eo09lh9mjh20nm" TargetMode="External"/><Relationship Id="rId211" Type="http://schemas.openxmlformats.org/officeDocument/2006/relationships/hyperlink" Target="https://www.hokej.cz/hrac/5607414?t=9oss9h1o5rxioi747gkdfhil5zki4mkc2ow%3C%21DOCTYPE%2BHTML%2BPUBLIC" TargetMode="External"/><Relationship Id="rId253" Type="http://schemas.openxmlformats.org/officeDocument/2006/relationships/hyperlink" Target="https://www.hokej.cz/hrac/giorgio-estephan/10099336?t=15viya1rz6mv9add4wo7imlpfpzjoh9fo9gr2x5zqz58is07ju9av8k" TargetMode="External"/><Relationship Id="rId295" Type="http://schemas.openxmlformats.org/officeDocument/2006/relationships/hyperlink" Target="https://www.eliteprospects.com/league/czechia/stats/2022-2023" TargetMode="External"/><Relationship Id="rId309" Type="http://schemas.openxmlformats.org/officeDocument/2006/relationships/hyperlink" Target="https://www.eliteprospects.com/league/czechia2/stats/2020-2021/playoffs" TargetMode="External"/><Relationship Id="rId48" Type="http://schemas.openxmlformats.org/officeDocument/2006/relationships/hyperlink" Target="https://www.eliteprospects.com/league/ahl/stats/2018-2019" TargetMode="External"/><Relationship Id="rId113" Type="http://schemas.openxmlformats.org/officeDocument/2006/relationships/hyperlink" Target="https://www.eliteprospects.com/league/czechia2/stats/2019-2020" TargetMode="External"/><Relationship Id="rId320" Type="http://schemas.openxmlformats.org/officeDocument/2006/relationships/hyperlink" Target="https://www.eliteprospects.com/team/9731/czechia-u20-all/2021-2022?tab=stats" TargetMode="External"/><Relationship Id="rId155" Type="http://schemas.openxmlformats.org/officeDocument/2006/relationships/hyperlink" Target="https://www.eliteprospects.com/team/772/hc-vitkovice/2019-2020?tab=stats" TargetMode="External"/><Relationship Id="rId197" Type="http://schemas.openxmlformats.org/officeDocument/2006/relationships/hyperlink" Target="https://www.eliteprospects.com/team/155/hc-litvinov/2021-2022?tab=stats" TargetMode="External"/><Relationship Id="rId362" Type="http://schemas.openxmlformats.org/officeDocument/2006/relationships/hyperlink" Target="https://www.eliteprospects.com/team/3714/hc-litvinov-u20/2020-2021?tab=stats" TargetMode="External"/><Relationship Id="rId418" Type="http://schemas.openxmlformats.org/officeDocument/2006/relationships/hyperlink" Target="https://www.hokej.cz/hrac/filip-helt/17113?t=q94l5kqneoefeyergn06ztwli3a2tnoolx2a5wly0eo09lh9mjh20nm" TargetMode="External"/><Relationship Id="rId222" Type="http://schemas.openxmlformats.org/officeDocument/2006/relationships/hyperlink" Target="https://www.hokej.cz/hrac/51601?t=9oss9h1o5rxioi747gkdfhil5zki4mkc2ow%3C%21DOCTYPE%2BHTML%2BPUBLIC" TargetMode="External"/><Relationship Id="rId264" Type="http://schemas.openxmlformats.org/officeDocument/2006/relationships/hyperlink" Target="https://www.hokej.cz/hrac/patrik-demel/14369?t=15viya1rz6mv9add4wo7imlpfpzjoh9fo9gr2x5zqz58is07ju9av8k" TargetMode="External"/><Relationship Id="rId17" Type="http://schemas.openxmlformats.org/officeDocument/2006/relationships/hyperlink" Target="https://www.eliteprospects.com/league/international/stats/2019-2020" TargetMode="External"/><Relationship Id="rId59" Type="http://schemas.openxmlformats.org/officeDocument/2006/relationships/hyperlink" Target="https://www.eliteprospects.com/team/4800/kansas-city-mavericks/2020-2021?tab=stats" TargetMode="External"/><Relationship Id="rId124" Type="http://schemas.openxmlformats.org/officeDocument/2006/relationships/hyperlink" Target="https://www.eliteprospects.com/league/qmjhl/stats/2018-2019/playoffs" TargetMode="External"/><Relationship Id="rId70" Type="http://schemas.openxmlformats.org/officeDocument/2006/relationships/hyperlink" Target="https://www.eliteprospects.com/league/czech/stats/2020-2021" TargetMode="External"/><Relationship Id="rId166" Type="http://schemas.openxmlformats.org/officeDocument/2006/relationships/hyperlink" Target="https://www.eliteprospects.com/league/czechia/stats/2021-2022" TargetMode="External"/><Relationship Id="rId331" Type="http://schemas.openxmlformats.org/officeDocument/2006/relationships/hyperlink" Target="https://www.eliteprospects.com/league/czechia/stats/2020-2021" TargetMode="External"/><Relationship Id="rId373" Type="http://schemas.openxmlformats.org/officeDocument/2006/relationships/hyperlink" Target="https://www.eliteprospects.com/league/czechia/stats/2021-2022" TargetMode="External"/><Relationship Id="rId429" Type="http://schemas.openxmlformats.org/officeDocument/2006/relationships/hyperlink" Target="https://www.hokej.cz/hrac/daniel-kolar/13305?t=q94l5kqneoefeyergn06ztwli3a2tnoolx2a5wly0eo09lh9mjh20nm" TargetMode="External"/><Relationship Id="rId1" Type="http://schemas.openxmlformats.org/officeDocument/2006/relationships/hyperlink" Target="https://www.eliteprospects.com/team/637/hc-plzen/2018-2019?tab=stats" TargetMode="External"/><Relationship Id="rId233" Type="http://schemas.openxmlformats.org/officeDocument/2006/relationships/hyperlink" Target="https://www.hokej.cz/hrac/2491887" TargetMode="External"/><Relationship Id="rId28" Type="http://schemas.openxmlformats.org/officeDocument/2006/relationships/hyperlink" Target="https://www.eliteprospects.com/league/czech/stats/2020-2021" TargetMode="External"/><Relationship Id="rId275" Type="http://schemas.openxmlformats.org/officeDocument/2006/relationships/hyperlink" Target="https://www.hokej.cz/hrac/matej-chalupa/18941?t=15viya1rz6mv9add4wo7imlpfpzjoh9fo9gr2x5zqz58is07ju9av8k" TargetMode="External"/><Relationship Id="rId300" Type="http://schemas.openxmlformats.org/officeDocument/2006/relationships/hyperlink" Target="https://www.eliteprospects.com/league/czechia2/stats/2022-2023"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0.xml"/><Relationship Id="rId1" Type="http://schemas.openxmlformats.org/officeDocument/2006/relationships/printerSettings" Target="../printerSettings/printerSettings19.bin"/><Relationship Id="rId6" Type="http://schemas.microsoft.com/office/2017/10/relationships/threadedComment" Target="../threadedComments/threadedComment1.xml"/><Relationship Id="rId5" Type="http://schemas.openxmlformats.org/officeDocument/2006/relationships/comments" Target="../comments4.xml"/><Relationship Id="rId4" Type="http://schemas.openxmlformats.org/officeDocument/2006/relationships/table" Target="../tables/table7.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3" Type="http://schemas.openxmlformats.org/officeDocument/2006/relationships/hyperlink" Target="https://www.hokej.cz/hrac/ondrej-jurcik/11273?t=4" TargetMode="External"/><Relationship Id="rId18" Type="http://schemas.openxmlformats.org/officeDocument/2006/relationships/hyperlink" Target="https://www.hokej.cz/hrac/matej-mastalirsky/10096098?t=4" TargetMode="External"/><Relationship Id="rId26" Type="http://schemas.openxmlformats.org/officeDocument/2006/relationships/hyperlink" Target="https://www.hokej.cz/hrac/fabien-koci/4882181?t=4" TargetMode="External"/><Relationship Id="rId39" Type="http://schemas.openxmlformats.org/officeDocument/2006/relationships/hyperlink" Target="https://www.hokej.cz/hrac/ondrej-jurcik/11273" TargetMode="External"/><Relationship Id="rId21" Type="http://schemas.openxmlformats.org/officeDocument/2006/relationships/hyperlink" Target="https://www.hokej.cz/hrac/pawel-zygmunt/10096884?t=4" TargetMode="External"/><Relationship Id="rId34" Type="http://schemas.openxmlformats.org/officeDocument/2006/relationships/hyperlink" Target="https://www.hokej.cz/hrac/nicolas-hlava/13667" TargetMode="External"/><Relationship Id="rId42" Type="http://schemas.openxmlformats.org/officeDocument/2006/relationships/hyperlink" Target="https://www.hokej.cz/hrac/radim-salda/19035" TargetMode="External"/><Relationship Id="rId47" Type="http://schemas.openxmlformats.org/officeDocument/2006/relationships/hyperlink" Target="https://www.hokej.cz/hrac/matej-mastalirsky/10096098" TargetMode="External"/><Relationship Id="rId50" Type="http://schemas.openxmlformats.org/officeDocument/2006/relationships/hyperlink" Target="https://www.hokej.cz/hrac/jan-strejcek/13198" TargetMode="External"/><Relationship Id="rId7" Type="http://schemas.openxmlformats.org/officeDocument/2006/relationships/hyperlink" Target="https://www.hokej.cz/hrac/janis-jaks/10083186?t=4" TargetMode="External"/><Relationship Id="rId2" Type="http://schemas.openxmlformats.org/officeDocument/2006/relationships/hyperlink" Target="https://www.hokej.cz/hrac/david-kase/15634?t=4" TargetMode="External"/><Relationship Id="rId16" Type="http://schemas.openxmlformats.org/officeDocument/2006/relationships/hyperlink" Target="https://www.hokej.cz/hrac/michal-gut/10077703?t=4" TargetMode="External"/><Relationship Id="rId29" Type="http://schemas.openxmlformats.org/officeDocument/2006/relationships/hyperlink" Target="https://www.hokej.cz/hrac/liam-kirk/10096404" TargetMode="External"/><Relationship Id="rId11" Type="http://schemas.openxmlformats.org/officeDocument/2006/relationships/hyperlink" Target="https://www.hokej.cz/hrac/kristaps-zile/5607414?t=4" TargetMode="External"/><Relationship Id="rId24" Type="http://schemas.openxmlformats.org/officeDocument/2006/relationships/hyperlink" Target="https://www.hokej.cz/hrac/ondrej-balaz/10079354?t=4" TargetMode="External"/><Relationship Id="rId32" Type="http://schemas.openxmlformats.org/officeDocument/2006/relationships/hyperlink" Target="https://www.hokej.cz/hrac/marek-baranek/13911" TargetMode="External"/><Relationship Id="rId37" Type="http://schemas.openxmlformats.org/officeDocument/2006/relationships/hyperlink" Target="https://www.hokej.cz/hrac/kristaps-zile/5607414" TargetMode="External"/><Relationship Id="rId40" Type="http://schemas.openxmlformats.org/officeDocument/2006/relationships/hyperlink" Target="https://www.hokej.cz/hrac/janis-jaks/10083186" TargetMode="External"/><Relationship Id="rId45" Type="http://schemas.openxmlformats.org/officeDocument/2006/relationships/hyperlink" Target="https://www.hokej.cz/hrac/michal-gut/10077703" TargetMode="External"/><Relationship Id="rId5" Type="http://schemas.openxmlformats.org/officeDocument/2006/relationships/hyperlink" Target="https://www.hokej.cz/hrac/jindrich-abdul/14203?t=4" TargetMode="External"/><Relationship Id="rId15" Type="http://schemas.openxmlformats.org/officeDocument/2006/relationships/hyperlink" Target="https://www.hokej.cz/hrac/kevin-czuczman/318277?t=4" TargetMode="External"/><Relationship Id="rId23" Type="http://schemas.openxmlformats.org/officeDocument/2006/relationships/hyperlink" Target="https://www.hokej.cz/hrac/martin-havelka/17112?t=4" TargetMode="External"/><Relationship Id="rId28" Type="http://schemas.openxmlformats.org/officeDocument/2006/relationships/hyperlink" Target="https://www.hokej.cz/hrac/jan-strejcek/13198?t=4" TargetMode="External"/><Relationship Id="rId36" Type="http://schemas.openxmlformats.org/officeDocument/2006/relationships/hyperlink" Target="https://www.hokej.cz/hrac/jindrich-abdul/14203" TargetMode="External"/><Relationship Id="rId49" Type="http://schemas.openxmlformats.org/officeDocument/2006/relationships/hyperlink" Target="https://www.hokej.cz/hrac/kevin-czuczman/318277" TargetMode="External"/><Relationship Id="rId10" Type="http://schemas.openxmlformats.org/officeDocument/2006/relationships/hyperlink" Target="https://www.hokej.cz/hrac/lukas-valek/14465?t=4" TargetMode="External"/><Relationship Id="rId19" Type="http://schemas.openxmlformats.org/officeDocument/2006/relationships/hyperlink" Target="https://www.hokej.cz/hrac/denis-zeman/51841?t=4" TargetMode="External"/><Relationship Id="rId31" Type="http://schemas.openxmlformats.org/officeDocument/2006/relationships/hyperlink" Target="https://www.hokej.cz/hrac/david-kase/15634" TargetMode="External"/><Relationship Id="rId44" Type="http://schemas.openxmlformats.org/officeDocument/2006/relationships/hyperlink" Target="https://www.hokej.cz/hrac/lukas-valek/14465" TargetMode="External"/><Relationship Id="rId52" Type="http://schemas.openxmlformats.org/officeDocument/2006/relationships/printerSettings" Target="../printerSettings/printerSettings21.bin"/><Relationship Id="rId4" Type="http://schemas.openxmlformats.org/officeDocument/2006/relationships/hyperlink" Target="https://www.hokej.cz/hrac/nicolas-hlava/13667?t=4" TargetMode="External"/><Relationship Id="rId9" Type="http://schemas.openxmlformats.org/officeDocument/2006/relationships/hyperlink" Target="https://www.hokej.cz/hrac/marek-baranek/13911?t=4" TargetMode="External"/><Relationship Id="rId14" Type="http://schemas.openxmlformats.org/officeDocument/2006/relationships/hyperlink" Target="https://www.hokej.cz/hrac/patrik-demel/14369?t=4" TargetMode="External"/><Relationship Id="rId22" Type="http://schemas.openxmlformats.org/officeDocument/2006/relationships/hyperlink" Target="https://www.hokej.cz/hrac/radim-salda/19035?t=4" TargetMode="External"/><Relationship Id="rId27" Type="http://schemas.openxmlformats.org/officeDocument/2006/relationships/hyperlink" Target="https://www.hokej.cz/hrac/marek-slavik/10079423?t=4" TargetMode="External"/><Relationship Id="rId30" Type="http://schemas.openxmlformats.org/officeDocument/2006/relationships/hyperlink" Target="https://www.hokej.cz/hrac/petr-koblasa/13233" TargetMode="External"/><Relationship Id="rId35" Type="http://schemas.openxmlformats.org/officeDocument/2006/relationships/hyperlink" Target="https://www.hokej.cz/hrac/matus-sukel/2491887" TargetMode="External"/><Relationship Id="rId43" Type="http://schemas.openxmlformats.org/officeDocument/2006/relationships/hyperlink" Target="https://www.hokej.cz/hrac/patrik-demel/14369" TargetMode="External"/><Relationship Id="rId48" Type="http://schemas.openxmlformats.org/officeDocument/2006/relationships/hyperlink" Target="https://www.hokej.cz/hrac/martin-havelka/17112" TargetMode="External"/><Relationship Id="rId8" Type="http://schemas.openxmlformats.org/officeDocument/2006/relationships/hyperlink" Target="https://www.hokej.cz/hrac/andrej-kudrna/7229427?t=4" TargetMode="External"/><Relationship Id="rId51" Type="http://schemas.openxmlformats.org/officeDocument/2006/relationships/hyperlink" Target="https://www.hokej.cz/hrac/denis-zeman/51841" TargetMode="External"/><Relationship Id="rId3" Type="http://schemas.openxmlformats.org/officeDocument/2006/relationships/hyperlink" Target="https://www.hokej.cz/hrac/petr-koblasa/13233?t=4" TargetMode="External"/><Relationship Id="rId12" Type="http://schemas.openxmlformats.org/officeDocument/2006/relationships/hyperlink" Target="https://www.hokej.cz/hrac/matus-sukel/2491887?t=4" TargetMode="External"/><Relationship Id="rId17" Type="http://schemas.openxmlformats.org/officeDocument/2006/relationships/hyperlink" Target="https://www.hokej.cz/hrac/tomas-urban/4859314?t=4" TargetMode="External"/><Relationship Id="rId25" Type="http://schemas.openxmlformats.org/officeDocument/2006/relationships/hyperlink" Target="https://www.hokej.cz/hrac/otakar-sik/36281?t=4" TargetMode="External"/><Relationship Id="rId33" Type="http://schemas.openxmlformats.org/officeDocument/2006/relationships/hyperlink" Target="https://www.hokej.cz/hrac/ondrej-kase/14405" TargetMode="External"/><Relationship Id="rId38" Type="http://schemas.openxmlformats.org/officeDocument/2006/relationships/hyperlink" Target="https://www.hokej.cz/hrac/andrej-kudrna/7229427" TargetMode="External"/><Relationship Id="rId46" Type="http://schemas.openxmlformats.org/officeDocument/2006/relationships/hyperlink" Target="https://www.hokej.cz/hrac/josef-jicha/15400" TargetMode="External"/><Relationship Id="rId20" Type="http://schemas.openxmlformats.org/officeDocument/2006/relationships/hyperlink" Target="https://www.hokej.cz/hrac/josef-jicha/15400?t=4" TargetMode="External"/><Relationship Id="rId41" Type="http://schemas.openxmlformats.org/officeDocument/2006/relationships/hyperlink" Target="https://www.hokej.cz/hrac/pawel-zygmunt/10096884" TargetMode="External"/><Relationship Id="rId1" Type="http://schemas.openxmlformats.org/officeDocument/2006/relationships/hyperlink" Target="https://www.hokej.cz/hrac/ondrej-kase/14405?t=4" TargetMode="External"/><Relationship Id="rId6" Type="http://schemas.openxmlformats.org/officeDocument/2006/relationships/hyperlink" Target="https://www.hokej.cz/hrac/liam-kirk/10096404?t=4" TargetMode="External"/></Relationships>
</file>

<file path=xl/worksheets/_rels/sheet2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2.bin"/><Relationship Id="rId4" Type="http://schemas.microsoft.com/office/2017/10/relationships/threadedComment" Target="../threadedComments/threadedComment2.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1.xml"/><Relationship Id="rId1" Type="http://schemas.openxmlformats.org/officeDocument/2006/relationships/printerSettings" Target="../printerSettings/printerSettings23.bin"/><Relationship Id="rId6" Type="http://schemas.microsoft.com/office/2017/10/relationships/threadedComment" Target="../threadedComments/threadedComment3.xml"/><Relationship Id="rId5" Type="http://schemas.openxmlformats.org/officeDocument/2006/relationships/comments" Target="../comments6.xml"/><Relationship Id="rId4" Type="http://schemas.openxmlformats.org/officeDocument/2006/relationships/table" Target="../tables/table8.xml"/></Relationships>
</file>

<file path=xl/worksheets/_rels/sheet30.xml.rels><?xml version="1.0" encoding="UTF-8" standalone="yes"?>
<Relationships xmlns="http://schemas.openxmlformats.org/package/2006/relationships"><Relationship Id="rId117" Type="http://schemas.openxmlformats.org/officeDocument/2006/relationships/hyperlink" Target="https://www.hokej.cz/hrac/vojtech-husinecky/10095992" TargetMode="External"/><Relationship Id="rId21" Type="http://schemas.openxmlformats.org/officeDocument/2006/relationships/hyperlink" Target="https://www.hokej.cz/hrac/kristaps-zile/5607414" TargetMode="External"/><Relationship Id="rId42" Type="http://schemas.openxmlformats.org/officeDocument/2006/relationships/hyperlink" Target="https://www.hokej.cz/hrac/marek-berka/51601" TargetMode="External"/><Relationship Id="rId63" Type="http://schemas.openxmlformats.org/officeDocument/2006/relationships/hyperlink" Target="https://www.hokej.cz/hrac/filip-sandberg/5609597" TargetMode="External"/><Relationship Id="rId84" Type="http://schemas.openxmlformats.org/officeDocument/2006/relationships/hyperlink" Target="https://www.hokej.cz/hrac/joni-ikonen/10110660" TargetMode="External"/><Relationship Id="rId16" Type="http://schemas.openxmlformats.org/officeDocument/2006/relationships/hyperlink" Target="https://www.hokej.cz/hrac/matus-sukel/2491887" TargetMode="External"/><Relationship Id="rId107" Type="http://schemas.openxmlformats.org/officeDocument/2006/relationships/hyperlink" Target="https://www.hokej.cz/hrac/kevin-czuczman/318277" TargetMode="External"/><Relationship Id="rId11" Type="http://schemas.openxmlformats.org/officeDocument/2006/relationships/hyperlink" Target="https://www.hokej.cz/tipsport-extraliga/stats-center?season=2024&amp;competition=7230&amp;team=823&amp;yearFrom=&amp;stranger=0&amp;state=&amp;stats-order=pm&amp;stats-direction=desc&amp;stats-all=1" TargetMode="External"/><Relationship Id="rId32" Type="http://schemas.openxmlformats.org/officeDocument/2006/relationships/hyperlink" Target="https://www.hokej.cz/hrac/vojtech-husinecky/10095992" TargetMode="External"/><Relationship Id="rId37" Type="http://schemas.openxmlformats.org/officeDocument/2006/relationships/hyperlink" Target="https://www.hokej.cz/hrac/marek-slavik/10079423" TargetMode="External"/><Relationship Id="rId53" Type="http://schemas.openxmlformats.org/officeDocument/2006/relationships/hyperlink" Target="https://www.hokej.cz/tipsport-extraliga/stats-center?season=2024&amp;competition=7230&amp;team=823&amp;yearFrom=&amp;stranger=0&amp;state=&amp;stats-order=gpp&amp;stats-direction=desc&amp;stats-all=1" TargetMode="External"/><Relationship Id="rId58" Type="http://schemas.openxmlformats.org/officeDocument/2006/relationships/hyperlink" Target="https://www.hokej.cz/tipsport-extraliga/stats-center?season=2024&amp;competition=7230&amp;team=823&amp;yearFrom=&amp;stranger=0&amp;state=&amp;stats-order=tm&amp;stats-direction=desc&amp;stats-all=1" TargetMode="External"/><Relationship Id="rId74" Type="http://schemas.openxmlformats.org/officeDocument/2006/relationships/hyperlink" Target="https://www.hokej.cz/hrac/matej-pekar/21361" TargetMode="External"/><Relationship Id="rId79" Type="http://schemas.openxmlformats.org/officeDocument/2006/relationships/hyperlink" Target="https://www.hokej.cz/hrac/ondrej-jurcik/11273" TargetMode="External"/><Relationship Id="rId102" Type="http://schemas.openxmlformats.org/officeDocument/2006/relationships/hyperlink" Target="https://www.hokej.cz/hrac/jared-mcisaac/10083303" TargetMode="External"/><Relationship Id="rId123" Type="http://schemas.openxmlformats.org/officeDocument/2006/relationships/hyperlink" Target="https://www.hokej.cz/hrac/michal-hradek/4132419" TargetMode="External"/><Relationship Id="rId128" Type="http://schemas.openxmlformats.org/officeDocument/2006/relationships/hyperlink" Target="https://www.hokej.cz/hrac/jan-sprynar/10096100" TargetMode="External"/><Relationship Id="rId5" Type="http://schemas.openxmlformats.org/officeDocument/2006/relationships/hyperlink" Target="https://www.hokej.cz/tipsport-extraliga/stats-center?season=2024&amp;competition=7230&amp;team=823&amp;yearFrom=&amp;stranger=0&amp;state=&amp;stats-order=s&amp;stats-direction=desc&amp;stats-all=1" TargetMode="External"/><Relationship Id="rId90" Type="http://schemas.openxmlformats.org/officeDocument/2006/relationships/hyperlink" Target="https://www.hokej.cz/hrac/michal-hradek/4132419" TargetMode="External"/><Relationship Id="rId95" Type="http://schemas.openxmlformats.org/officeDocument/2006/relationships/hyperlink" Target="https://www.hokej.cz/hrac/vit-beran/10085848" TargetMode="External"/><Relationship Id="rId22" Type="http://schemas.openxmlformats.org/officeDocument/2006/relationships/hyperlink" Target="https://www.hokej.cz/hrac/michal-gut/10077703" TargetMode="External"/><Relationship Id="rId27" Type="http://schemas.openxmlformats.org/officeDocument/2006/relationships/hyperlink" Target="https://www.hokej.cz/hrac/matej-pekar/21361" TargetMode="External"/><Relationship Id="rId43" Type="http://schemas.openxmlformats.org/officeDocument/2006/relationships/hyperlink" Target="https://www.hokej.cz/hrac/pawel-zygmunt/10096884" TargetMode="External"/><Relationship Id="rId48" Type="http://schemas.openxmlformats.org/officeDocument/2006/relationships/hyperlink" Target="https://www.hokej.cz/tipsport-extraliga/stats-center?season=2024&amp;competition=7230&amp;team=823&amp;yearFrom=&amp;stranger=0&amp;state=&amp;stats-order=g&amp;stats-direction=desc&amp;stats-all=1" TargetMode="External"/><Relationship Id="rId64" Type="http://schemas.openxmlformats.org/officeDocument/2006/relationships/hyperlink" Target="https://www.hokej.cz/hrac/petr-koblasa/13233" TargetMode="External"/><Relationship Id="rId69" Type="http://schemas.openxmlformats.org/officeDocument/2006/relationships/hyperlink" Target="https://www.hokej.cz/hrac/maxim-cajkovic/35951" TargetMode="External"/><Relationship Id="rId113" Type="http://schemas.openxmlformats.org/officeDocument/2006/relationships/hyperlink" Target="https://www.hokej.cz/hrac/pawel-zygmunt/10096884" TargetMode="External"/><Relationship Id="rId118" Type="http://schemas.openxmlformats.org/officeDocument/2006/relationships/hyperlink" Target="https://www.hokej.cz/hrac/ondrej-balaz/10079354" TargetMode="External"/><Relationship Id="rId134" Type="http://schemas.openxmlformats.org/officeDocument/2006/relationships/drawing" Target="../drawings/drawing12.xml"/><Relationship Id="rId80" Type="http://schemas.openxmlformats.org/officeDocument/2006/relationships/hyperlink" Target="https://www.hokej.cz/hrac/jan-sprynar/10096100" TargetMode="External"/><Relationship Id="rId85" Type="http://schemas.openxmlformats.org/officeDocument/2006/relationships/hyperlink" Target="https://www.hokej.cz/hrac/ondrej-balaz/10079354" TargetMode="External"/><Relationship Id="rId12" Type="http://schemas.openxmlformats.org/officeDocument/2006/relationships/hyperlink" Target="https://www.hokej.cz/tipsport-extraliga/stats-center?season=2024&amp;competition=7230&amp;team=823&amp;yearFrom=&amp;stranger=0&amp;state=&amp;stats-order=tm&amp;stats-direction=desc&amp;stats-all=1" TargetMode="External"/><Relationship Id="rId17" Type="http://schemas.openxmlformats.org/officeDocument/2006/relationships/hyperlink" Target="https://www.hokej.cz/hrac/petr-koblasa/13233" TargetMode="External"/><Relationship Id="rId33" Type="http://schemas.openxmlformats.org/officeDocument/2006/relationships/hyperlink" Target="https://www.hokej.cz/hrac/jaroslav-broz/34221" TargetMode="External"/><Relationship Id="rId38" Type="http://schemas.openxmlformats.org/officeDocument/2006/relationships/hyperlink" Target="https://www.hokej.cz/hrac/robert-cerny/14396" TargetMode="External"/><Relationship Id="rId59" Type="http://schemas.openxmlformats.org/officeDocument/2006/relationships/hyperlink" Target="https://www.hokej.cz/tipsport-extraliga/stats-center?season=2024&amp;competition=7230&amp;team=823&amp;yearFrom=&amp;stranger=0&amp;state=&amp;stats-order=tim&amp;stats-direction=desc&amp;stats-all=1" TargetMode="External"/><Relationship Id="rId103" Type="http://schemas.openxmlformats.org/officeDocument/2006/relationships/hyperlink" Target="https://www.hokej.cz/hrac/kristaps-zile/5607414" TargetMode="External"/><Relationship Id="rId108" Type="http://schemas.openxmlformats.org/officeDocument/2006/relationships/hyperlink" Target="https://www.hokej.cz/hrac/denis-zeman/51841" TargetMode="External"/><Relationship Id="rId124" Type="http://schemas.openxmlformats.org/officeDocument/2006/relationships/hyperlink" Target="https://www.hokej.cz/hrac/marek-berka/51601" TargetMode="External"/><Relationship Id="rId129" Type="http://schemas.openxmlformats.org/officeDocument/2006/relationships/hyperlink" Target="https://www.hokej.cz/hrac/jaroslav-broz/34221" TargetMode="External"/><Relationship Id="rId54" Type="http://schemas.openxmlformats.org/officeDocument/2006/relationships/hyperlink" Target="https://www.hokej.cz/tipsport-extraliga/stats-center?season=2024&amp;competition=7230&amp;team=823&amp;yearFrom=&amp;stranger=0&amp;state=&amp;stats-order=ppp&amp;stats-direction=desc&amp;stats-all=1" TargetMode="External"/><Relationship Id="rId70" Type="http://schemas.openxmlformats.org/officeDocument/2006/relationships/hyperlink" Target="https://www.hokej.cz/hrac/josef-jicha/15400" TargetMode="External"/><Relationship Id="rId75" Type="http://schemas.openxmlformats.org/officeDocument/2006/relationships/hyperlink" Target="https://www.hokej.cz/hrac/frantisek-gajdos/10082068" TargetMode="External"/><Relationship Id="rId91" Type="http://schemas.openxmlformats.org/officeDocument/2006/relationships/hyperlink" Target="https://www.hokej.cz/hrac/jakub-winkelhofer/10099779" TargetMode="External"/><Relationship Id="rId96" Type="http://schemas.openxmlformats.org/officeDocument/2006/relationships/hyperlink" Target="https://www.hokej.cz/hrac/ondrej-kase/14405" TargetMode="External"/><Relationship Id="rId1" Type="http://schemas.openxmlformats.org/officeDocument/2006/relationships/hyperlink" Target="https://www.hokej.cz/tipsport-extraliga/stats-center?season=2024&amp;competition=7230&amp;team=823&amp;yearFrom=&amp;stranger=0&amp;state=&amp;stats-order=t&amp;stats-direction=desc&amp;stats-all=1" TargetMode="External"/><Relationship Id="rId6" Type="http://schemas.openxmlformats.org/officeDocument/2006/relationships/hyperlink" Target="https://www.hokej.cz/tipsport-extraliga/stats-center?season=2024&amp;competition=7230&amp;team=823&amp;yearFrom=&amp;stranger=0&amp;state=&amp;stats-order=shs&amp;stats-direction=desc&amp;stats-all=1" TargetMode="External"/><Relationship Id="rId23" Type="http://schemas.openxmlformats.org/officeDocument/2006/relationships/hyperlink" Target="https://www.hokej.cz/hrac/maxim-cajkovic/35951" TargetMode="External"/><Relationship Id="rId28" Type="http://schemas.openxmlformats.org/officeDocument/2006/relationships/hyperlink" Target="https://www.hokej.cz/hrac/adam-polasek/10878" TargetMode="External"/><Relationship Id="rId49" Type="http://schemas.openxmlformats.org/officeDocument/2006/relationships/hyperlink" Target="https://www.hokej.cz/tipsport-extraliga/stats-center?season=2024&amp;competition=7230&amp;team=823&amp;yearFrom=&amp;stranger=0&amp;state=&amp;stats-order=a&amp;stats-direction=desc&amp;stats-all=1" TargetMode="External"/><Relationship Id="rId114" Type="http://schemas.openxmlformats.org/officeDocument/2006/relationships/hyperlink" Target="https://www.hokej.cz/hrac/marek-baranek/13911" TargetMode="External"/><Relationship Id="rId119" Type="http://schemas.openxmlformats.org/officeDocument/2006/relationships/hyperlink" Target="https://www.hokej.cz/hrac/robert-cerny/14396" TargetMode="External"/><Relationship Id="rId44" Type="http://schemas.openxmlformats.org/officeDocument/2006/relationships/hyperlink" Target="https://www.hokej.cz/hrac/vit-beran/10085848" TargetMode="External"/><Relationship Id="rId60" Type="http://schemas.openxmlformats.org/officeDocument/2006/relationships/hyperlink" Target="https://www.hokej.cz/hrac/ondrej-kase/14405" TargetMode="External"/><Relationship Id="rId65" Type="http://schemas.openxmlformats.org/officeDocument/2006/relationships/hyperlink" Target="https://www.hokej.cz/hrac/nicolas-hlava/13667" TargetMode="External"/><Relationship Id="rId81" Type="http://schemas.openxmlformats.org/officeDocument/2006/relationships/hyperlink" Target="https://www.hokej.cz/hrac/matej-mastalirsky/10096098" TargetMode="External"/><Relationship Id="rId86" Type="http://schemas.openxmlformats.org/officeDocument/2006/relationships/hyperlink" Target="https://www.hokej.cz/hrac/robert-cerny/14396" TargetMode="External"/><Relationship Id="rId130" Type="http://schemas.openxmlformats.org/officeDocument/2006/relationships/hyperlink" Target="https://www.hokej.cz/hrac/joni-ikonen/10110660" TargetMode="External"/><Relationship Id="rId13" Type="http://schemas.openxmlformats.org/officeDocument/2006/relationships/hyperlink" Target="https://www.hokej.cz/tipsport-extraliga/stats-center?season=2024&amp;competition=7230&amp;team=823&amp;yearFrom=&amp;stranger=0&amp;state=&amp;stats-order=tim&amp;stats-direction=desc&amp;stats-all=1" TargetMode="External"/><Relationship Id="rId18" Type="http://schemas.openxmlformats.org/officeDocument/2006/relationships/hyperlink" Target="https://www.hokej.cz/hrac/filip-sandberg/5609597" TargetMode="External"/><Relationship Id="rId39" Type="http://schemas.openxmlformats.org/officeDocument/2006/relationships/hyperlink" Target="https://www.hokej.cz/hrac/michal-hradek/4132419" TargetMode="External"/><Relationship Id="rId109" Type="http://schemas.openxmlformats.org/officeDocument/2006/relationships/hyperlink" Target="https://www.hokej.cz/hrac/adam-polasek/10878" TargetMode="External"/><Relationship Id="rId34" Type="http://schemas.openxmlformats.org/officeDocument/2006/relationships/hyperlink" Target="https://www.hokej.cz/hrac/ondrej-balaz/10079354" TargetMode="External"/><Relationship Id="rId50" Type="http://schemas.openxmlformats.org/officeDocument/2006/relationships/hyperlink" Target="https://www.hokej.cz/tipsport-extraliga/stats-center?season=2024&amp;competition=7230&amp;team=823&amp;yearFrom=&amp;stranger=0&amp;state=&amp;stats-order=ga&amp;stats-direction=asc&amp;stats-all=1" TargetMode="External"/><Relationship Id="rId55" Type="http://schemas.openxmlformats.org/officeDocument/2006/relationships/hyperlink" Target="https://www.hokej.cz/tipsport-extraliga/stats-center?season=2024&amp;competition=7230&amp;team=823&amp;yearFrom=&amp;stranger=0&amp;state=&amp;stats-order=gsh&amp;stats-direction=desc&amp;stats-all=1" TargetMode="External"/><Relationship Id="rId76" Type="http://schemas.openxmlformats.org/officeDocument/2006/relationships/hyperlink" Target="https://www.hokej.cz/hrac/martin-havelka/17112" TargetMode="External"/><Relationship Id="rId97" Type="http://schemas.openxmlformats.org/officeDocument/2006/relationships/hyperlink" Target="https://www.hokej.cz/hrac/david-kase/15634" TargetMode="External"/><Relationship Id="rId104" Type="http://schemas.openxmlformats.org/officeDocument/2006/relationships/hyperlink" Target="https://www.hokej.cz/hrac/michal-gut/10077703" TargetMode="External"/><Relationship Id="rId120" Type="http://schemas.openxmlformats.org/officeDocument/2006/relationships/hyperlink" Target="https://www.hokej.cz/hrac/simon-slavicek/10083675" TargetMode="External"/><Relationship Id="rId125" Type="http://schemas.openxmlformats.org/officeDocument/2006/relationships/hyperlink" Target="https://www.hokej.cz/hrac/dominik-cech/10095988" TargetMode="External"/><Relationship Id="rId7" Type="http://schemas.openxmlformats.org/officeDocument/2006/relationships/hyperlink" Target="https://www.hokej.cz/tipsport-extraliga/stats-center?season=2024&amp;competition=7230&amp;team=823&amp;yearFrom=&amp;stranger=0&amp;state=&amp;stats-order=gpp&amp;stats-direction=desc&amp;stats-all=1" TargetMode="External"/><Relationship Id="rId71" Type="http://schemas.openxmlformats.org/officeDocument/2006/relationships/hyperlink" Target="https://www.hokej.cz/hrac/kevin-czuczman/318277" TargetMode="External"/><Relationship Id="rId92" Type="http://schemas.openxmlformats.org/officeDocument/2006/relationships/hyperlink" Target="https://www.hokej.cz/hrac/marek-berka/51601" TargetMode="External"/><Relationship Id="rId2" Type="http://schemas.openxmlformats.org/officeDocument/2006/relationships/hyperlink" Target="https://www.hokej.cz/tipsport-extraliga/stats-center?season=2024&amp;competition=7230&amp;team=823&amp;yearFrom=&amp;stranger=0&amp;state=&amp;stats-order=g&amp;stats-direction=desc&amp;stats-all=1" TargetMode="External"/><Relationship Id="rId29" Type="http://schemas.openxmlformats.org/officeDocument/2006/relationships/hyperlink" Target="https://www.hokej.cz/hrac/ondrej-jurcik/11273" TargetMode="External"/><Relationship Id="rId24" Type="http://schemas.openxmlformats.org/officeDocument/2006/relationships/hyperlink" Target="https://www.hokej.cz/hrac/kevin-czuczman/318277" TargetMode="External"/><Relationship Id="rId40" Type="http://schemas.openxmlformats.org/officeDocument/2006/relationships/hyperlink" Target="https://www.hokej.cz/hrac/pavel-kordule/30311" TargetMode="External"/><Relationship Id="rId45" Type="http://schemas.openxmlformats.org/officeDocument/2006/relationships/hyperlink" Target="https://www.hokej.cz/hrac/lukas-vopelka/14879" TargetMode="External"/><Relationship Id="rId66" Type="http://schemas.openxmlformats.org/officeDocument/2006/relationships/hyperlink" Target="https://www.hokej.cz/hrac/jared-mcisaac/10083303" TargetMode="External"/><Relationship Id="rId87" Type="http://schemas.openxmlformats.org/officeDocument/2006/relationships/hyperlink" Target="https://www.hokej.cz/hrac/simon-slavicek/10083675" TargetMode="External"/><Relationship Id="rId110" Type="http://schemas.openxmlformats.org/officeDocument/2006/relationships/hyperlink" Target="https://www.hokej.cz/hrac/matej-pekar/21361" TargetMode="External"/><Relationship Id="rId115" Type="http://schemas.openxmlformats.org/officeDocument/2006/relationships/hyperlink" Target="https://www.hokej.cz/hrac/ondrej-jurcik/11273" TargetMode="External"/><Relationship Id="rId131" Type="http://schemas.openxmlformats.org/officeDocument/2006/relationships/hyperlink" Target="https://www.hokej.cz/hrac/jakub-winkelhofer/10099779" TargetMode="External"/><Relationship Id="rId61" Type="http://schemas.openxmlformats.org/officeDocument/2006/relationships/hyperlink" Target="https://www.hokej.cz/hrac/david-kase/15634" TargetMode="External"/><Relationship Id="rId82" Type="http://schemas.openxmlformats.org/officeDocument/2006/relationships/hyperlink" Target="https://www.hokej.cz/hrac/vojtech-husinecky/10095992" TargetMode="External"/><Relationship Id="rId19" Type="http://schemas.openxmlformats.org/officeDocument/2006/relationships/hyperlink" Target="https://www.hokej.cz/hrac/jared-mcisaac/10083303" TargetMode="External"/><Relationship Id="rId14" Type="http://schemas.openxmlformats.org/officeDocument/2006/relationships/hyperlink" Target="https://www.hokej.cz/hrac/david-kase/15634" TargetMode="External"/><Relationship Id="rId30" Type="http://schemas.openxmlformats.org/officeDocument/2006/relationships/hyperlink" Target="https://www.hokej.cz/hrac/marek-baranek/13911" TargetMode="External"/><Relationship Id="rId35" Type="http://schemas.openxmlformats.org/officeDocument/2006/relationships/hyperlink" Target="https://www.hokej.cz/hrac/matej-mastalirsky/10096098" TargetMode="External"/><Relationship Id="rId56" Type="http://schemas.openxmlformats.org/officeDocument/2006/relationships/hyperlink" Target="https://www.hokej.cz/tipsport-extraliga/stats-center?season=2024&amp;competition=7230&amp;team=823&amp;yearFrom=&amp;stranger=0&amp;state=&amp;stats-order=gw&amp;stats-direction=desc&amp;stats-all=1" TargetMode="External"/><Relationship Id="rId77" Type="http://schemas.openxmlformats.org/officeDocument/2006/relationships/hyperlink" Target="https://www.hokej.cz/hrac/pawel-zygmunt/10096884" TargetMode="External"/><Relationship Id="rId100" Type="http://schemas.openxmlformats.org/officeDocument/2006/relationships/hyperlink" Target="https://www.hokej.cz/hrac/petr-koblasa/13233" TargetMode="External"/><Relationship Id="rId105" Type="http://schemas.openxmlformats.org/officeDocument/2006/relationships/hyperlink" Target="https://www.hokej.cz/hrac/maxim-cajkovic/35951" TargetMode="External"/><Relationship Id="rId126" Type="http://schemas.openxmlformats.org/officeDocument/2006/relationships/hyperlink" Target="https://www.hokej.cz/hrac/lukas-vopelka/14879" TargetMode="External"/><Relationship Id="rId8" Type="http://schemas.openxmlformats.org/officeDocument/2006/relationships/hyperlink" Target="https://www.hokej.cz/tipsport-extraliga/stats-center?season=2024&amp;competition=7230&amp;team=823&amp;yearFrom=&amp;stranger=0&amp;state=&amp;stats-order=ppp&amp;stats-direction=desc&amp;stats-all=1" TargetMode="External"/><Relationship Id="rId51" Type="http://schemas.openxmlformats.org/officeDocument/2006/relationships/hyperlink" Target="https://www.hokej.cz/tipsport-extraliga/stats-center?season=2024&amp;competition=7230&amp;team=823&amp;yearFrom=&amp;stranger=0&amp;state=&amp;stats-order=s&amp;stats-direction=desc&amp;stats-all=1" TargetMode="External"/><Relationship Id="rId72" Type="http://schemas.openxmlformats.org/officeDocument/2006/relationships/hyperlink" Target="https://www.hokej.cz/hrac/denis-zeman/51841" TargetMode="External"/><Relationship Id="rId93" Type="http://schemas.openxmlformats.org/officeDocument/2006/relationships/hyperlink" Target="https://www.hokej.cz/hrac/dominik-cech/10095988" TargetMode="External"/><Relationship Id="rId98" Type="http://schemas.openxmlformats.org/officeDocument/2006/relationships/hyperlink" Target="https://www.hokej.cz/hrac/matus-sukel/2491887" TargetMode="External"/><Relationship Id="rId121" Type="http://schemas.openxmlformats.org/officeDocument/2006/relationships/hyperlink" Target="https://www.hokej.cz/hrac/pavel-kordule/30311" TargetMode="External"/><Relationship Id="rId3" Type="http://schemas.openxmlformats.org/officeDocument/2006/relationships/hyperlink" Target="https://www.hokej.cz/tipsport-extraliga/stats-center?season=2024&amp;competition=7230&amp;team=823&amp;yearFrom=&amp;stranger=0&amp;state=&amp;stats-order=a&amp;stats-direction=desc&amp;stats-all=1" TargetMode="External"/><Relationship Id="rId25" Type="http://schemas.openxmlformats.org/officeDocument/2006/relationships/hyperlink" Target="https://www.hokej.cz/hrac/josef-jicha/15400" TargetMode="External"/><Relationship Id="rId46" Type="http://schemas.openxmlformats.org/officeDocument/2006/relationships/hyperlink" Target="https://www.hokej.cz/hrac/frantisek-gajdos/10082068" TargetMode="External"/><Relationship Id="rId67" Type="http://schemas.openxmlformats.org/officeDocument/2006/relationships/hyperlink" Target="https://www.hokej.cz/hrac/kristaps-zile/5607414" TargetMode="External"/><Relationship Id="rId116" Type="http://schemas.openxmlformats.org/officeDocument/2006/relationships/hyperlink" Target="https://www.hokej.cz/hrac/matej-mastalirsky/10096098" TargetMode="External"/><Relationship Id="rId20" Type="http://schemas.openxmlformats.org/officeDocument/2006/relationships/hyperlink" Target="https://www.hokej.cz/hrac/nicolas-hlava/13667" TargetMode="External"/><Relationship Id="rId41" Type="http://schemas.openxmlformats.org/officeDocument/2006/relationships/hyperlink" Target="https://www.hokej.cz/hrac/dominik-cech/10095988" TargetMode="External"/><Relationship Id="rId62" Type="http://schemas.openxmlformats.org/officeDocument/2006/relationships/hyperlink" Target="https://www.hokej.cz/hrac/matus-sukel/2491887" TargetMode="External"/><Relationship Id="rId83" Type="http://schemas.openxmlformats.org/officeDocument/2006/relationships/hyperlink" Target="https://www.hokej.cz/hrac/martin-hugo-has/38961" TargetMode="External"/><Relationship Id="rId88" Type="http://schemas.openxmlformats.org/officeDocument/2006/relationships/hyperlink" Target="https://www.hokej.cz/hrac/pavel-kordule/30311" TargetMode="External"/><Relationship Id="rId111" Type="http://schemas.openxmlformats.org/officeDocument/2006/relationships/hyperlink" Target="https://www.hokej.cz/hrac/frantisek-gajdos/10082068" TargetMode="External"/><Relationship Id="rId132" Type="http://schemas.openxmlformats.org/officeDocument/2006/relationships/hyperlink" Target="https://www.hokej.cz/hrac/martin-hugo-has/38961" TargetMode="External"/><Relationship Id="rId15" Type="http://schemas.openxmlformats.org/officeDocument/2006/relationships/hyperlink" Target="https://www.hokej.cz/hrac/ondrej-kase/14405" TargetMode="External"/><Relationship Id="rId36" Type="http://schemas.openxmlformats.org/officeDocument/2006/relationships/hyperlink" Target="https://www.hokej.cz/hrac/simon-slavicek/10083675" TargetMode="External"/><Relationship Id="rId57" Type="http://schemas.openxmlformats.org/officeDocument/2006/relationships/hyperlink" Target="https://www.hokej.cz/tipsport-extraliga/stats-center?season=2024&amp;competition=7230&amp;team=823&amp;yearFrom=&amp;stranger=0&amp;state=&amp;stats-order=pm&amp;stats-direction=desc&amp;stats-all=1" TargetMode="External"/><Relationship Id="rId106" Type="http://schemas.openxmlformats.org/officeDocument/2006/relationships/hyperlink" Target="https://www.hokej.cz/hrac/josef-jicha/15400" TargetMode="External"/><Relationship Id="rId127" Type="http://schemas.openxmlformats.org/officeDocument/2006/relationships/hyperlink" Target="https://www.hokej.cz/hrac/vit-beran/10085848" TargetMode="External"/><Relationship Id="rId10" Type="http://schemas.openxmlformats.org/officeDocument/2006/relationships/hyperlink" Target="https://www.hokej.cz/tipsport-extraliga/stats-center?season=2024&amp;competition=7230&amp;team=823&amp;yearFrom=&amp;stranger=0&amp;state=&amp;stats-order=gw&amp;stats-direction=desc&amp;stats-all=1" TargetMode="External"/><Relationship Id="rId31" Type="http://schemas.openxmlformats.org/officeDocument/2006/relationships/hyperlink" Target="https://www.hokej.cz/hrac/martin-havelka/17112" TargetMode="External"/><Relationship Id="rId52" Type="http://schemas.openxmlformats.org/officeDocument/2006/relationships/hyperlink" Target="https://www.hokej.cz/tipsport-extraliga/stats-center?season=2024&amp;competition=7230&amp;team=823&amp;yearFrom=&amp;stranger=0&amp;state=&amp;stats-order=shs&amp;stats-direction=desc&amp;stats-all=1" TargetMode="External"/><Relationship Id="rId73" Type="http://schemas.openxmlformats.org/officeDocument/2006/relationships/hyperlink" Target="https://www.hokej.cz/hrac/adam-polasek/10878" TargetMode="External"/><Relationship Id="rId78" Type="http://schemas.openxmlformats.org/officeDocument/2006/relationships/hyperlink" Target="https://www.hokej.cz/hrac/marek-baranek/13911" TargetMode="External"/><Relationship Id="rId94" Type="http://schemas.openxmlformats.org/officeDocument/2006/relationships/hyperlink" Target="https://www.hokej.cz/hrac/lukas-vopelka/14879" TargetMode="External"/><Relationship Id="rId99" Type="http://schemas.openxmlformats.org/officeDocument/2006/relationships/hyperlink" Target="https://www.hokej.cz/hrac/filip-sandberg/5609597" TargetMode="External"/><Relationship Id="rId101" Type="http://schemas.openxmlformats.org/officeDocument/2006/relationships/hyperlink" Target="https://www.hokej.cz/hrac/nicolas-hlava/13667" TargetMode="External"/><Relationship Id="rId122" Type="http://schemas.openxmlformats.org/officeDocument/2006/relationships/hyperlink" Target="https://www.hokej.cz/hrac/marek-slavik/10079423" TargetMode="External"/><Relationship Id="rId4" Type="http://schemas.openxmlformats.org/officeDocument/2006/relationships/hyperlink" Target="https://www.hokej.cz/tipsport-extraliga/stats-center?season=2024&amp;competition=7230&amp;team=823&amp;yearFrom=&amp;stranger=0&amp;state=&amp;stats-order=ga&amp;stats-direction=asc&amp;stats-all=1" TargetMode="External"/><Relationship Id="rId9" Type="http://schemas.openxmlformats.org/officeDocument/2006/relationships/hyperlink" Target="https://www.hokej.cz/tipsport-extraliga/stats-center?season=2024&amp;competition=7230&amp;team=823&amp;yearFrom=&amp;stranger=0&amp;state=&amp;stats-order=gsh&amp;stats-direction=desc&amp;stats-all=1" TargetMode="External"/><Relationship Id="rId26" Type="http://schemas.openxmlformats.org/officeDocument/2006/relationships/hyperlink" Target="https://www.hokej.cz/hrac/denis-zeman/51841" TargetMode="External"/><Relationship Id="rId47" Type="http://schemas.openxmlformats.org/officeDocument/2006/relationships/hyperlink" Target="https://www.hokej.cz/tipsport-extraliga/stats-center?season=2024&amp;competition=7230&amp;team=823&amp;yearFrom=&amp;stranger=0&amp;state=&amp;stats-order=t&amp;stats-direction=desc&amp;stats-all=1" TargetMode="External"/><Relationship Id="rId68" Type="http://schemas.openxmlformats.org/officeDocument/2006/relationships/hyperlink" Target="https://www.hokej.cz/hrac/michal-gut/10077703" TargetMode="External"/><Relationship Id="rId89" Type="http://schemas.openxmlformats.org/officeDocument/2006/relationships/hyperlink" Target="https://www.hokej.cz/hrac/marek-slavik/10079423" TargetMode="External"/><Relationship Id="rId112" Type="http://schemas.openxmlformats.org/officeDocument/2006/relationships/hyperlink" Target="https://www.hokej.cz/hrac/martin-havelka/17112" TargetMode="External"/><Relationship Id="rId133" Type="http://schemas.openxmlformats.org/officeDocument/2006/relationships/hyperlink" Target="https://www.hokej.cz/hrac/jaroslav-broz/34221"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33.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13.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printerSettings" Target="../printerSettings/printerSettings27.bin"/><Relationship Id="rId4" Type="http://schemas.openxmlformats.org/officeDocument/2006/relationships/table" Target="../tables/table14.xml"/></Relationships>
</file>

<file path=xl/worksheets/_rels/sheet3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9.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9.vml"/><Relationship Id="rId1" Type="http://schemas.openxmlformats.org/officeDocument/2006/relationships/printerSettings" Target="../printerSettings/printerSettings31.bin"/><Relationship Id="rId4" Type="http://schemas.openxmlformats.org/officeDocument/2006/relationships/comments" Target="../comments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4.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vmlDrawing" Target="../drawings/vmlDrawing10.vml"/><Relationship Id="rId4" Type="http://schemas.openxmlformats.org/officeDocument/2006/relationships/comments" Target="../comments10.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6.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table" Target="../tables/table20.xml"/><Relationship Id="rId1" Type="http://schemas.openxmlformats.org/officeDocument/2006/relationships/table" Target="../tables/table19.xm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100"/>
  <sheetViews>
    <sheetView workbookViewId="0">
      <pane xSplit="4" ySplit="2" topLeftCell="E3" activePane="bottomRight" state="frozen"/>
      <selection activeCell="L12" sqref="L12"/>
      <selection pane="topRight" activeCell="L12" sqref="L12"/>
      <selection pane="bottomLeft" activeCell="L12" sqref="L12"/>
      <selection pane="bottomRight" activeCell="L12" sqref="L12"/>
    </sheetView>
  </sheetViews>
  <sheetFormatPr defaultRowHeight="14.4" x14ac:dyDescent="0.3"/>
  <cols>
    <col min="1" max="1" width="14.88671875" customWidth="1"/>
    <col min="2" max="2" width="18.44140625" customWidth="1"/>
    <col min="3" max="3" width="13.109375" style="2" customWidth="1"/>
    <col min="4" max="4" width="12.5546875" style="2" customWidth="1"/>
    <col min="5" max="5" width="15" style="2" customWidth="1"/>
    <col min="6" max="6" width="11.109375" style="2" customWidth="1"/>
    <col min="7" max="7" width="14.5546875" style="2" customWidth="1"/>
    <col min="8" max="8" width="17.5546875" style="1058" customWidth="1"/>
    <col min="9" max="10" width="16.5546875" style="2" customWidth="1"/>
    <col min="11" max="11" width="140.6640625" style="2" customWidth="1"/>
    <col min="12" max="12" width="78.33203125" style="8" customWidth="1"/>
    <col min="13" max="13" width="145.44140625" customWidth="1"/>
    <col min="14" max="14" width="24.44140625" customWidth="1"/>
    <col min="16" max="16" width="12.33203125" customWidth="1"/>
    <col min="17" max="17" width="25.5546875" customWidth="1"/>
    <col min="18" max="18" width="74.88671875" customWidth="1"/>
  </cols>
  <sheetData>
    <row r="2" spans="1:15" x14ac:dyDescent="0.3">
      <c r="A2" s="1051" t="s">
        <v>1053</v>
      </c>
      <c r="B2" s="2" t="s">
        <v>785</v>
      </c>
      <c r="C2" s="2" t="s">
        <v>14</v>
      </c>
      <c r="D2" s="2" t="s">
        <v>15</v>
      </c>
      <c r="E2" s="2" t="s">
        <v>11</v>
      </c>
      <c r="F2" s="2" t="s">
        <v>12</v>
      </c>
      <c r="G2" s="2" t="s">
        <v>13</v>
      </c>
      <c r="H2" s="1058" t="s">
        <v>157</v>
      </c>
      <c r="I2" s="2" t="s">
        <v>872</v>
      </c>
      <c r="J2" s="2" t="s">
        <v>873</v>
      </c>
      <c r="K2" s="2" t="s">
        <v>910</v>
      </c>
      <c r="L2" s="2" t="s">
        <v>690</v>
      </c>
      <c r="M2" t="s">
        <v>5782</v>
      </c>
    </row>
    <row r="3" spans="1:15" x14ac:dyDescent="0.3">
      <c r="A3" s="985" t="s">
        <v>6225</v>
      </c>
      <c r="B3" s="2">
        <v>1</v>
      </c>
      <c r="C3" s="2">
        <v>1</v>
      </c>
      <c r="D3" s="2" t="s">
        <v>331</v>
      </c>
      <c r="E3" s="4">
        <v>42986</v>
      </c>
      <c r="F3" s="2" t="s">
        <v>18</v>
      </c>
      <c r="G3" s="2" t="s">
        <v>16</v>
      </c>
      <c r="H3" s="1058" t="s">
        <v>6084</v>
      </c>
      <c r="I3" s="2">
        <v>0</v>
      </c>
      <c r="J3" s="2">
        <v>0</v>
      </c>
      <c r="K3" s="2" t="s">
        <v>911</v>
      </c>
      <c r="L3" s="177" t="s">
        <v>260</v>
      </c>
      <c r="O3" s="6" t="s">
        <v>27</v>
      </c>
    </row>
    <row r="4" spans="1:15" x14ac:dyDescent="0.3">
      <c r="A4" s="985" t="str">
        <f>A3</f>
        <v>Sezóna 17/18</v>
      </c>
      <c r="B4" s="2">
        <v>2</v>
      </c>
      <c r="C4" s="2">
        <v>2</v>
      </c>
      <c r="D4" s="2" t="s">
        <v>610</v>
      </c>
      <c r="E4" s="4">
        <v>42988</v>
      </c>
      <c r="F4" s="2" t="s">
        <v>19</v>
      </c>
      <c r="G4" s="2" t="s">
        <v>17</v>
      </c>
      <c r="H4" s="1058" t="s">
        <v>6089</v>
      </c>
      <c r="I4" s="2">
        <v>3</v>
      </c>
      <c r="J4" s="2">
        <v>0</v>
      </c>
      <c r="K4" s="2" t="s">
        <v>913</v>
      </c>
      <c r="L4" s="177" t="s">
        <v>260</v>
      </c>
      <c r="O4" s="5"/>
    </row>
    <row r="5" spans="1:15" x14ac:dyDescent="0.3">
      <c r="A5" s="985" t="str">
        <f t="shared" ref="A5:A68" si="0">A4</f>
        <v>Sezóna 17/18</v>
      </c>
      <c r="B5" s="2">
        <v>3</v>
      </c>
      <c r="C5" s="2">
        <v>3</v>
      </c>
      <c r="D5" s="2" t="s">
        <v>1274</v>
      </c>
      <c r="E5" s="4">
        <v>42990</v>
      </c>
      <c r="F5" s="2" t="s">
        <v>20</v>
      </c>
      <c r="G5" s="2" t="s">
        <v>17</v>
      </c>
      <c r="H5" s="1058" t="s">
        <v>6110</v>
      </c>
      <c r="I5" s="2">
        <v>6</v>
      </c>
      <c r="J5" s="2">
        <v>0</v>
      </c>
      <c r="K5" s="2" t="s">
        <v>914</v>
      </c>
      <c r="L5" s="177" t="s">
        <v>261</v>
      </c>
      <c r="O5" s="7" t="s">
        <v>28</v>
      </c>
    </row>
    <row r="6" spans="1:15" x14ac:dyDescent="0.3">
      <c r="A6" s="985" t="str">
        <f t="shared" si="0"/>
        <v>Sezóna 17/18</v>
      </c>
      <c r="B6" s="2">
        <v>4</v>
      </c>
      <c r="C6" s="2">
        <v>5</v>
      </c>
      <c r="D6" s="2" t="s">
        <v>626</v>
      </c>
      <c r="E6" s="4">
        <v>42995</v>
      </c>
      <c r="F6" s="2" t="s">
        <v>19</v>
      </c>
      <c r="G6" s="2" t="s">
        <v>17</v>
      </c>
      <c r="H6" s="1058" t="s">
        <v>6079</v>
      </c>
      <c r="I6" s="2">
        <v>6</v>
      </c>
      <c r="J6" s="2">
        <v>-3</v>
      </c>
      <c r="K6" s="2" t="s">
        <v>515</v>
      </c>
      <c r="L6" s="177" t="s">
        <v>262</v>
      </c>
      <c r="O6" s="7" t="s">
        <v>29</v>
      </c>
    </row>
    <row r="7" spans="1:15" x14ac:dyDescent="0.3">
      <c r="A7" s="985" t="str">
        <f>A6</f>
        <v>Sezóna 17/18</v>
      </c>
      <c r="B7" s="2">
        <v>5</v>
      </c>
      <c r="C7" s="2">
        <v>6</v>
      </c>
      <c r="D7" s="2" t="s">
        <v>326</v>
      </c>
      <c r="E7" s="4">
        <v>43000</v>
      </c>
      <c r="F7" s="2" t="s">
        <v>18</v>
      </c>
      <c r="G7" s="2" t="s">
        <v>16</v>
      </c>
      <c r="H7" s="1058" t="s">
        <v>6146</v>
      </c>
      <c r="I7" s="2">
        <v>6</v>
      </c>
      <c r="J7" s="2">
        <v>-3</v>
      </c>
      <c r="K7" s="2" t="s">
        <v>912</v>
      </c>
      <c r="L7" s="177" t="s">
        <v>263</v>
      </c>
      <c r="O7" s="7" t="s">
        <v>30</v>
      </c>
    </row>
    <row r="8" spans="1:15" x14ac:dyDescent="0.3">
      <c r="A8" s="985" t="str">
        <f t="shared" si="0"/>
        <v>Sezóna 17/18</v>
      </c>
      <c r="B8" s="2">
        <v>6</v>
      </c>
      <c r="C8" s="2">
        <v>7</v>
      </c>
      <c r="D8" s="2" t="s">
        <v>334</v>
      </c>
      <c r="E8" s="4">
        <v>43001</v>
      </c>
      <c r="F8" s="2" t="s">
        <v>23</v>
      </c>
      <c r="G8" s="2" t="s">
        <v>16</v>
      </c>
      <c r="H8" s="1058" t="s">
        <v>6084</v>
      </c>
      <c r="I8" s="2">
        <v>6</v>
      </c>
      <c r="J8" s="2">
        <v>-3</v>
      </c>
      <c r="K8" s="2" t="s">
        <v>915</v>
      </c>
      <c r="L8" s="177" t="s">
        <v>264</v>
      </c>
      <c r="O8" s="7" t="s">
        <v>61</v>
      </c>
    </row>
    <row r="9" spans="1:15" x14ac:dyDescent="0.3">
      <c r="A9" s="985" t="str">
        <f t="shared" si="0"/>
        <v>Sezóna 17/18</v>
      </c>
      <c r="B9" s="2">
        <v>7</v>
      </c>
      <c r="C9" s="2">
        <v>8</v>
      </c>
      <c r="D9" s="2" t="s">
        <v>6086</v>
      </c>
      <c r="E9" s="4">
        <v>43007</v>
      </c>
      <c r="F9" s="2" t="s">
        <v>18</v>
      </c>
      <c r="G9" s="2" t="s">
        <v>16</v>
      </c>
      <c r="H9" s="1058" t="s">
        <v>6171</v>
      </c>
      <c r="I9" s="2">
        <v>6</v>
      </c>
      <c r="J9" s="2">
        <v>-3</v>
      </c>
      <c r="K9" s="2" t="s">
        <v>515</v>
      </c>
      <c r="L9" s="177" t="s">
        <v>265</v>
      </c>
      <c r="O9" s="7" t="s">
        <v>62</v>
      </c>
    </row>
    <row r="10" spans="1:15" x14ac:dyDescent="0.3">
      <c r="A10" s="985" t="str">
        <f t="shared" si="0"/>
        <v>Sezóna 17/18</v>
      </c>
      <c r="B10" s="2">
        <v>8</v>
      </c>
      <c r="C10" s="2">
        <v>9</v>
      </c>
      <c r="D10" s="2" t="s">
        <v>612</v>
      </c>
      <c r="E10" s="4">
        <v>43009</v>
      </c>
      <c r="F10" s="2" t="s">
        <v>19</v>
      </c>
      <c r="G10" s="2" t="s">
        <v>17</v>
      </c>
      <c r="H10" s="1058" t="s">
        <v>6146</v>
      </c>
      <c r="I10" s="2">
        <v>6</v>
      </c>
      <c r="J10" s="2">
        <v>-6</v>
      </c>
      <c r="K10" s="2" t="s">
        <v>916</v>
      </c>
      <c r="L10" s="177" t="s">
        <v>266</v>
      </c>
      <c r="O10" s="7" t="s">
        <v>31</v>
      </c>
    </row>
    <row r="11" spans="1:15" x14ac:dyDescent="0.3">
      <c r="A11" s="985" t="str">
        <f t="shared" si="0"/>
        <v>Sezóna 17/18</v>
      </c>
      <c r="B11" s="2">
        <v>9</v>
      </c>
      <c r="C11" s="2">
        <v>10</v>
      </c>
      <c r="D11" s="2" t="s">
        <v>6224</v>
      </c>
      <c r="E11" s="4">
        <v>43014</v>
      </c>
      <c r="F11" s="2" t="s">
        <v>18</v>
      </c>
      <c r="G11" s="2" t="s">
        <v>16</v>
      </c>
      <c r="H11" s="1058" t="s">
        <v>6128</v>
      </c>
      <c r="I11" s="2">
        <v>6</v>
      </c>
      <c r="J11" s="2">
        <v>-6</v>
      </c>
      <c r="K11" s="2" t="s">
        <v>917</v>
      </c>
      <c r="L11" s="177" t="s">
        <v>267</v>
      </c>
      <c r="O11" s="7" t="s">
        <v>32</v>
      </c>
    </row>
    <row r="12" spans="1:15" x14ac:dyDescent="0.3">
      <c r="A12" s="985" t="str">
        <f t="shared" si="0"/>
        <v>Sezóna 17/18</v>
      </c>
      <c r="B12" s="2">
        <v>10</v>
      </c>
      <c r="C12" s="2">
        <v>11</v>
      </c>
      <c r="D12" s="2" t="s">
        <v>327</v>
      </c>
      <c r="E12" s="4">
        <v>43016</v>
      </c>
      <c r="F12" s="2" t="s">
        <v>19</v>
      </c>
      <c r="G12" s="2" t="s">
        <v>17</v>
      </c>
      <c r="H12" s="1058" t="s">
        <v>158</v>
      </c>
      <c r="I12" s="2">
        <v>7</v>
      </c>
      <c r="J12" s="2">
        <v>-8</v>
      </c>
      <c r="K12" s="2" t="s">
        <v>515</v>
      </c>
      <c r="L12" s="177" t="s">
        <v>268</v>
      </c>
      <c r="O12" s="7" t="s">
        <v>66</v>
      </c>
    </row>
    <row r="13" spans="1:15" x14ac:dyDescent="0.3">
      <c r="A13" s="985" t="str">
        <f t="shared" si="0"/>
        <v>Sezóna 17/18</v>
      </c>
      <c r="B13" s="2">
        <v>11</v>
      </c>
      <c r="C13" s="2">
        <v>4</v>
      </c>
      <c r="D13" s="2" t="s">
        <v>325</v>
      </c>
      <c r="E13" s="4">
        <v>43018</v>
      </c>
      <c r="F13" s="2" t="s">
        <v>20</v>
      </c>
      <c r="G13" s="2" t="s">
        <v>16</v>
      </c>
      <c r="H13" s="1058" t="s">
        <v>6102</v>
      </c>
      <c r="I13" s="2">
        <v>7</v>
      </c>
      <c r="J13" s="2">
        <v>-8</v>
      </c>
      <c r="K13" s="2" t="s">
        <v>918</v>
      </c>
      <c r="L13" s="177" t="s">
        <v>269</v>
      </c>
      <c r="O13" s="7" t="s">
        <v>33</v>
      </c>
    </row>
    <row r="14" spans="1:15" x14ac:dyDescent="0.3">
      <c r="A14" s="985" t="str">
        <f t="shared" si="0"/>
        <v>Sezóna 17/18</v>
      </c>
      <c r="B14" s="2">
        <v>12</v>
      </c>
      <c r="C14" s="2">
        <v>12</v>
      </c>
      <c r="D14" s="2" t="s">
        <v>328</v>
      </c>
      <c r="E14" s="4">
        <v>43021</v>
      </c>
      <c r="F14" s="2" t="s">
        <v>18</v>
      </c>
      <c r="G14" s="2" t="s">
        <v>16</v>
      </c>
      <c r="H14" s="1058" t="s">
        <v>6208</v>
      </c>
      <c r="I14" s="2">
        <v>7</v>
      </c>
      <c r="J14" s="2">
        <v>-8</v>
      </c>
      <c r="K14" s="2" t="s">
        <v>919</v>
      </c>
      <c r="L14" s="177" t="s">
        <v>270</v>
      </c>
      <c r="O14" s="7" t="s">
        <v>34</v>
      </c>
    </row>
    <row r="15" spans="1:15" s="191" customFormat="1" x14ac:dyDescent="0.3">
      <c r="A15" s="985" t="str">
        <f t="shared" si="0"/>
        <v>Sezóna 17/18</v>
      </c>
      <c r="B15" s="170">
        <v>13</v>
      </c>
      <c r="C15" s="170">
        <v>13</v>
      </c>
      <c r="D15" s="170" t="s">
        <v>6179</v>
      </c>
      <c r="E15" s="189">
        <v>43023</v>
      </c>
      <c r="F15" s="170" t="s">
        <v>19</v>
      </c>
      <c r="G15" s="170" t="s">
        <v>17</v>
      </c>
      <c r="H15" s="1059" t="s">
        <v>159</v>
      </c>
      <c r="I15" s="269">
        <v>9</v>
      </c>
      <c r="J15" s="269">
        <v>-9</v>
      </c>
      <c r="K15" s="170" t="s">
        <v>920</v>
      </c>
      <c r="L15" s="190" t="s">
        <v>271</v>
      </c>
      <c r="O15" s="192" t="s">
        <v>63</v>
      </c>
    </row>
    <row r="16" spans="1:15" x14ac:dyDescent="0.3">
      <c r="A16" s="985" t="str">
        <f t="shared" si="0"/>
        <v>Sezóna 17/18</v>
      </c>
      <c r="B16" s="2">
        <v>14</v>
      </c>
      <c r="C16" s="2">
        <v>14</v>
      </c>
      <c r="D16" s="2" t="s">
        <v>331</v>
      </c>
      <c r="E16" s="4">
        <v>43025</v>
      </c>
      <c r="F16" s="2" t="s">
        <v>20</v>
      </c>
      <c r="G16" s="2" t="s">
        <v>17</v>
      </c>
      <c r="H16" s="1058" t="s">
        <v>160</v>
      </c>
      <c r="I16" s="2">
        <v>11</v>
      </c>
      <c r="J16" s="2">
        <v>-10</v>
      </c>
      <c r="K16" s="2" t="s">
        <v>921</v>
      </c>
      <c r="L16" s="177" t="s">
        <v>272</v>
      </c>
      <c r="O16" s="7" t="s">
        <v>64</v>
      </c>
    </row>
    <row r="17" spans="1:20" x14ac:dyDescent="0.3">
      <c r="A17" s="985" t="str">
        <f t="shared" si="0"/>
        <v>Sezóna 17/18</v>
      </c>
      <c r="B17" s="2">
        <v>15</v>
      </c>
      <c r="C17" s="2">
        <v>15</v>
      </c>
      <c r="D17" s="2" t="s">
        <v>610</v>
      </c>
      <c r="E17" s="4">
        <v>43028</v>
      </c>
      <c r="F17" s="2" t="s">
        <v>18</v>
      </c>
      <c r="G17" s="2" t="s">
        <v>17</v>
      </c>
      <c r="H17" s="1058" t="s">
        <v>161</v>
      </c>
      <c r="I17" s="2">
        <v>12</v>
      </c>
      <c r="J17" s="2">
        <v>-12</v>
      </c>
      <c r="K17" s="2" t="s">
        <v>922</v>
      </c>
      <c r="L17" s="177" t="s">
        <v>273</v>
      </c>
      <c r="O17" s="7" t="s">
        <v>35</v>
      </c>
    </row>
    <row r="18" spans="1:20" x14ac:dyDescent="0.3">
      <c r="A18" s="985" t="str">
        <f t="shared" si="0"/>
        <v>Sezóna 17/18</v>
      </c>
      <c r="B18" s="2">
        <v>16</v>
      </c>
      <c r="C18" s="2">
        <v>16</v>
      </c>
      <c r="D18" s="2" t="s">
        <v>1274</v>
      </c>
      <c r="E18" s="4">
        <v>43030</v>
      </c>
      <c r="F18" s="2" t="s">
        <v>19</v>
      </c>
      <c r="G18" s="2" t="s">
        <v>16</v>
      </c>
      <c r="H18" s="1058" t="s">
        <v>162</v>
      </c>
      <c r="I18" s="2">
        <v>14</v>
      </c>
      <c r="J18" s="2">
        <v>-10</v>
      </c>
      <c r="K18" s="2" t="s">
        <v>923</v>
      </c>
      <c r="L18" s="177" t="s">
        <v>274</v>
      </c>
    </row>
    <row r="19" spans="1:20" x14ac:dyDescent="0.3">
      <c r="A19" s="985" t="str">
        <f t="shared" si="0"/>
        <v>Sezóna 17/18</v>
      </c>
      <c r="B19" s="2">
        <v>17</v>
      </c>
      <c r="C19" s="2">
        <v>17</v>
      </c>
      <c r="D19" s="2" t="s">
        <v>325</v>
      </c>
      <c r="E19" s="4">
        <v>43035</v>
      </c>
      <c r="F19" s="2" t="s">
        <v>18</v>
      </c>
      <c r="G19" s="2" t="s">
        <v>17</v>
      </c>
      <c r="H19" s="1058" t="s">
        <v>6192</v>
      </c>
      <c r="I19" s="2">
        <v>17</v>
      </c>
      <c r="J19" s="2">
        <v>-10</v>
      </c>
      <c r="K19" s="2" t="s">
        <v>924</v>
      </c>
      <c r="L19" s="177" t="s">
        <v>275</v>
      </c>
    </row>
    <row r="20" spans="1:20" x14ac:dyDescent="0.3">
      <c r="A20" s="985" t="str">
        <f t="shared" si="0"/>
        <v>Sezóna 17/18</v>
      </c>
      <c r="B20" s="2">
        <v>18</v>
      </c>
      <c r="C20" s="2">
        <v>18</v>
      </c>
      <c r="D20" s="2" t="s">
        <v>626</v>
      </c>
      <c r="E20" s="4">
        <v>43037</v>
      </c>
      <c r="F20" s="2" t="s">
        <v>19</v>
      </c>
      <c r="G20" s="2" t="s">
        <v>16</v>
      </c>
      <c r="H20" s="1058" t="s">
        <v>6100</v>
      </c>
      <c r="I20" s="2">
        <v>20</v>
      </c>
      <c r="J20" s="2">
        <v>-7</v>
      </c>
      <c r="K20" s="2" t="s">
        <v>925</v>
      </c>
      <c r="L20" s="177" t="s">
        <v>276</v>
      </c>
    </row>
    <row r="21" spans="1:20" x14ac:dyDescent="0.3">
      <c r="A21" s="985" t="str">
        <f t="shared" si="0"/>
        <v>Sezóna 17/18</v>
      </c>
      <c r="B21" s="2">
        <v>19</v>
      </c>
      <c r="C21" s="2">
        <v>19</v>
      </c>
      <c r="D21" s="2" t="s">
        <v>326</v>
      </c>
      <c r="E21" s="4">
        <v>43042</v>
      </c>
      <c r="F21" s="2" t="s">
        <v>18</v>
      </c>
      <c r="G21" s="2" t="s">
        <v>17</v>
      </c>
      <c r="H21" s="1058" t="s">
        <v>6102</v>
      </c>
      <c r="I21" s="2">
        <v>20</v>
      </c>
      <c r="J21" s="2">
        <v>-10</v>
      </c>
      <c r="K21" s="2" t="s">
        <v>926</v>
      </c>
      <c r="L21" s="177" t="s">
        <v>277</v>
      </c>
      <c r="O21" t="s">
        <v>55</v>
      </c>
    </row>
    <row r="22" spans="1:20" x14ac:dyDescent="0.3">
      <c r="A22" s="985" t="str">
        <f t="shared" si="0"/>
        <v>Sezóna 17/18</v>
      </c>
      <c r="B22" s="2">
        <v>20</v>
      </c>
      <c r="C22" s="2">
        <v>20</v>
      </c>
      <c r="D22" s="2" t="s">
        <v>334</v>
      </c>
      <c r="E22" s="4">
        <v>43044</v>
      </c>
      <c r="F22" s="2" t="s">
        <v>19</v>
      </c>
      <c r="G22" s="2" t="s">
        <v>17</v>
      </c>
      <c r="H22" s="1058" t="s">
        <v>6146</v>
      </c>
      <c r="I22" s="2">
        <v>20</v>
      </c>
      <c r="J22" s="2">
        <v>-13</v>
      </c>
      <c r="K22" s="2" t="s">
        <v>927</v>
      </c>
      <c r="L22" s="177" t="s">
        <v>278</v>
      </c>
      <c r="O22" t="s">
        <v>65</v>
      </c>
    </row>
    <row r="23" spans="1:20" x14ac:dyDescent="0.3">
      <c r="A23" s="985" t="str">
        <f t="shared" si="0"/>
        <v>Sezóna 17/18</v>
      </c>
      <c r="B23" s="2">
        <v>21</v>
      </c>
      <c r="C23" s="2">
        <v>21</v>
      </c>
      <c r="D23" s="2" t="s">
        <v>6086</v>
      </c>
      <c r="E23" s="4">
        <v>43054</v>
      </c>
      <c r="F23" s="2" t="s">
        <v>21</v>
      </c>
      <c r="G23" s="2" t="s">
        <v>17</v>
      </c>
      <c r="H23" s="1058" t="s">
        <v>6209</v>
      </c>
      <c r="I23" s="2">
        <v>23</v>
      </c>
      <c r="J23" s="2">
        <v>-13</v>
      </c>
      <c r="K23" s="2" t="s">
        <v>928</v>
      </c>
      <c r="L23" s="177" t="s">
        <v>279</v>
      </c>
    </row>
    <row r="24" spans="1:20" x14ac:dyDescent="0.3">
      <c r="A24" s="985" t="str">
        <f t="shared" si="0"/>
        <v>Sezóna 17/18</v>
      </c>
      <c r="B24" s="2">
        <v>22</v>
      </c>
      <c r="C24" s="2">
        <v>22</v>
      </c>
      <c r="D24" s="2" t="s">
        <v>612</v>
      </c>
      <c r="E24" s="4">
        <v>43056</v>
      </c>
      <c r="F24" s="2" t="s">
        <v>18</v>
      </c>
      <c r="G24" s="2" t="s">
        <v>16</v>
      </c>
      <c r="H24" s="1058" t="s">
        <v>6100</v>
      </c>
      <c r="I24" s="2">
        <v>26</v>
      </c>
      <c r="J24" s="2">
        <v>-10</v>
      </c>
      <c r="K24" s="2" t="s">
        <v>929</v>
      </c>
      <c r="L24" s="177" t="s">
        <v>279</v>
      </c>
    </row>
    <row r="25" spans="1:20" x14ac:dyDescent="0.3">
      <c r="A25" s="985" t="str">
        <f t="shared" si="0"/>
        <v>Sezóna 17/18</v>
      </c>
      <c r="B25" s="2">
        <v>23</v>
      </c>
      <c r="C25" s="2">
        <v>23</v>
      </c>
      <c r="D25" s="2" t="s">
        <v>6224</v>
      </c>
      <c r="E25" s="4">
        <v>43058</v>
      </c>
      <c r="F25" s="2" t="s">
        <v>19</v>
      </c>
      <c r="G25" s="2" t="s">
        <v>17</v>
      </c>
      <c r="H25" s="1058" t="s">
        <v>6110</v>
      </c>
      <c r="I25" s="2">
        <v>29</v>
      </c>
      <c r="J25" s="2">
        <v>-10</v>
      </c>
      <c r="K25" s="2" t="s">
        <v>930</v>
      </c>
      <c r="L25" s="177" t="s">
        <v>280</v>
      </c>
      <c r="O25" s="7" t="s">
        <v>191</v>
      </c>
      <c r="P25" s="7"/>
      <c r="Q25" s="2" t="s">
        <v>221</v>
      </c>
      <c r="R25" s="7" t="s">
        <v>194</v>
      </c>
      <c r="S25" s="7"/>
      <c r="T25" s="9"/>
    </row>
    <row r="26" spans="1:20" x14ac:dyDescent="0.3">
      <c r="A26" s="985" t="str">
        <f t="shared" si="0"/>
        <v>Sezóna 17/18</v>
      </c>
      <c r="B26" s="2">
        <v>24</v>
      </c>
      <c r="C26" s="2">
        <v>24</v>
      </c>
      <c r="D26" s="2" t="s">
        <v>327</v>
      </c>
      <c r="E26" s="4">
        <v>43060</v>
      </c>
      <c r="F26" s="2" t="s">
        <v>20</v>
      </c>
      <c r="G26" s="2" t="s">
        <v>16</v>
      </c>
      <c r="H26" s="1058" t="s">
        <v>6206</v>
      </c>
      <c r="I26" s="2">
        <v>29</v>
      </c>
      <c r="J26" s="2">
        <v>-10</v>
      </c>
      <c r="K26" s="2" t="s">
        <v>515</v>
      </c>
      <c r="L26" s="177" t="s">
        <v>280</v>
      </c>
      <c r="O26" s="61" t="s">
        <v>184</v>
      </c>
      <c r="P26" s="7"/>
      <c r="Q26" s="62">
        <v>6</v>
      </c>
      <c r="R26" s="63">
        <v>6</v>
      </c>
      <c r="S26" s="7"/>
      <c r="T26" s="9"/>
    </row>
    <row r="27" spans="1:20" x14ac:dyDescent="0.3">
      <c r="A27" s="985" t="str">
        <f t="shared" si="0"/>
        <v>Sezóna 17/18</v>
      </c>
      <c r="B27" s="2">
        <v>25</v>
      </c>
      <c r="C27" s="2">
        <v>25</v>
      </c>
      <c r="D27" s="2" t="s">
        <v>328</v>
      </c>
      <c r="E27" s="4">
        <v>43063</v>
      </c>
      <c r="F27" s="2" t="s">
        <v>18</v>
      </c>
      <c r="G27" s="2" t="s">
        <v>17</v>
      </c>
      <c r="H27" s="1058" t="s">
        <v>160</v>
      </c>
      <c r="I27" s="2">
        <v>31</v>
      </c>
      <c r="J27" s="2">
        <v>-11</v>
      </c>
      <c r="K27" s="2" t="s">
        <v>931</v>
      </c>
      <c r="L27" s="177" t="s">
        <v>281</v>
      </c>
      <c r="O27" s="61" t="s">
        <v>185</v>
      </c>
      <c r="P27" s="7"/>
      <c r="Q27" s="62">
        <v>19</v>
      </c>
      <c r="R27" s="63">
        <v>21</v>
      </c>
      <c r="S27" s="7" t="s">
        <v>196</v>
      </c>
      <c r="T27" s="9"/>
    </row>
    <row r="28" spans="1:20" s="191" customFormat="1" x14ac:dyDescent="0.3">
      <c r="A28" s="985" t="str">
        <f t="shared" si="0"/>
        <v>Sezóna 17/18</v>
      </c>
      <c r="B28" s="170">
        <v>26</v>
      </c>
      <c r="C28" s="170">
        <v>26</v>
      </c>
      <c r="D28" s="170" t="s">
        <v>6179</v>
      </c>
      <c r="E28" s="189">
        <v>43065</v>
      </c>
      <c r="F28" s="170" t="s">
        <v>19</v>
      </c>
      <c r="G28" s="170" t="s">
        <v>16</v>
      </c>
      <c r="H28" s="1059" t="s">
        <v>6210</v>
      </c>
      <c r="I28" s="269">
        <v>31</v>
      </c>
      <c r="J28" s="269">
        <v>-11</v>
      </c>
      <c r="K28" s="170" t="s">
        <v>932</v>
      </c>
      <c r="L28" s="190" t="s">
        <v>282</v>
      </c>
      <c r="O28" s="194" t="s">
        <v>186</v>
      </c>
      <c r="P28" s="192"/>
      <c r="Q28" s="195">
        <v>13</v>
      </c>
      <c r="R28" s="196">
        <f>Q28-1+1</f>
        <v>13</v>
      </c>
      <c r="S28" s="192" t="s">
        <v>197</v>
      </c>
    </row>
    <row r="29" spans="1:20" x14ac:dyDescent="0.3">
      <c r="A29" s="985" t="str">
        <f t="shared" si="0"/>
        <v>Sezóna 17/18</v>
      </c>
      <c r="B29" s="2">
        <v>27</v>
      </c>
      <c r="C29" s="2">
        <v>27</v>
      </c>
      <c r="D29" s="2" t="s">
        <v>331</v>
      </c>
      <c r="E29" s="4">
        <v>43070</v>
      </c>
      <c r="F29" s="2" t="s">
        <v>18</v>
      </c>
      <c r="G29" s="2" t="s">
        <v>16</v>
      </c>
      <c r="H29" s="1058" t="s">
        <v>6084</v>
      </c>
      <c r="I29" s="2">
        <v>31</v>
      </c>
      <c r="J29" s="2">
        <v>-11</v>
      </c>
      <c r="K29" s="2" t="s">
        <v>933</v>
      </c>
      <c r="L29" s="177" t="s">
        <v>283</v>
      </c>
      <c r="O29" s="61" t="s">
        <v>187</v>
      </c>
      <c r="Q29" s="2">
        <v>18</v>
      </c>
      <c r="R29" s="2">
        <f>Q29-1-1</f>
        <v>16</v>
      </c>
    </row>
    <row r="30" spans="1:20" x14ac:dyDescent="0.3">
      <c r="A30" s="985" t="str">
        <f t="shared" si="0"/>
        <v>Sezóna 17/18</v>
      </c>
      <c r="B30" s="2">
        <v>28</v>
      </c>
      <c r="C30" s="2">
        <v>28</v>
      </c>
      <c r="D30" s="2" t="s">
        <v>610</v>
      </c>
      <c r="E30" s="4">
        <v>43072</v>
      </c>
      <c r="F30" s="2" t="s">
        <v>19</v>
      </c>
      <c r="G30" s="2" t="s">
        <v>16</v>
      </c>
      <c r="H30" s="1058" t="s">
        <v>163</v>
      </c>
      <c r="I30" s="2">
        <v>32</v>
      </c>
      <c r="J30" s="2">
        <v>-10</v>
      </c>
      <c r="K30" s="2" t="s">
        <v>934</v>
      </c>
      <c r="L30" s="177" t="s">
        <v>284</v>
      </c>
      <c r="O30" s="61" t="s">
        <v>188</v>
      </c>
      <c r="Q30" s="2">
        <v>5</v>
      </c>
      <c r="R30" s="2">
        <v>6</v>
      </c>
      <c r="S30" t="s">
        <v>195</v>
      </c>
    </row>
    <row r="31" spans="1:20" x14ac:dyDescent="0.3">
      <c r="A31" s="985" t="str">
        <f t="shared" si="0"/>
        <v>Sezóna 17/18</v>
      </c>
      <c r="B31" s="2">
        <v>29</v>
      </c>
      <c r="C31" s="2">
        <v>29</v>
      </c>
      <c r="D31" s="2" t="s">
        <v>1274</v>
      </c>
      <c r="E31" s="4">
        <v>43077</v>
      </c>
      <c r="F31" s="2" t="s">
        <v>18</v>
      </c>
      <c r="G31" s="2" t="s">
        <v>17</v>
      </c>
      <c r="H31" s="1058" t="s">
        <v>6211</v>
      </c>
      <c r="I31" s="2">
        <v>32</v>
      </c>
      <c r="J31" s="2">
        <v>-13</v>
      </c>
      <c r="K31" s="2" t="s">
        <v>935</v>
      </c>
      <c r="L31" s="177" t="s">
        <v>285</v>
      </c>
      <c r="O31" s="61" t="s">
        <v>189</v>
      </c>
      <c r="Q31" s="2">
        <v>1</v>
      </c>
      <c r="R31" s="2">
        <v>2</v>
      </c>
      <c r="S31" t="s">
        <v>193</v>
      </c>
    </row>
    <row r="32" spans="1:20" x14ac:dyDescent="0.3">
      <c r="A32" s="985" t="str">
        <f t="shared" si="0"/>
        <v>Sezóna 17/18</v>
      </c>
      <c r="B32" s="2">
        <v>30</v>
      </c>
      <c r="C32" s="2">
        <v>30</v>
      </c>
      <c r="D32" s="2" t="s">
        <v>325</v>
      </c>
      <c r="E32" s="4">
        <v>43079</v>
      </c>
      <c r="F32" s="2" t="s">
        <v>19</v>
      </c>
      <c r="G32" s="2" t="s">
        <v>16</v>
      </c>
      <c r="H32" s="1058" t="s">
        <v>6209</v>
      </c>
      <c r="I32" s="2">
        <v>35</v>
      </c>
      <c r="J32" s="2">
        <v>-10</v>
      </c>
      <c r="K32" s="2" t="s">
        <v>936</v>
      </c>
      <c r="L32" s="177" t="s">
        <v>286</v>
      </c>
      <c r="O32" s="61" t="s">
        <v>190</v>
      </c>
      <c r="Q32" s="2">
        <v>2</v>
      </c>
      <c r="R32" s="2">
        <v>0</v>
      </c>
      <c r="S32" t="s">
        <v>192</v>
      </c>
    </row>
    <row r="33" spans="1:21" x14ac:dyDescent="0.3">
      <c r="A33" s="985" t="str">
        <f t="shared" si="0"/>
        <v>Sezóna 17/18</v>
      </c>
      <c r="B33" s="2">
        <v>31</v>
      </c>
      <c r="C33" s="2">
        <v>31</v>
      </c>
      <c r="D33" s="2" t="s">
        <v>626</v>
      </c>
      <c r="E33" s="4">
        <v>43089</v>
      </c>
      <c r="F33" s="2" t="s">
        <v>21</v>
      </c>
      <c r="G33" s="2" t="s">
        <v>17</v>
      </c>
      <c r="H33" s="1058" t="s">
        <v>161</v>
      </c>
      <c r="I33" s="2">
        <v>36</v>
      </c>
      <c r="J33" s="2">
        <v>-12</v>
      </c>
      <c r="K33" s="2" t="s">
        <v>937</v>
      </c>
      <c r="L33" s="177" t="s">
        <v>287</v>
      </c>
      <c r="Q33" s="2">
        <f>SUM(Q26:Q32)</f>
        <v>64</v>
      </c>
      <c r="R33" s="2">
        <f>SUM(R26:R32)</f>
        <v>64</v>
      </c>
    </row>
    <row r="34" spans="1:21" x14ac:dyDescent="0.3">
      <c r="A34" s="985" t="str">
        <f t="shared" si="0"/>
        <v>Sezóna 17/18</v>
      </c>
      <c r="B34" s="2">
        <v>32</v>
      </c>
      <c r="C34" s="2">
        <v>32</v>
      </c>
      <c r="D34" s="2" t="s">
        <v>326</v>
      </c>
      <c r="E34" s="4">
        <v>43091</v>
      </c>
      <c r="F34" s="2" t="s">
        <v>18</v>
      </c>
      <c r="G34" s="2" t="s">
        <v>16</v>
      </c>
      <c r="H34" s="1058" t="s">
        <v>6073</v>
      </c>
      <c r="I34" s="2">
        <v>39</v>
      </c>
      <c r="J34" s="2">
        <v>-9</v>
      </c>
      <c r="K34" s="2" t="s">
        <v>938</v>
      </c>
      <c r="L34" s="177" t="s">
        <v>288</v>
      </c>
    </row>
    <row r="35" spans="1:21" x14ac:dyDescent="0.3">
      <c r="A35" s="985" t="str">
        <f t="shared" si="0"/>
        <v>Sezóna 17/18</v>
      </c>
      <c r="B35" s="2">
        <v>33</v>
      </c>
      <c r="C35" s="2">
        <v>33</v>
      </c>
      <c r="D35" s="2" t="s">
        <v>334</v>
      </c>
      <c r="E35" s="4">
        <v>43095</v>
      </c>
      <c r="F35" s="2" t="s">
        <v>20</v>
      </c>
      <c r="G35" s="2" t="s">
        <v>17</v>
      </c>
      <c r="H35" s="1058" t="s">
        <v>6104</v>
      </c>
      <c r="I35" s="2">
        <v>39</v>
      </c>
      <c r="J35" s="2">
        <v>-12</v>
      </c>
      <c r="K35" s="2" t="s">
        <v>939</v>
      </c>
      <c r="L35" s="177" t="s">
        <v>288</v>
      </c>
    </row>
    <row r="36" spans="1:21" x14ac:dyDescent="0.3">
      <c r="A36" s="985" t="str">
        <f t="shared" si="0"/>
        <v>Sezóna 17/18</v>
      </c>
      <c r="B36" s="2">
        <v>34</v>
      </c>
      <c r="C36" s="2">
        <v>34</v>
      </c>
      <c r="D36" s="2" t="s">
        <v>6086</v>
      </c>
      <c r="E36" s="4">
        <v>43097</v>
      </c>
      <c r="F36" s="2" t="s">
        <v>22</v>
      </c>
      <c r="G36" s="2" t="s">
        <v>16</v>
      </c>
      <c r="H36" s="1058" t="s">
        <v>6089</v>
      </c>
      <c r="I36" s="2">
        <v>42</v>
      </c>
      <c r="J36" s="2">
        <v>-9</v>
      </c>
      <c r="K36" s="2" t="s">
        <v>940</v>
      </c>
      <c r="L36" s="177" t="s">
        <v>289</v>
      </c>
      <c r="O36" s="7" t="s">
        <v>191</v>
      </c>
      <c r="P36" s="7"/>
      <c r="Q36" s="2" t="s">
        <v>221</v>
      </c>
      <c r="R36" s="7" t="s">
        <v>194</v>
      </c>
    </row>
    <row r="37" spans="1:21" x14ac:dyDescent="0.3">
      <c r="A37" s="985" t="str">
        <f t="shared" si="0"/>
        <v>Sezóna 17/18</v>
      </c>
      <c r="B37" s="2">
        <v>35</v>
      </c>
      <c r="C37" s="2">
        <v>35</v>
      </c>
      <c r="D37" s="2" t="s">
        <v>612</v>
      </c>
      <c r="E37" s="4">
        <v>43099</v>
      </c>
      <c r="F37" s="2" t="s">
        <v>23</v>
      </c>
      <c r="G37" s="2" t="s">
        <v>17</v>
      </c>
      <c r="H37" s="1058" t="s">
        <v>161</v>
      </c>
      <c r="I37" s="2">
        <v>43</v>
      </c>
      <c r="J37" s="2">
        <v>-11</v>
      </c>
      <c r="K37" s="2" t="s">
        <v>941</v>
      </c>
      <c r="L37" s="177" t="s">
        <v>290</v>
      </c>
      <c r="O37" s="61" t="s">
        <v>198</v>
      </c>
      <c r="P37" s="7"/>
      <c r="Q37" s="62">
        <v>6</v>
      </c>
      <c r="R37" s="63">
        <f>Q37</f>
        <v>6</v>
      </c>
    </row>
    <row r="38" spans="1:21" x14ac:dyDescent="0.3">
      <c r="A38" s="985" t="str">
        <f t="shared" si="0"/>
        <v>Sezóna 17/18</v>
      </c>
      <c r="B38" s="2">
        <v>36</v>
      </c>
      <c r="C38" s="2">
        <v>36</v>
      </c>
      <c r="D38" s="2" t="s">
        <v>6224</v>
      </c>
      <c r="E38" s="4">
        <v>43103</v>
      </c>
      <c r="F38" s="2" t="s">
        <v>21</v>
      </c>
      <c r="G38" s="2" t="s">
        <v>16</v>
      </c>
      <c r="H38" s="1058" t="s">
        <v>6203</v>
      </c>
      <c r="I38" s="2">
        <v>43</v>
      </c>
      <c r="J38" s="2">
        <v>-11</v>
      </c>
      <c r="K38" s="2" t="s">
        <v>942</v>
      </c>
      <c r="L38" s="177" t="s">
        <v>291</v>
      </c>
      <c r="O38" s="61" t="s">
        <v>199</v>
      </c>
      <c r="Q38" s="2">
        <v>9</v>
      </c>
      <c r="R38" s="2">
        <f>Q38</f>
        <v>9</v>
      </c>
    </row>
    <row r="39" spans="1:21" x14ac:dyDescent="0.3">
      <c r="A39" s="985" t="str">
        <f t="shared" si="0"/>
        <v>Sezóna 17/18</v>
      </c>
      <c r="B39" s="2">
        <v>37</v>
      </c>
      <c r="C39" s="2">
        <v>37</v>
      </c>
      <c r="D39" s="2" t="s">
        <v>327</v>
      </c>
      <c r="E39" s="4">
        <v>43105</v>
      </c>
      <c r="F39" s="2" t="s">
        <v>18</v>
      </c>
      <c r="G39" s="2" t="s">
        <v>17</v>
      </c>
      <c r="H39" s="1058" t="s">
        <v>6097</v>
      </c>
      <c r="I39" s="2">
        <v>43</v>
      </c>
      <c r="J39" s="2">
        <v>-14</v>
      </c>
      <c r="K39" s="2" t="s">
        <v>943</v>
      </c>
      <c r="L39" s="177" t="s">
        <v>292</v>
      </c>
      <c r="O39" s="61" t="s">
        <v>200</v>
      </c>
      <c r="Q39" s="2">
        <v>10</v>
      </c>
      <c r="R39" s="2">
        <f>Q39</f>
        <v>10</v>
      </c>
    </row>
    <row r="40" spans="1:21" x14ac:dyDescent="0.3">
      <c r="A40" s="985" t="str">
        <f t="shared" si="0"/>
        <v>Sezóna 17/18</v>
      </c>
      <c r="B40" s="2">
        <v>38</v>
      </c>
      <c r="C40" s="2">
        <v>38</v>
      </c>
      <c r="D40" s="2" t="s">
        <v>328</v>
      </c>
      <c r="E40" s="4">
        <v>43107</v>
      </c>
      <c r="F40" s="2" t="s">
        <v>19</v>
      </c>
      <c r="G40" s="2" t="s">
        <v>16</v>
      </c>
      <c r="H40" s="1058" t="s">
        <v>6092</v>
      </c>
      <c r="I40" s="2">
        <v>43</v>
      </c>
      <c r="J40" s="2">
        <v>-14</v>
      </c>
      <c r="K40" s="2" t="s">
        <v>944</v>
      </c>
      <c r="L40" s="177" t="s">
        <v>293</v>
      </c>
      <c r="O40" s="61" t="s">
        <v>201</v>
      </c>
      <c r="Q40" s="2">
        <v>16</v>
      </c>
      <c r="R40" s="2">
        <v>18</v>
      </c>
    </row>
    <row r="41" spans="1:21" s="191" customFormat="1" x14ac:dyDescent="0.3">
      <c r="A41" s="985" t="str">
        <f t="shared" si="0"/>
        <v>Sezóna 17/18</v>
      </c>
      <c r="B41" s="170">
        <v>39</v>
      </c>
      <c r="C41" s="170">
        <v>39</v>
      </c>
      <c r="D41" s="170" t="s">
        <v>6179</v>
      </c>
      <c r="E41" s="189">
        <v>43112</v>
      </c>
      <c r="F41" s="170" t="s">
        <v>18</v>
      </c>
      <c r="G41" s="170" t="s">
        <v>17</v>
      </c>
      <c r="H41" s="1059" t="s">
        <v>6128</v>
      </c>
      <c r="I41" s="269">
        <v>43</v>
      </c>
      <c r="J41" s="269">
        <v>-17</v>
      </c>
      <c r="K41" s="170" t="s">
        <v>945</v>
      </c>
      <c r="L41" s="190" t="s">
        <v>294</v>
      </c>
      <c r="O41" s="194" t="s">
        <v>202</v>
      </c>
      <c r="Q41" s="170">
        <v>10</v>
      </c>
      <c r="R41" s="170">
        <f>Q41+1-1-1</f>
        <v>9</v>
      </c>
      <c r="S41" s="191" t="s">
        <v>207</v>
      </c>
    </row>
    <row r="42" spans="1:21" x14ac:dyDescent="0.3">
      <c r="A42" s="985" t="str">
        <f t="shared" si="0"/>
        <v>Sezóna 17/18</v>
      </c>
      <c r="B42" s="2">
        <v>40</v>
      </c>
      <c r="C42" s="2">
        <v>40</v>
      </c>
      <c r="D42" s="2" t="s">
        <v>331</v>
      </c>
      <c r="E42" s="4">
        <v>43114</v>
      </c>
      <c r="F42" s="2" t="s">
        <v>19</v>
      </c>
      <c r="G42" s="2" t="s">
        <v>17</v>
      </c>
      <c r="H42" s="1058" t="s">
        <v>6203</v>
      </c>
      <c r="I42" s="2">
        <v>43</v>
      </c>
      <c r="J42" s="2">
        <v>-20</v>
      </c>
      <c r="K42" s="2" t="s">
        <v>946</v>
      </c>
      <c r="L42" s="177" t="s">
        <v>295</v>
      </c>
      <c r="O42" s="61" t="s">
        <v>203</v>
      </c>
      <c r="Q42" s="2">
        <v>9</v>
      </c>
      <c r="R42" s="2">
        <f>Q42-1</f>
        <v>8</v>
      </c>
      <c r="S42" t="s">
        <v>206</v>
      </c>
    </row>
    <row r="43" spans="1:21" x14ac:dyDescent="0.3">
      <c r="A43" s="985" t="str">
        <f t="shared" si="0"/>
        <v>Sezóna 17/18</v>
      </c>
      <c r="B43" s="2">
        <v>41</v>
      </c>
      <c r="C43" s="2">
        <v>41</v>
      </c>
      <c r="D43" s="2" t="s">
        <v>610</v>
      </c>
      <c r="E43" s="4">
        <v>43119</v>
      </c>
      <c r="F43" s="2" t="s">
        <v>18</v>
      </c>
      <c r="G43" s="2" t="s">
        <v>16</v>
      </c>
      <c r="H43" s="1058" t="s">
        <v>6084</v>
      </c>
      <c r="I43" s="2">
        <v>43</v>
      </c>
      <c r="J43" s="2">
        <v>-20</v>
      </c>
      <c r="K43" s="2" t="s">
        <v>947</v>
      </c>
      <c r="L43" s="177" t="s">
        <v>296</v>
      </c>
      <c r="O43" s="61" t="s">
        <v>204</v>
      </c>
      <c r="Q43" s="2">
        <v>2</v>
      </c>
      <c r="R43" s="2">
        <f>Q43</f>
        <v>2</v>
      </c>
    </row>
    <row r="44" spans="1:21" x14ac:dyDescent="0.3">
      <c r="A44" s="985" t="str">
        <f t="shared" si="0"/>
        <v>Sezóna 17/18</v>
      </c>
      <c r="B44" s="2">
        <v>42</v>
      </c>
      <c r="C44" s="2">
        <v>42</v>
      </c>
      <c r="D44" s="2" t="s">
        <v>1274</v>
      </c>
      <c r="E44" s="4">
        <v>43121</v>
      </c>
      <c r="F44" s="2" t="s">
        <v>19</v>
      </c>
      <c r="G44" s="2" t="s">
        <v>16</v>
      </c>
      <c r="H44" s="1058" t="s">
        <v>6208</v>
      </c>
      <c r="I44" s="2">
        <v>43</v>
      </c>
      <c r="J44" s="2">
        <v>-20</v>
      </c>
      <c r="K44" s="2" t="s">
        <v>948</v>
      </c>
      <c r="L44" s="177" t="s">
        <v>297</v>
      </c>
      <c r="O44" s="61" t="s">
        <v>205</v>
      </c>
      <c r="Q44" s="2">
        <v>2</v>
      </c>
      <c r="R44" s="2">
        <f>Q44</f>
        <v>2</v>
      </c>
    </row>
    <row r="45" spans="1:21" x14ac:dyDescent="0.3">
      <c r="A45" s="985" t="str">
        <f t="shared" si="0"/>
        <v>Sezóna 17/18</v>
      </c>
      <c r="B45" s="2">
        <v>43</v>
      </c>
      <c r="C45" s="2">
        <v>49</v>
      </c>
      <c r="D45" s="2" t="s">
        <v>6224</v>
      </c>
      <c r="E45" s="4">
        <v>43123</v>
      </c>
      <c r="F45" s="2" t="s">
        <v>20</v>
      </c>
      <c r="G45" s="2" t="s">
        <v>17</v>
      </c>
      <c r="H45" s="1058" t="s">
        <v>6102</v>
      </c>
      <c r="I45" s="2">
        <v>43</v>
      </c>
      <c r="J45" s="2">
        <v>-23</v>
      </c>
      <c r="K45" s="2" t="s">
        <v>949</v>
      </c>
      <c r="L45" s="177" t="s">
        <v>298</v>
      </c>
      <c r="Q45" s="2">
        <f>SUM(Q37:Q44)</f>
        <v>64</v>
      </c>
      <c r="R45" s="2">
        <f>SUM(R37:R44)</f>
        <v>64</v>
      </c>
      <c r="U45" s="2" t="s">
        <v>164</v>
      </c>
    </row>
    <row r="46" spans="1:21" ht="15" thickBot="1" x14ac:dyDescent="0.35">
      <c r="A46" s="985" t="str">
        <f t="shared" si="0"/>
        <v>Sezóna 17/18</v>
      </c>
      <c r="B46" s="2">
        <v>44</v>
      </c>
      <c r="C46" s="2">
        <v>43</v>
      </c>
      <c r="D46" s="2" t="s">
        <v>325</v>
      </c>
      <c r="E46" s="4">
        <v>43126</v>
      </c>
      <c r="F46" s="2" t="s">
        <v>18</v>
      </c>
      <c r="G46" s="2" t="s">
        <v>17</v>
      </c>
      <c r="H46" s="1058" t="s">
        <v>6128</v>
      </c>
      <c r="I46" s="2">
        <v>43</v>
      </c>
      <c r="J46" s="2">
        <v>-26</v>
      </c>
      <c r="K46" s="2" t="s">
        <v>950</v>
      </c>
      <c r="L46" s="177" t="s">
        <v>299</v>
      </c>
      <c r="U46" s="2" t="s">
        <v>171</v>
      </c>
    </row>
    <row r="47" spans="1:21" x14ac:dyDescent="0.3">
      <c r="A47" s="985" t="str">
        <f t="shared" si="0"/>
        <v>Sezóna 17/18</v>
      </c>
      <c r="B47" s="2">
        <v>45</v>
      </c>
      <c r="C47" s="2">
        <v>44</v>
      </c>
      <c r="D47" s="2" t="s">
        <v>626</v>
      </c>
      <c r="E47" s="4">
        <v>43128</v>
      </c>
      <c r="F47" s="2" t="s">
        <v>19</v>
      </c>
      <c r="G47" s="2" t="s">
        <v>16</v>
      </c>
      <c r="H47" s="1058" t="s">
        <v>6082</v>
      </c>
      <c r="I47" s="2">
        <v>43</v>
      </c>
      <c r="J47" s="2">
        <v>-26</v>
      </c>
      <c r="K47" s="2" t="s">
        <v>951</v>
      </c>
      <c r="L47" s="177" t="s">
        <v>300</v>
      </c>
      <c r="Q47" s="395" t="s">
        <v>3438</v>
      </c>
      <c r="R47" s="186" t="s">
        <v>3437</v>
      </c>
      <c r="U47" s="60">
        <v>8.3333333333333329E-2</v>
      </c>
    </row>
    <row r="48" spans="1:21" x14ac:dyDescent="0.3">
      <c r="A48" s="985" t="str">
        <f t="shared" si="0"/>
        <v>Sezóna 17/18</v>
      </c>
      <c r="B48" s="2">
        <v>46</v>
      </c>
      <c r="C48" s="2">
        <v>45</v>
      </c>
      <c r="D48" s="2" t="s">
        <v>326</v>
      </c>
      <c r="E48" s="4">
        <v>43130</v>
      </c>
      <c r="F48" s="2" t="s">
        <v>20</v>
      </c>
      <c r="G48" s="2" t="s">
        <v>17</v>
      </c>
      <c r="H48" s="1058" t="s">
        <v>163</v>
      </c>
      <c r="I48" s="2">
        <v>44</v>
      </c>
      <c r="J48" s="2">
        <v>-28</v>
      </c>
      <c r="K48" s="2" t="s">
        <v>952</v>
      </c>
      <c r="L48" s="177" t="s">
        <v>301</v>
      </c>
      <c r="Q48" s="587">
        <f>(SUM(R29:R32))/R33</f>
        <v>0.375</v>
      </c>
      <c r="R48" s="587">
        <f>(SUM(R40:R44))/R45</f>
        <v>0.609375</v>
      </c>
      <c r="U48" s="60">
        <v>4.1666666666666664E-2</v>
      </c>
    </row>
    <row r="49" spans="1:21" x14ac:dyDescent="0.3">
      <c r="A49" s="985" t="str">
        <f t="shared" si="0"/>
        <v>Sezóna 17/18</v>
      </c>
      <c r="B49" s="2">
        <v>47</v>
      </c>
      <c r="C49" s="2">
        <v>46</v>
      </c>
      <c r="D49" s="2" t="s">
        <v>334</v>
      </c>
      <c r="E49" s="4">
        <v>43133</v>
      </c>
      <c r="F49" s="2" t="s">
        <v>18</v>
      </c>
      <c r="G49" s="2" t="s">
        <v>16</v>
      </c>
      <c r="H49" s="1058" t="s">
        <v>6211</v>
      </c>
      <c r="I49" s="2">
        <v>44</v>
      </c>
      <c r="J49" s="2">
        <v>-28</v>
      </c>
      <c r="K49" s="2" t="s">
        <v>953</v>
      </c>
      <c r="L49" s="177" t="s">
        <v>302</v>
      </c>
      <c r="U49" s="60">
        <v>4.3750000000000004E-2</v>
      </c>
    </row>
    <row r="50" spans="1:21" x14ac:dyDescent="0.3">
      <c r="A50" s="985" t="str">
        <f t="shared" si="0"/>
        <v>Sezóna 17/18</v>
      </c>
      <c r="B50" s="2">
        <v>48</v>
      </c>
      <c r="C50" s="2">
        <v>47</v>
      </c>
      <c r="D50" s="2" t="s">
        <v>6086</v>
      </c>
      <c r="E50" s="4">
        <v>43135</v>
      </c>
      <c r="F50" s="2" t="s">
        <v>19</v>
      </c>
      <c r="G50" s="2" t="s">
        <v>17</v>
      </c>
      <c r="H50" s="1058" t="s">
        <v>164</v>
      </c>
      <c r="I50" s="2">
        <v>46</v>
      </c>
      <c r="J50" s="2">
        <v>-29</v>
      </c>
      <c r="K50" s="2" t="s">
        <v>955</v>
      </c>
      <c r="L50" s="177" t="s">
        <v>303</v>
      </c>
      <c r="U50" s="193">
        <v>8.6805555555555566E-2</v>
      </c>
    </row>
    <row r="51" spans="1:21" x14ac:dyDescent="0.3">
      <c r="A51" s="985" t="str">
        <f t="shared" si="0"/>
        <v>Sezóna 17/18</v>
      </c>
      <c r="B51" s="2">
        <v>49</v>
      </c>
      <c r="C51" s="2">
        <v>48</v>
      </c>
      <c r="D51" s="2" t="s">
        <v>612</v>
      </c>
      <c r="E51" s="4">
        <v>43137</v>
      </c>
      <c r="F51" s="2" t="s">
        <v>20</v>
      </c>
      <c r="G51" s="2" t="s">
        <v>16</v>
      </c>
      <c r="H51" s="1058" t="s">
        <v>159</v>
      </c>
      <c r="I51" s="2">
        <v>48</v>
      </c>
      <c r="J51" s="2">
        <v>-27</v>
      </c>
      <c r="K51" s="2" t="s">
        <v>954</v>
      </c>
      <c r="L51" s="177" t="s">
        <v>304</v>
      </c>
    </row>
    <row r="52" spans="1:21" x14ac:dyDescent="0.3">
      <c r="A52" s="985" t="str">
        <f t="shared" si="0"/>
        <v>Sezóna 17/18</v>
      </c>
      <c r="B52" s="2">
        <v>50</v>
      </c>
      <c r="C52" s="2">
        <v>50</v>
      </c>
      <c r="D52" s="2" t="s">
        <v>327</v>
      </c>
      <c r="E52" s="4">
        <v>43159</v>
      </c>
      <c r="F52" s="2" t="s">
        <v>21</v>
      </c>
      <c r="G52" s="2" t="s">
        <v>16</v>
      </c>
      <c r="H52" s="1058" t="s">
        <v>6097</v>
      </c>
      <c r="I52" s="2">
        <v>48</v>
      </c>
      <c r="J52" s="2">
        <v>-27</v>
      </c>
      <c r="K52" s="2" t="s">
        <v>956</v>
      </c>
      <c r="L52" s="177" t="s">
        <v>305</v>
      </c>
    </row>
    <row r="53" spans="1:21" x14ac:dyDescent="0.3">
      <c r="A53" s="985" t="str">
        <f t="shared" si="0"/>
        <v>Sezóna 17/18</v>
      </c>
      <c r="B53" s="2">
        <v>51</v>
      </c>
      <c r="C53" s="2">
        <v>51</v>
      </c>
      <c r="D53" s="2" t="s">
        <v>328</v>
      </c>
      <c r="E53" s="4">
        <v>43161</v>
      </c>
      <c r="F53" s="2" t="s">
        <v>18</v>
      </c>
      <c r="G53" s="2" t="s">
        <v>17</v>
      </c>
      <c r="H53" s="1058" t="s">
        <v>160</v>
      </c>
      <c r="I53" s="2">
        <v>50</v>
      </c>
      <c r="J53" s="2">
        <v>-28</v>
      </c>
      <c r="K53" s="2" t="s">
        <v>957</v>
      </c>
      <c r="L53" s="177" t="s">
        <v>306</v>
      </c>
    </row>
    <row r="54" spans="1:21" s="191" customFormat="1" x14ac:dyDescent="0.3">
      <c r="A54" s="985" t="str">
        <f t="shared" si="0"/>
        <v>Sezóna 17/18</v>
      </c>
      <c r="B54" s="170">
        <v>52</v>
      </c>
      <c r="C54" s="170">
        <v>52</v>
      </c>
      <c r="D54" s="170" t="s">
        <v>6179</v>
      </c>
      <c r="E54" s="189">
        <v>43163</v>
      </c>
      <c r="F54" s="170" t="s">
        <v>19</v>
      </c>
      <c r="G54" s="170" t="s">
        <v>16</v>
      </c>
      <c r="H54" s="1059" t="s">
        <v>6077</v>
      </c>
      <c r="I54" s="269">
        <v>50</v>
      </c>
      <c r="J54" s="269">
        <v>-28</v>
      </c>
      <c r="K54" s="170" t="s">
        <v>515</v>
      </c>
      <c r="L54" s="190" t="s">
        <v>307</v>
      </c>
    </row>
    <row r="55" spans="1:21" x14ac:dyDescent="0.3">
      <c r="A55" s="985" t="str">
        <f t="shared" si="0"/>
        <v>Sezóna 17/18</v>
      </c>
      <c r="B55" s="2">
        <v>53</v>
      </c>
      <c r="C55" s="2" t="s">
        <v>165</v>
      </c>
      <c r="D55" s="2" t="s">
        <v>612</v>
      </c>
      <c r="E55" s="4">
        <v>43165</v>
      </c>
      <c r="F55" s="2" t="s">
        <v>20</v>
      </c>
      <c r="G55" s="2" t="s">
        <v>16</v>
      </c>
      <c r="H55" s="1058" t="s">
        <v>164</v>
      </c>
      <c r="I55" s="2">
        <v>52</v>
      </c>
      <c r="K55" s="2" t="s">
        <v>958</v>
      </c>
      <c r="L55" s="8" t="s">
        <v>709</v>
      </c>
    </row>
    <row r="56" spans="1:21" x14ac:dyDescent="0.3">
      <c r="A56" s="985" t="str">
        <f t="shared" si="0"/>
        <v>Sezóna 17/18</v>
      </c>
      <c r="B56" s="2">
        <v>54</v>
      </c>
      <c r="C56" s="2" t="s">
        <v>166</v>
      </c>
      <c r="D56" s="2" t="s">
        <v>6086</v>
      </c>
      <c r="E56" s="4">
        <v>43168</v>
      </c>
      <c r="F56" s="2" t="s">
        <v>18</v>
      </c>
      <c r="G56" s="2" t="s">
        <v>17</v>
      </c>
      <c r="H56" s="1058" t="s">
        <v>171</v>
      </c>
      <c r="I56" s="2">
        <v>53</v>
      </c>
      <c r="K56" s="2" t="s">
        <v>959</v>
      </c>
      <c r="L56" s="8" t="s">
        <v>710</v>
      </c>
    </row>
    <row r="57" spans="1:21" x14ac:dyDescent="0.3">
      <c r="A57" s="985" t="str">
        <f t="shared" si="0"/>
        <v>Sezóna 17/18</v>
      </c>
      <c r="B57" s="2">
        <v>55</v>
      </c>
      <c r="C57" s="2" t="s">
        <v>167</v>
      </c>
      <c r="D57" s="2" t="s">
        <v>6224</v>
      </c>
      <c r="E57" s="4">
        <v>43170</v>
      </c>
      <c r="F57" s="2" t="s">
        <v>19</v>
      </c>
      <c r="G57" s="2" t="s">
        <v>17</v>
      </c>
      <c r="H57" s="1058" t="s">
        <v>6089</v>
      </c>
      <c r="I57" s="2">
        <v>56</v>
      </c>
      <c r="K57" s="2" t="s">
        <v>960</v>
      </c>
      <c r="L57" s="178" t="s">
        <v>711</v>
      </c>
    </row>
    <row r="58" spans="1:21" x14ac:dyDescent="0.3">
      <c r="A58" s="985" t="str">
        <f t="shared" si="0"/>
        <v>Sezóna 17/18</v>
      </c>
      <c r="B58" s="2">
        <v>56</v>
      </c>
      <c r="C58" s="2" t="s">
        <v>168</v>
      </c>
      <c r="D58" s="2" t="s">
        <v>6224</v>
      </c>
      <c r="E58" s="4">
        <v>43175</v>
      </c>
      <c r="F58" s="2" t="s">
        <v>18</v>
      </c>
      <c r="G58" s="2" t="s">
        <v>16</v>
      </c>
      <c r="H58" s="1058" t="s">
        <v>6120</v>
      </c>
      <c r="I58" s="2">
        <v>59</v>
      </c>
      <c r="K58" s="2" t="s">
        <v>961</v>
      </c>
      <c r="L58" s="178" t="s">
        <v>712</v>
      </c>
    </row>
    <row r="59" spans="1:21" x14ac:dyDescent="0.3">
      <c r="A59" s="985" t="str">
        <f t="shared" si="0"/>
        <v>Sezóna 17/18</v>
      </c>
      <c r="B59" s="2">
        <v>57</v>
      </c>
      <c r="C59" s="2" t="s">
        <v>169</v>
      </c>
      <c r="D59" s="2" t="s">
        <v>612</v>
      </c>
      <c r="E59" s="4">
        <v>43177</v>
      </c>
      <c r="F59" s="2" t="s">
        <v>19</v>
      </c>
      <c r="G59" s="2" t="s">
        <v>17</v>
      </c>
      <c r="H59" s="1058" t="s">
        <v>6102</v>
      </c>
      <c r="I59" s="2">
        <v>59</v>
      </c>
      <c r="K59" s="2" t="s">
        <v>962</v>
      </c>
      <c r="L59" s="178" t="s">
        <v>713</v>
      </c>
    </row>
    <row r="60" spans="1:21" s="191" customFormat="1" x14ac:dyDescent="0.3">
      <c r="A60" s="985" t="str">
        <f t="shared" si="0"/>
        <v>Sezóna 17/18</v>
      </c>
      <c r="B60" s="170">
        <v>58</v>
      </c>
      <c r="C60" s="170" t="s">
        <v>170</v>
      </c>
      <c r="D60" s="170" t="s">
        <v>6086</v>
      </c>
      <c r="E60" s="189">
        <v>43182</v>
      </c>
      <c r="F60" s="170" t="s">
        <v>18</v>
      </c>
      <c r="G60" s="170" t="s">
        <v>16</v>
      </c>
      <c r="H60" s="1059" t="s">
        <v>6104</v>
      </c>
      <c r="I60" s="170">
        <v>59</v>
      </c>
      <c r="J60" s="170"/>
      <c r="K60" s="170" t="s">
        <v>963</v>
      </c>
      <c r="L60" s="197" t="s">
        <v>714</v>
      </c>
    </row>
    <row r="61" spans="1:21" x14ac:dyDescent="0.3">
      <c r="A61" s="985" t="str">
        <f t="shared" si="0"/>
        <v>Sezóna 17/18</v>
      </c>
      <c r="B61" s="2">
        <v>59</v>
      </c>
      <c r="C61" s="2" t="s">
        <v>172</v>
      </c>
      <c r="D61" s="2" t="s">
        <v>6076</v>
      </c>
      <c r="E61" s="4">
        <v>43186</v>
      </c>
      <c r="F61" s="2" t="s">
        <v>20</v>
      </c>
      <c r="G61" s="2" t="s">
        <v>17</v>
      </c>
      <c r="H61" s="1058" t="s">
        <v>6100</v>
      </c>
      <c r="I61" s="2">
        <v>3</v>
      </c>
      <c r="K61" s="2" t="s">
        <v>964</v>
      </c>
      <c r="L61" s="178" t="s">
        <v>715</v>
      </c>
    </row>
    <row r="62" spans="1:21" x14ac:dyDescent="0.3">
      <c r="A62" s="985" t="str">
        <f t="shared" si="0"/>
        <v>Sezóna 17/18</v>
      </c>
      <c r="B62" s="2">
        <v>60</v>
      </c>
      <c r="C62" s="2" t="s">
        <v>173</v>
      </c>
      <c r="D62" s="2" t="s">
        <v>332</v>
      </c>
      <c r="E62" s="4">
        <v>43189</v>
      </c>
      <c r="F62" s="2" t="s">
        <v>18</v>
      </c>
      <c r="G62" s="2" t="s">
        <v>16</v>
      </c>
      <c r="H62" s="1058" t="s">
        <v>6118</v>
      </c>
      <c r="I62" s="2">
        <v>6</v>
      </c>
      <c r="K62" s="2" t="s">
        <v>965</v>
      </c>
      <c r="L62" s="178" t="s">
        <v>716</v>
      </c>
    </row>
    <row r="63" spans="1:21" x14ac:dyDescent="0.3">
      <c r="A63" s="985" t="str">
        <f t="shared" si="0"/>
        <v>Sezóna 17/18</v>
      </c>
      <c r="B63" s="2">
        <v>61</v>
      </c>
      <c r="C63" s="2" t="s">
        <v>174</v>
      </c>
      <c r="D63" s="2" t="s">
        <v>6224</v>
      </c>
      <c r="E63" s="4">
        <v>43191</v>
      </c>
      <c r="F63" s="2" t="s">
        <v>19</v>
      </c>
      <c r="G63" s="2" t="s">
        <v>16</v>
      </c>
      <c r="H63" s="1058" t="s">
        <v>6128</v>
      </c>
      <c r="I63" s="2">
        <v>6</v>
      </c>
      <c r="K63" s="2" t="s">
        <v>966</v>
      </c>
      <c r="L63" s="178" t="s">
        <v>717</v>
      </c>
    </row>
    <row r="64" spans="1:21" x14ac:dyDescent="0.3">
      <c r="A64" s="985" t="str">
        <f t="shared" si="0"/>
        <v>Sezóna 17/18</v>
      </c>
      <c r="B64" s="2">
        <v>62</v>
      </c>
      <c r="C64" s="2" t="s">
        <v>175</v>
      </c>
      <c r="D64" s="2" t="s">
        <v>6224</v>
      </c>
      <c r="E64" s="4">
        <v>43193</v>
      </c>
      <c r="F64" s="2" t="s">
        <v>20</v>
      </c>
      <c r="G64" s="2" t="s">
        <v>17</v>
      </c>
      <c r="H64" s="1058" t="s">
        <v>6082</v>
      </c>
      <c r="I64" s="2">
        <v>6</v>
      </c>
      <c r="K64" s="2" t="s">
        <v>967</v>
      </c>
      <c r="L64" s="178" t="s">
        <v>718</v>
      </c>
    </row>
    <row r="65" spans="1:12" x14ac:dyDescent="0.3">
      <c r="A65" s="985" t="str">
        <f t="shared" si="0"/>
        <v>Sezóna 17/18</v>
      </c>
      <c r="B65" s="2">
        <v>63</v>
      </c>
      <c r="C65" s="2" t="s">
        <v>176</v>
      </c>
      <c r="D65" s="2" t="s">
        <v>6076</v>
      </c>
      <c r="E65" s="4">
        <v>43196</v>
      </c>
      <c r="F65" s="2" t="s">
        <v>18</v>
      </c>
      <c r="G65" s="2" t="s">
        <v>16</v>
      </c>
      <c r="H65" s="1058" t="s">
        <v>164</v>
      </c>
      <c r="I65" s="2">
        <v>8</v>
      </c>
      <c r="K65" s="2" t="s">
        <v>968</v>
      </c>
      <c r="L65" s="8" t="s">
        <v>719</v>
      </c>
    </row>
    <row r="66" spans="1:12" x14ac:dyDescent="0.3">
      <c r="A66" s="985" t="str">
        <f t="shared" si="0"/>
        <v>Sezóna 17/18</v>
      </c>
      <c r="B66" s="2">
        <v>64</v>
      </c>
      <c r="C66" s="2" t="s">
        <v>177</v>
      </c>
      <c r="D66" s="2" t="s">
        <v>332</v>
      </c>
      <c r="E66" s="4">
        <v>43198</v>
      </c>
      <c r="F66" s="2" t="s">
        <v>19</v>
      </c>
      <c r="G66" s="2" t="s">
        <v>17</v>
      </c>
      <c r="H66" s="1058" t="s">
        <v>6097</v>
      </c>
      <c r="I66" s="2">
        <v>8</v>
      </c>
      <c r="K66" s="2" t="s">
        <v>969</v>
      </c>
      <c r="L66" s="178" t="s">
        <v>720</v>
      </c>
    </row>
    <row r="67" spans="1:12" x14ac:dyDescent="0.3">
      <c r="A67" s="985" t="str">
        <f t="shared" si="0"/>
        <v>Sezóna 17/18</v>
      </c>
      <c r="B67" s="2">
        <v>65</v>
      </c>
      <c r="C67" s="2" t="s">
        <v>178</v>
      </c>
      <c r="D67" s="2" t="s">
        <v>6076</v>
      </c>
      <c r="E67" s="4">
        <v>43200</v>
      </c>
      <c r="F67" s="2" t="s">
        <v>20</v>
      </c>
      <c r="G67" s="2" t="s">
        <v>17</v>
      </c>
      <c r="H67" s="1058" t="s">
        <v>6084</v>
      </c>
      <c r="I67" s="2">
        <v>8</v>
      </c>
      <c r="K67" s="2" t="s">
        <v>970</v>
      </c>
      <c r="L67" s="178" t="s">
        <v>721</v>
      </c>
    </row>
    <row r="68" spans="1:12" x14ac:dyDescent="0.3">
      <c r="A68" s="985" t="str">
        <f t="shared" si="0"/>
        <v>Sezóna 17/18</v>
      </c>
      <c r="B68" s="2">
        <v>66</v>
      </c>
      <c r="C68" s="2" t="s">
        <v>179</v>
      </c>
      <c r="D68" s="2" t="s">
        <v>332</v>
      </c>
      <c r="E68" s="4">
        <v>43203</v>
      </c>
      <c r="F68" s="2" t="s">
        <v>18</v>
      </c>
      <c r="G68" s="2" t="s">
        <v>16</v>
      </c>
      <c r="H68" s="1058" t="s">
        <v>6100</v>
      </c>
      <c r="I68" s="2">
        <v>11</v>
      </c>
      <c r="K68" s="2" t="s">
        <v>971</v>
      </c>
      <c r="L68" s="178" t="s">
        <v>722</v>
      </c>
    </row>
    <row r="69" spans="1:12" x14ac:dyDescent="0.3">
      <c r="A69" s="985" t="str">
        <f t="shared" ref="A69:A72" si="1">A68</f>
        <v>Sezóna 17/18</v>
      </c>
      <c r="B69" s="2">
        <v>67</v>
      </c>
      <c r="C69" s="2" t="s">
        <v>180</v>
      </c>
      <c r="D69" s="2" t="s">
        <v>6224</v>
      </c>
      <c r="E69" s="4">
        <v>43205</v>
      </c>
      <c r="F69" s="2" t="s">
        <v>19</v>
      </c>
      <c r="G69" s="2" t="s">
        <v>16</v>
      </c>
      <c r="H69" s="1058" t="s">
        <v>208</v>
      </c>
      <c r="I69" s="2">
        <v>12</v>
      </c>
      <c r="K69" s="2" t="s">
        <v>972</v>
      </c>
      <c r="L69" s="8" t="s">
        <v>723</v>
      </c>
    </row>
    <row r="70" spans="1:12" x14ac:dyDescent="0.3">
      <c r="A70" s="985" t="str">
        <f t="shared" si="1"/>
        <v>Sezóna 17/18</v>
      </c>
      <c r="B70" s="2">
        <v>68</v>
      </c>
      <c r="C70" s="2" t="s">
        <v>181</v>
      </c>
      <c r="D70" s="2" t="s">
        <v>6224</v>
      </c>
      <c r="E70" s="4">
        <v>43207</v>
      </c>
      <c r="F70" s="2" t="s">
        <v>20</v>
      </c>
      <c r="G70" s="2" t="s">
        <v>17</v>
      </c>
      <c r="H70" s="1058" t="s">
        <v>6113</v>
      </c>
      <c r="I70" s="2">
        <v>15</v>
      </c>
      <c r="K70" s="2" t="s">
        <v>973</v>
      </c>
      <c r="L70" s="178" t="s">
        <v>724</v>
      </c>
    </row>
    <row r="71" spans="1:12" x14ac:dyDescent="0.3">
      <c r="A71" s="985" t="str">
        <f t="shared" si="1"/>
        <v>Sezóna 17/18</v>
      </c>
      <c r="B71" s="2">
        <v>69</v>
      </c>
      <c r="C71" s="2" t="s">
        <v>182</v>
      </c>
      <c r="D71" s="2" t="s">
        <v>6076</v>
      </c>
      <c r="E71" s="4">
        <v>43210</v>
      </c>
      <c r="F71" s="2" t="s">
        <v>18</v>
      </c>
      <c r="G71" s="2" t="s">
        <v>16</v>
      </c>
      <c r="H71" s="1058" t="s">
        <v>209</v>
      </c>
      <c r="I71" s="2">
        <v>17</v>
      </c>
      <c r="K71" s="2" t="s">
        <v>974</v>
      </c>
      <c r="L71" s="8" t="s">
        <v>725</v>
      </c>
    </row>
    <row r="72" spans="1:12" s="191" customFormat="1" x14ac:dyDescent="0.3">
      <c r="A72" s="985" t="str">
        <f t="shared" si="1"/>
        <v>Sezóna 17/18</v>
      </c>
      <c r="B72" s="170">
        <v>70</v>
      </c>
      <c r="C72" s="170" t="s">
        <v>183</v>
      </c>
      <c r="D72" s="170" t="s">
        <v>332</v>
      </c>
      <c r="E72" s="189">
        <v>43212</v>
      </c>
      <c r="F72" s="170" t="s">
        <v>19</v>
      </c>
      <c r="G72" s="170" t="s">
        <v>17</v>
      </c>
      <c r="H72" s="1059" t="s">
        <v>6133</v>
      </c>
      <c r="I72" s="269">
        <v>20</v>
      </c>
      <c r="J72" s="170"/>
      <c r="K72" s="170" t="s">
        <v>975</v>
      </c>
      <c r="L72" s="197" t="s">
        <v>725</v>
      </c>
    </row>
    <row r="77" spans="1:12" ht="15" thickBot="1" x14ac:dyDescent="0.35"/>
    <row r="78" spans="1:12" x14ac:dyDescent="0.3">
      <c r="B78" s="1142" t="s">
        <v>809</v>
      </c>
      <c r="C78" s="1143"/>
      <c r="D78" s="1143"/>
      <c r="E78" s="1143"/>
      <c r="F78" s="1143"/>
      <c r="G78" s="1143"/>
      <c r="H78" s="1144"/>
    </row>
    <row r="79" spans="1:12" ht="15" thickBot="1" x14ac:dyDescent="0.35">
      <c r="B79" s="201"/>
      <c r="C79" s="202" t="s">
        <v>16</v>
      </c>
      <c r="D79" s="202" t="s">
        <v>793</v>
      </c>
      <c r="E79" s="202" t="s">
        <v>794</v>
      </c>
      <c r="F79" s="202" t="s">
        <v>743</v>
      </c>
      <c r="G79" s="202" t="s">
        <v>796</v>
      </c>
      <c r="H79" s="1069" t="s">
        <v>795</v>
      </c>
    </row>
    <row r="80" spans="1:12" x14ac:dyDescent="0.3">
      <c r="B80" s="204" t="s">
        <v>792</v>
      </c>
      <c r="C80" s="205">
        <f>C81+C82</f>
        <v>2</v>
      </c>
      <c r="D80" s="205">
        <f>D81+D82</f>
        <v>1</v>
      </c>
      <c r="E80" s="205">
        <f>E81+E82</f>
        <v>1</v>
      </c>
      <c r="F80" s="205">
        <f>F81+F82</f>
        <v>9</v>
      </c>
      <c r="G80" s="205">
        <f>C80*3+D80*2+E80</f>
        <v>9</v>
      </c>
      <c r="H80" s="1070">
        <v>0.86041666666666661</v>
      </c>
      <c r="I80" s="250"/>
      <c r="J80" s="250"/>
      <c r="K80" s="250"/>
    </row>
    <row r="81" spans="2:11" x14ac:dyDescent="0.3">
      <c r="B81" s="198" t="s">
        <v>797</v>
      </c>
      <c r="C81" s="183">
        <v>2</v>
      </c>
      <c r="D81" s="183">
        <v>1</v>
      </c>
      <c r="E81" s="183">
        <v>1</v>
      </c>
      <c r="F81" s="183">
        <v>2</v>
      </c>
      <c r="G81" s="183">
        <f t="shared" ref="G81:G94" si="2">C81*3+D81*2+E81</f>
        <v>9</v>
      </c>
      <c r="H81" s="1071">
        <v>0.46527777777777773</v>
      </c>
      <c r="I81" s="244"/>
      <c r="J81" s="244"/>
      <c r="K81" s="244"/>
    </row>
    <row r="82" spans="2:11" ht="15" thickBot="1" x14ac:dyDescent="0.35">
      <c r="B82" s="199" t="s">
        <v>798</v>
      </c>
      <c r="C82" s="200">
        <v>0</v>
      </c>
      <c r="D82" s="200">
        <v>0</v>
      </c>
      <c r="E82" s="200">
        <v>0</v>
      </c>
      <c r="F82" s="200">
        <v>7</v>
      </c>
      <c r="G82" s="200">
        <f t="shared" si="2"/>
        <v>0</v>
      </c>
      <c r="H82" s="1072">
        <v>0.39513888888888887</v>
      </c>
      <c r="I82" s="244"/>
      <c r="J82" s="244"/>
      <c r="K82" s="244"/>
    </row>
    <row r="83" spans="2:11" x14ac:dyDescent="0.3">
      <c r="B83" s="204" t="s">
        <v>799</v>
      </c>
      <c r="C83" s="205">
        <f>C84+C85</f>
        <v>5</v>
      </c>
      <c r="D83" s="205">
        <f>D84+D85</f>
        <v>3</v>
      </c>
      <c r="E83" s="205">
        <f>E84+E85</f>
        <v>1</v>
      </c>
      <c r="F83" s="205">
        <f>F84+F85</f>
        <v>4</v>
      </c>
      <c r="G83" s="205">
        <f t="shared" si="2"/>
        <v>22</v>
      </c>
      <c r="H83" s="1070">
        <v>1.4819444444444445</v>
      </c>
      <c r="I83" s="243"/>
      <c r="J83" s="243"/>
      <c r="K83" s="243"/>
    </row>
    <row r="84" spans="2:11" x14ac:dyDescent="0.3">
      <c r="B84" s="198" t="s">
        <v>797</v>
      </c>
      <c r="C84" s="183">
        <v>3</v>
      </c>
      <c r="D84" s="183">
        <v>2</v>
      </c>
      <c r="E84" s="183">
        <v>1</v>
      </c>
      <c r="F84" s="183">
        <v>2</v>
      </c>
      <c r="G84" s="183">
        <f t="shared" si="2"/>
        <v>14</v>
      </c>
      <c r="H84" s="1071">
        <v>0.92847222222222225</v>
      </c>
      <c r="I84" s="244"/>
      <c r="J84" s="244"/>
      <c r="K84" s="244"/>
    </row>
    <row r="85" spans="2:11" ht="15" thickBot="1" x14ac:dyDescent="0.35">
      <c r="B85" s="199" t="s">
        <v>798</v>
      </c>
      <c r="C85" s="200">
        <v>2</v>
      </c>
      <c r="D85" s="200">
        <v>1</v>
      </c>
      <c r="E85" s="200">
        <v>0</v>
      </c>
      <c r="F85" s="200">
        <v>2</v>
      </c>
      <c r="G85" s="200">
        <f t="shared" si="2"/>
        <v>8</v>
      </c>
      <c r="H85" s="1072">
        <v>0.55347222222222225</v>
      </c>
      <c r="I85" s="244"/>
      <c r="J85" s="244"/>
      <c r="K85" s="244"/>
    </row>
    <row r="86" spans="2:11" x14ac:dyDescent="0.3">
      <c r="B86" s="204" t="s">
        <v>800</v>
      </c>
      <c r="C86" s="205">
        <f>C87+C88</f>
        <v>3</v>
      </c>
      <c r="D86" s="205">
        <f>D87+D88</f>
        <v>0</v>
      </c>
      <c r="E86" s="205">
        <f>E87+E88</f>
        <v>3</v>
      </c>
      <c r="F86" s="205">
        <f>F87+F88</f>
        <v>7</v>
      </c>
      <c r="G86" s="205">
        <f t="shared" si="2"/>
        <v>12</v>
      </c>
      <c r="H86" s="1070">
        <v>1.4486111111111111</v>
      </c>
      <c r="I86" s="243"/>
      <c r="J86" s="243"/>
      <c r="K86" s="243"/>
    </row>
    <row r="87" spans="2:11" x14ac:dyDescent="0.3">
      <c r="B87" s="198" t="s">
        <v>797</v>
      </c>
      <c r="C87" s="183">
        <v>0</v>
      </c>
      <c r="D87" s="183">
        <v>0</v>
      </c>
      <c r="E87" s="183">
        <v>2</v>
      </c>
      <c r="F87" s="183">
        <v>4</v>
      </c>
      <c r="G87" s="183">
        <f t="shared" si="2"/>
        <v>2</v>
      </c>
      <c r="H87" s="1071">
        <v>0.47291666666666665</v>
      </c>
      <c r="I87" s="244"/>
      <c r="J87" s="244"/>
      <c r="K87" s="244"/>
    </row>
    <row r="88" spans="2:11" ht="15" thickBot="1" x14ac:dyDescent="0.35">
      <c r="B88" s="199" t="s">
        <v>798</v>
      </c>
      <c r="C88" s="200">
        <v>3</v>
      </c>
      <c r="D88" s="200">
        <v>0</v>
      </c>
      <c r="E88" s="200">
        <v>1</v>
      </c>
      <c r="F88" s="200">
        <v>3</v>
      </c>
      <c r="G88" s="200">
        <f t="shared" si="2"/>
        <v>10</v>
      </c>
      <c r="H88" s="1072">
        <v>0.97569444444444453</v>
      </c>
      <c r="I88" s="244"/>
      <c r="J88" s="244"/>
      <c r="K88" s="244"/>
    </row>
    <row r="89" spans="2:11" x14ac:dyDescent="0.3">
      <c r="B89" s="204" t="s">
        <v>801</v>
      </c>
      <c r="C89" s="205">
        <f>C90+C91</f>
        <v>0</v>
      </c>
      <c r="D89" s="205">
        <f>D90+D91</f>
        <v>3</v>
      </c>
      <c r="E89" s="205">
        <f>E90+E91</f>
        <v>1</v>
      </c>
      <c r="F89" s="205">
        <f>F90+F91</f>
        <v>9</v>
      </c>
      <c r="G89" s="205">
        <f t="shared" si="2"/>
        <v>7</v>
      </c>
      <c r="H89" s="1070">
        <v>1.242361111111111</v>
      </c>
      <c r="I89" s="243"/>
      <c r="J89" s="243"/>
      <c r="K89" s="243"/>
    </row>
    <row r="90" spans="2:11" x14ac:dyDescent="0.3">
      <c r="B90" s="198" t="s">
        <v>797</v>
      </c>
      <c r="C90" s="183">
        <v>0</v>
      </c>
      <c r="D90" s="183">
        <v>2</v>
      </c>
      <c r="E90" s="183">
        <v>1</v>
      </c>
      <c r="F90" s="183">
        <v>3</v>
      </c>
      <c r="G90" s="183">
        <f t="shared" si="2"/>
        <v>5</v>
      </c>
      <c r="H90" s="1071">
        <v>0.63888888888888895</v>
      </c>
      <c r="I90" s="244"/>
      <c r="J90" s="244"/>
      <c r="K90" s="244"/>
    </row>
    <row r="91" spans="2:11" ht="15" thickBot="1" x14ac:dyDescent="0.35">
      <c r="B91" s="199" t="s">
        <v>798</v>
      </c>
      <c r="C91" s="200">
        <v>0</v>
      </c>
      <c r="D91" s="200">
        <v>1</v>
      </c>
      <c r="E91" s="200">
        <v>0</v>
      </c>
      <c r="F91" s="200">
        <v>6</v>
      </c>
      <c r="G91" s="200">
        <f t="shared" si="2"/>
        <v>2</v>
      </c>
      <c r="H91" s="1072">
        <v>0.60347222222222219</v>
      </c>
      <c r="I91" s="244"/>
      <c r="J91" s="244"/>
      <c r="K91" s="244"/>
    </row>
    <row r="92" spans="2:11" x14ac:dyDescent="0.3">
      <c r="B92" s="220" t="s">
        <v>804</v>
      </c>
      <c r="C92" s="221">
        <f t="shared" ref="C92:F94" si="3">C80+C83+C86+C89</f>
        <v>10</v>
      </c>
      <c r="D92" s="221">
        <f t="shared" si="3"/>
        <v>7</v>
      </c>
      <c r="E92" s="221">
        <f t="shared" si="3"/>
        <v>6</v>
      </c>
      <c r="F92" s="221">
        <f t="shared" si="3"/>
        <v>29</v>
      </c>
      <c r="G92" s="222">
        <f t="shared" si="2"/>
        <v>50</v>
      </c>
      <c r="H92" s="1073" t="s">
        <v>807</v>
      </c>
      <c r="I92" s="262"/>
      <c r="J92" s="262"/>
      <c r="K92" s="273"/>
    </row>
    <row r="93" spans="2:11" x14ac:dyDescent="0.3">
      <c r="B93" s="223" t="s">
        <v>797</v>
      </c>
      <c r="C93" s="224">
        <f t="shared" si="3"/>
        <v>5</v>
      </c>
      <c r="D93" s="224">
        <f t="shared" si="3"/>
        <v>5</v>
      </c>
      <c r="E93" s="224">
        <f t="shared" si="3"/>
        <v>5</v>
      </c>
      <c r="F93" s="224">
        <f t="shared" si="3"/>
        <v>11</v>
      </c>
      <c r="G93" s="225">
        <f t="shared" si="2"/>
        <v>30</v>
      </c>
      <c r="H93" s="1074" t="s">
        <v>805</v>
      </c>
      <c r="I93" s="263"/>
      <c r="J93" s="263"/>
    </row>
    <row r="94" spans="2:11" ht="15" thickBot="1" x14ac:dyDescent="0.35">
      <c r="B94" s="226" t="s">
        <v>798</v>
      </c>
      <c r="C94" s="227">
        <f t="shared" si="3"/>
        <v>5</v>
      </c>
      <c r="D94" s="227">
        <f t="shared" si="3"/>
        <v>2</v>
      </c>
      <c r="E94" s="227">
        <f t="shared" si="3"/>
        <v>1</v>
      </c>
      <c r="F94" s="227">
        <f t="shared" si="3"/>
        <v>18</v>
      </c>
      <c r="G94" s="228">
        <f t="shared" si="2"/>
        <v>20</v>
      </c>
      <c r="H94" s="1075" t="s">
        <v>806</v>
      </c>
      <c r="I94" s="263"/>
      <c r="J94" s="263"/>
    </row>
    <row r="95" spans="2:11" x14ac:dyDescent="0.3">
      <c r="B95" s="214" t="s">
        <v>803</v>
      </c>
      <c r="C95" s="215">
        <f>C96+C97</f>
        <v>2</v>
      </c>
      <c r="D95" s="215">
        <f>D96+D97</f>
        <v>1</v>
      </c>
      <c r="E95" s="215">
        <f>E96+E97</f>
        <v>1</v>
      </c>
      <c r="F95" s="215">
        <f>F96+F97</f>
        <v>2</v>
      </c>
      <c r="G95" s="215">
        <f t="shared" ref="G95:G100" si="4">C95*3+D95*2+E95</f>
        <v>9</v>
      </c>
      <c r="H95" s="1076">
        <v>0.50972222222222219</v>
      </c>
      <c r="I95" s="264"/>
      <c r="J95" s="264"/>
      <c r="K95" s="250"/>
    </row>
    <row r="96" spans="2:11" x14ac:dyDescent="0.3">
      <c r="B96" s="216" t="s">
        <v>797</v>
      </c>
      <c r="C96" s="217">
        <v>1</v>
      </c>
      <c r="D96" s="217">
        <v>0</v>
      </c>
      <c r="E96" s="217">
        <v>1</v>
      </c>
      <c r="F96" s="217">
        <v>1</v>
      </c>
      <c r="G96" s="217">
        <f t="shared" si="4"/>
        <v>4</v>
      </c>
      <c r="H96" s="1077">
        <v>0.21249999999999999</v>
      </c>
      <c r="I96" s="265"/>
      <c r="J96" s="265"/>
      <c r="K96" s="60"/>
    </row>
    <row r="97" spans="2:11" ht="15" thickBot="1" x14ac:dyDescent="0.35">
      <c r="B97" s="218" t="s">
        <v>798</v>
      </c>
      <c r="C97" s="219">
        <v>1</v>
      </c>
      <c r="D97" s="219">
        <v>1</v>
      </c>
      <c r="E97" s="219">
        <v>0</v>
      </c>
      <c r="F97" s="219">
        <v>1</v>
      </c>
      <c r="G97" s="219">
        <f t="shared" si="4"/>
        <v>5</v>
      </c>
      <c r="H97" s="1078">
        <v>0.29722222222222222</v>
      </c>
      <c r="I97" s="265"/>
      <c r="J97" s="265"/>
      <c r="K97" s="60"/>
    </row>
    <row r="98" spans="2:11" x14ac:dyDescent="0.3">
      <c r="B98" s="208" t="s">
        <v>802</v>
      </c>
      <c r="C98" s="209">
        <f>C99+C100</f>
        <v>5</v>
      </c>
      <c r="D98" s="209">
        <f>D99+D100</f>
        <v>2</v>
      </c>
      <c r="E98" s="209">
        <f>E99+E100</f>
        <v>1</v>
      </c>
      <c r="F98" s="209">
        <f>F99+F100</f>
        <v>4</v>
      </c>
      <c r="G98" s="209">
        <f t="shared" si="4"/>
        <v>20</v>
      </c>
      <c r="H98" s="1079">
        <v>1.14375</v>
      </c>
      <c r="I98" s="266"/>
      <c r="J98" s="266"/>
      <c r="K98" s="243"/>
    </row>
    <row r="99" spans="2:11" x14ac:dyDescent="0.3">
      <c r="B99" s="210" t="s">
        <v>797</v>
      </c>
      <c r="C99" s="211">
        <v>3</v>
      </c>
      <c r="D99" s="211">
        <v>0</v>
      </c>
      <c r="E99" s="211">
        <v>0</v>
      </c>
      <c r="F99" s="211">
        <v>3</v>
      </c>
      <c r="G99" s="211">
        <f t="shared" si="4"/>
        <v>9</v>
      </c>
      <c r="H99" s="1080">
        <v>0.63611111111111118</v>
      </c>
      <c r="I99" s="267"/>
      <c r="J99" s="267"/>
      <c r="K99" s="244"/>
    </row>
    <row r="100" spans="2:11" ht="15" thickBot="1" x14ac:dyDescent="0.35">
      <c r="B100" s="212" t="s">
        <v>798</v>
      </c>
      <c r="C100" s="213">
        <v>2</v>
      </c>
      <c r="D100" s="213">
        <v>2</v>
      </c>
      <c r="E100" s="213">
        <v>1</v>
      </c>
      <c r="F100" s="213">
        <v>1</v>
      </c>
      <c r="G100" s="213">
        <f t="shared" si="4"/>
        <v>11</v>
      </c>
      <c r="H100" s="1081">
        <v>0.50763888888888886</v>
      </c>
      <c r="I100" s="267"/>
      <c r="J100" s="267"/>
      <c r="K100" s="244"/>
    </row>
  </sheetData>
  <mergeCells count="1">
    <mergeCell ref="B78:H78"/>
  </mergeCells>
  <conditionalFormatting sqref="F3:F77 E79 F81:F82 F84:F85 F87:F88 F90:F91 F96:F199">
    <cfRule type="cellIs" dxfId="278" priority="1" operator="equal">
      <formula>"ne"</formula>
    </cfRule>
    <cfRule type="cellIs" dxfId="277" priority="2" operator="equal">
      <formula>"pá"</formula>
    </cfRule>
  </conditionalFormatting>
  <conditionalFormatting sqref="G3:G77 F79 G80:G207">
    <cfRule type="cellIs" dxfId="276" priority="3" operator="equal">
      <formula>"D"</formula>
    </cfRule>
  </conditionalFormatting>
  <pageMargins left="0.7" right="0.7" top="0.78740157499999996" bottom="0.78740157499999996"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28"/>
  <sheetViews>
    <sheetView workbookViewId="0">
      <pane xSplit="1" ySplit="5" topLeftCell="B6" activePane="bottomRight" state="frozen"/>
      <selection activeCell="L12" sqref="L12"/>
      <selection pane="topRight" activeCell="L12" sqref="L12"/>
      <selection pane="bottomLeft" activeCell="L12" sqref="L12"/>
      <selection pane="bottomRight" activeCell="L12" sqref="L12"/>
    </sheetView>
  </sheetViews>
  <sheetFormatPr defaultColWidth="9.109375" defaultRowHeight="14.4" x14ac:dyDescent="0.3"/>
  <cols>
    <col min="1" max="1" width="21.5546875" style="24" customWidth="1"/>
    <col min="2" max="3" width="9.109375" style="24"/>
    <col min="4" max="4" width="24.6640625" style="24" customWidth="1"/>
    <col min="5" max="5" width="11.88671875" style="24" customWidth="1"/>
    <col min="6" max="6" width="15.88671875" style="24" customWidth="1"/>
    <col min="7" max="7" width="13.109375" style="24" customWidth="1"/>
    <col min="8" max="8" width="12.109375" style="24" customWidth="1"/>
    <col min="9" max="12" width="17" style="24" customWidth="1"/>
    <col min="13" max="13" width="17.44140625" style="24" customWidth="1"/>
    <col min="14" max="14" width="11.44140625" style="38" customWidth="1"/>
    <col min="15" max="15" width="10.109375" style="24" bestFit="1" customWidth="1"/>
    <col min="16" max="18" width="9.109375" style="24"/>
    <col min="19" max="19" width="16.33203125" style="24" bestFit="1" customWidth="1"/>
    <col min="20" max="20" width="12.109375" style="24" customWidth="1"/>
    <col min="21" max="21" width="18.88671875" style="24" customWidth="1"/>
    <col min="22" max="25" width="9.109375" style="24"/>
    <col min="26" max="26" width="12.5546875" style="24" customWidth="1"/>
    <col min="27" max="27" width="9.109375" style="24"/>
    <col min="28" max="28" width="9.109375" style="39"/>
    <col min="29" max="29" width="10.88671875" style="54" customWidth="1"/>
    <col min="30" max="30" width="11.6640625" style="40" bestFit="1" customWidth="1"/>
    <col min="31" max="41" width="9.109375" style="40"/>
    <col min="42" max="42" width="9.109375" style="41"/>
    <col min="43" max="43" width="9.109375" style="70"/>
    <col min="44" max="55" width="9.109375" style="71"/>
    <col min="56" max="56" width="9.109375" style="72"/>
    <col min="57" max="16384" width="9.109375" style="24"/>
  </cols>
  <sheetData>
    <row r="1" spans="1:69" x14ac:dyDescent="0.3">
      <c r="N1" s="25"/>
      <c r="O1" s="26"/>
      <c r="P1" s="26"/>
      <c r="Q1" s="26"/>
      <c r="R1" s="26"/>
      <c r="S1" s="26"/>
      <c r="T1" s="26"/>
      <c r="U1" s="26"/>
      <c r="V1" s="26"/>
      <c r="W1" s="26"/>
      <c r="X1" s="26"/>
      <c r="Y1" s="26"/>
      <c r="Z1" s="26"/>
      <c r="AA1" s="26"/>
      <c r="AB1" s="27"/>
      <c r="AC1" s="52"/>
      <c r="AD1" s="28"/>
      <c r="AE1" s="28"/>
      <c r="AF1" s="28"/>
      <c r="AG1" s="28"/>
      <c r="AH1" s="28"/>
      <c r="AI1" s="28"/>
      <c r="AJ1" s="28"/>
      <c r="AK1" s="28"/>
      <c r="AL1" s="28"/>
      <c r="AM1" s="28"/>
      <c r="AN1" s="28"/>
      <c r="AO1" s="28"/>
      <c r="AP1" s="29"/>
      <c r="AQ1" s="64"/>
      <c r="AR1" s="65"/>
      <c r="AS1" s="65"/>
      <c r="AT1" s="65"/>
      <c r="AU1" s="65"/>
      <c r="AV1" s="65"/>
      <c r="AW1" s="65"/>
      <c r="AX1" s="65"/>
      <c r="AY1" s="65"/>
      <c r="AZ1" s="65"/>
      <c r="BA1" s="65"/>
      <c r="BB1" s="65"/>
      <c r="BC1" s="65"/>
      <c r="BD1" s="66"/>
    </row>
    <row r="2" spans="1:69" s="33" customFormat="1" ht="23.4" x14ac:dyDescent="0.3">
      <c r="A2" s="30"/>
      <c r="B2" s="30"/>
      <c r="C2" s="31" t="s">
        <v>151</v>
      </c>
      <c r="D2" s="30" t="s">
        <v>152</v>
      </c>
      <c r="E2" s="30"/>
      <c r="F2" s="30" t="s">
        <v>210</v>
      </c>
      <c r="G2" s="30"/>
      <c r="H2" s="30"/>
      <c r="I2" s="30"/>
      <c r="J2" s="30"/>
      <c r="K2" s="30"/>
      <c r="L2" s="30"/>
      <c r="M2" s="30"/>
      <c r="N2" s="32"/>
      <c r="P2" s="33" t="s">
        <v>143</v>
      </c>
      <c r="AB2" s="34"/>
      <c r="AC2" s="53" t="s">
        <v>142</v>
      </c>
      <c r="AD2" s="35"/>
      <c r="AE2" s="35"/>
      <c r="AF2" s="35"/>
      <c r="AG2" s="35"/>
      <c r="AH2" s="35"/>
      <c r="AI2" s="35"/>
      <c r="AJ2" s="35"/>
      <c r="AK2" s="35"/>
      <c r="AL2" s="35"/>
      <c r="AM2" s="35"/>
      <c r="AN2" s="35"/>
      <c r="AO2" s="35"/>
      <c r="AP2" s="36"/>
      <c r="AQ2" s="67"/>
      <c r="AR2" s="68" t="s">
        <v>211</v>
      </c>
      <c r="AS2" s="68"/>
      <c r="AT2" s="68"/>
      <c r="AU2" s="68"/>
      <c r="AV2" s="68"/>
      <c r="AW2" s="68"/>
      <c r="AX2" s="68"/>
      <c r="AY2" s="68"/>
      <c r="AZ2" s="68"/>
      <c r="BA2" s="68"/>
      <c r="BB2" s="68"/>
      <c r="BC2" s="68"/>
      <c r="BD2" s="69"/>
      <c r="BE2" s="37"/>
      <c r="BF2" s="37"/>
      <c r="BG2" s="37"/>
      <c r="BH2" s="37"/>
      <c r="BI2" s="37"/>
      <c r="BJ2" s="37"/>
      <c r="BK2" s="37"/>
      <c r="BL2" s="37"/>
      <c r="BM2" s="37"/>
      <c r="BN2" s="37"/>
      <c r="BO2" s="37"/>
      <c r="BP2" s="37"/>
      <c r="BQ2" s="37"/>
    </row>
    <row r="4" spans="1:69" ht="15" thickBot="1" x14ac:dyDescent="0.35"/>
    <row r="5" spans="1:69" ht="15" thickBot="1" x14ac:dyDescent="0.35">
      <c r="A5" s="14" t="s">
        <v>141</v>
      </c>
      <c r="B5" s="15" t="s">
        <v>140</v>
      </c>
      <c r="C5" s="16" t="s">
        <v>139</v>
      </c>
      <c r="D5" s="16" t="s">
        <v>144</v>
      </c>
      <c r="E5" s="16" t="s">
        <v>147</v>
      </c>
      <c r="F5" s="16" t="s">
        <v>148</v>
      </c>
      <c r="G5" s="16" t="s">
        <v>149</v>
      </c>
      <c r="H5" s="16" t="s">
        <v>150</v>
      </c>
      <c r="I5" s="16" t="s">
        <v>154</v>
      </c>
      <c r="J5" s="16" t="s">
        <v>156</v>
      </c>
      <c r="K5" s="16" t="s">
        <v>218</v>
      </c>
      <c r="L5" s="16" t="s">
        <v>219</v>
      </c>
      <c r="M5" s="16" t="s">
        <v>155</v>
      </c>
      <c r="N5" s="17" t="s">
        <v>145</v>
      </c>
      <c r="O5" s="26" t="s">
        <v>138</v>
      </c>
      <c r="P5" s="26" t="s">
        <v>137</v>
      </c>
      <c r="Q5" s="26" t="s">
        <v>136</v>
      </c>
      <c r="R5" s="26" t="s">
        <v>135</v>
      </c>
      <c r="S5" s="26" t="s">
        <v>308</v>
      </c>
      <c r="T5" s="26" t="s">
        <v>134</v>
      </c>
      <c r="U5" s="26" t="s">
        <v>133</v>
      </c>
      <c r="V5" s="26" t="s">
        <v>132</v>
      </c>
      <c r="W5" s="26" t="s">
        <v>131</v>
      </c>
      <c r="X5" s="26" t="s">
        <v>130</v>
      </c>
      <c r="Y5" s="26" t="s">
        <v>129</v>
      </c>
      <c r="Z5" s="26" t="s">
        <v>128</v>
      </c>
      <c r="AA5" s="26" t="s">
        <v>127</v>
      </c>
      <c r="AB5" s="27" t="s">
        <v>126</v>
      </c>
      <c r="AC5" s="55" t="s">
        <v>146</v>
      </c>
      <c r="AD5" s="28" t="s">
        <v>138</v>
      </c>
      <c r="AE5" s="28" t="s">
        <v>137</v>
      </c>
      <c r="AF5" s="28" t="s">
        <v>136</v>
      </c>
      <c r="AG5" s="28" t="s">
        <v>135</v>
      </c>
      <c r="AH5" s="28" t="s">
        <v>134</v>
      </c>
      <c r="AI5" s="28" t="s">
        <v>133</v>
      </c>
      <c r="AJ5" s="28" t="s">
        <v>132</v>
      </c>
      <c r="AK5" s="28" t="s">
        <v>131</v>
      </c>
      <c r="AL5" s="28" t="s">
        <v>130</v>
      </c>
      <c r="AM5" s="28" t="s">
        <v>129</v>
      </c>
      <c r="AN5" s="28" t="s">
        <v>128</v>
      </c>
      <c r="AO5" s="28" t="s">
        <v>127</v>
      </c>
      <c r="AP5" s="29" t="s">
        <v>126</v>
      </c>
      <c r="AQ5" s="73" t="s">
        <v>213</v>
      </c>
      <c r="AR5" s="74" t="s">
        <v>138</v>
      </c>
      <c r="AS5" s="74" t="s">
        <v>137</v>
      </c>
      <c r="AT5" s="74" t="s">
        <v>136</v>
      </c>
      <c r="AU5" s="74" t="s">
        <v>135</v>
      </c>
      <c r="AV5" s="74" t="s">
        <v>134</v>
      </c>
      <c r="AW5" s="74" t="s">
        <v>133</v>
      </c>
      <c r="AX5" s="74" t="s">
        <v>132</v>
      </c>
      <c r="AY5" s="74" t="s">
        <v>131</v>
      </c>
      <c r="AZ5" s="74" t="s">
        <v>130</v>
      </c>
      <c r="BA5" s="74" t="s">
        <v>129</v>
      </c>
      <c r="BB5" s="74" t="s">
        <v>128</v>
      </c>
      <c r="BC5" s="74" t="s">
        <v>127</v>
      </c>
      <c r="BD5" s="75" t="s">
        <v>126</v>
      </c>
    </row>
    <row r="6" spans="1:69" ht="28.2" thickBot="1" x14ac:dyDescent="0.35">
      <c r="A6" s="24" t="s">
        <v>116</v>
      </c>
      <c r="B6" s="19" t="s">
        <v>80</v>
      </c>
      <c r="C6" s="19" t="s">
        <v>88</v>
      </c>
      <c r="D6" s="19">
        <f t="shared" ref="D6:D47" si="0">N6+AC6+AQ6</f>
        <v>62</v>
      </c>
      <c r="E6" s="19">
        <f t="shared" ref="E6:E47" si="1">P6+AE6+AS6</f>
        <v>1</v>
      </c>
      <c r="F6" s="19">
        <f t="shared" ref="F6:F47" si="2">Q6+AF6+AT6</f>
        <v>10</v>
      </c>
      <c r="G6" s="19">
        <f t="shared" ref="G6:G47" si="3">R6+AG6+AU6</f>
        <v>11</v>
      </c>
      <c r="H6" s="20">
        <f t="shared" ref="H6:H47" si="4">G6/D6</f>
        <v>0.17741935483870969</v>
      </c>
      <c r="I6" s="49">
        <f t="shared" ref="I6:I47" si="5">Z6+AN6+BB6</f>
        <v>-14</v>
      </c>
      <c r="J6" s="59">
        <f t="shared" ref="J6:J47" si="6">I6/D6</f>
        <v>-0.22580645161290322</v>
      </c>
      <c r="K6" s="49">
        <f t="shared" ref="K6:K47" si="7">T6+AH6+AV6</f>
        <v>120</v>
      </c>
      <c r="L6" s="20">
        <f t="shared" ref="L6:L47" si="8">K6/D6</f>
        <v>1.935483870967742</v>
      </c>
      <c r="M6" s="49">
        <f t="shared" ref="M6:M47" si="9">AA6+AO6+BC6</f>
        <v>64</v>
      </c>
      <c r="N6" s="50">
        <v>50</v>
      </c>
      <c r="O6" s="21">
        <v>37.786111111111111</v>
      </c>
      <c r="P6" s="19">
        <v>1</v>
      </c>
      <c r="Q6" s="19">
        <v>7</v>
      </c>
      <c r="R6" s="19">
        <v>8</v>
      </c>
      <c r="S6" s="20">
        <v>0.16</v>
      </c>
      <c r="T6" s="19">
        <v>96</v>
      </c>
      <c r="U6" s="20">
        <v>1.0416666666666665</v>
      </c>
      <c r="V6" s="19">
        <v>0</v>
      </c>
      <c r="W6" s="19">
        <v>2</v>
      </c>
      <c r="X6" s="19">
        <v>0</v>
      </c>
      <c r="Y6" s="19">
        <v>1</v>
      </c>
      <c r="Z6" s="19">
        <v>-19</v>
      </c>
      <c r="AA6" s="19">
        <v>52</v>
      </c>
      <c r="AB6" s="51">
        <v>0.75555555555555554</v>
      </c>
      <c r="AC6" s="56">
        <v>4</v>
      </c>
      <c r="AD6" s="11">
        <v>2.9069444444444446</v>
      </c>
      <c r="AE6" s="10">
        <v>0</v>
      </c>
      <c r="AF6" s="10">
        <v>1</v>
      </c>
      <c r="AG6" s="10">
        <v>1</v>
      </c>
      <c r="AH6" s="10">
        <v>5</v>
      </c>
      <c r="AI6" s="10" t="s">
        <v>78</v>
      </c>
      <c r="AJ6" s="10">
        <v>0</v>
      </c>
      <c r="AK6" s="10">
        <v>0</v>
      </c>
      <c r="AL6" s="10">
        <v>0</v>
      </c>
      <c r="AM6" s="10">
        <v>0</v>
      </c>
      <c r="AN6" s="10">
        <v>2</v>
      </c>
      <c r="AO6" s="10">
        <v>2</v>
      </c>
      <c r="AP6" s="13">
        <v>0.72638888888888886</v>
      </c>
      <c r="AQ6" s="76">
        <v>8</v>
      </c>
      <c r="AR6" s="77">
        <v>6.4013888888888886</v>
      </c>
      <c r="AS6" s="78">
        <v>0</v>
      </c>
      <c r="AT6" s="78">
        <v>2</v>
      </c>
      <c r="AU6" s="78">
        <v>2</v>
      </c>
      <c r="AV6" s="78">
        <v>19</v>
      </c>
      <c r="AW6" s="78" t="s">
        <v>78</v>
      </c>
      <c r="AX6" s="78">
        <v>0</v>
      </c>
      <c r="AY6" s="78">
        <v>2</v>
      </c>
      <c r="AZ6" s="78">
        <v>0</v>
      </c>
      <c r="BA6" s="78">
        <v>0</v>
      </c>
      <c r="BB6" s="78">
        <v>3</v>
      </c>
      <c r="BC6" s="78">
        <v>10</v>
      </c>
      <c r="BD6" s="79">
        <v>0.79999999999999993</v>
      </c>
    </row>
    <row r="7" spans="1:69" ht="28.2" thickBot="1" x14ac:dyDescent="0.35">
      <c r="A7" s="24" t="s">
        <v>119</v>
      </c>
      <c r="B7" s="19" t="s">
        <v>80</v>
      </c>
      <c r="C7" s="19" t="s">
        <v>88</v>
      </c>
      <c r="D7" s="19">
        <f t="shared" si="0"/>
        <v>56</v>
      </c>
      <c r="E7" s="19">
        <f t="shared" si="1"/>
        <v>5</v>
      </c>
      <c r="F7" s="19">
        <f t="shared" si="2"/>
        <v>15</v>
      </c>
      <c r="G7" s="19">
        <f t="shared" si="3"/>
        <v>20</v>
      </c>
      <c r="H7" s="20">
        <f t="shared" si="4"/>
        <v>0.35714285714285715</v>
      </c>
      <c r="I7" s="49">
        <f t="shared" si="5"/>
        <v>-14</v>
      </c>
      <c r="J7" s="59">
        <f t="shared" si="6"/>
        <v>-0.25</v>
      </c>
      <c r="K7" s="49">
        <f t="shared" si="7"/>
        <v>71</v>
      </c>
      <c r="L7" s="20">
        <f t="shared" si="8"/>
        <v>1.2678571428571428</v>
      </c>
      <c r="M7" s="49">
        <f t="shared" si="9"/>
        <v>36</v>
      </c>
      <c r="N7" s="50">
        <v>42</v>
      </c>
      <c r="O7" s="21">
        <v>36.432638888888889</v>
      </c>
      <c r="P7" s="19">
        <v>4</v>
      </c>
      <c r="Q7" s="19">
        <v>8</v>
      </c>
      <c r="R7" s="19">
        <v>12</v>
      </c>
      <c r="S7" s="20">
        <v>0.28571428571428598</v>
      </c>
      <c r="T7" s="19">
        <v>57</v>
      </c>
      <c r="U7" s="20">
        <v>7.0175438596491224</v>
      </c>
      <c r="V7" s="19">
        <v>4</v>
      </c>
      <c r="W7" s="19">
        <v>8</v>
      </c>
      <c r="X7" s="19">
        <v>0</v>
      </c>
      <c r="Y7" s="19">
        <v>1</v>
      </c>
      <c r="Z7" s="19">
        <v>-17</v>
      </c>
      <c r="AA7" s="19">
        <v>26</v>
      </c>
      <c r="AB7" s="51">
        <v>0.86736111111111114</v>
      </c>
      <c r="AC7" s="56">
        <v>3</v>
      </c>
      <c r="AD7" s="11">
        <v>2.4312499999999999</v>
      </c>
      <c r="AE7" s="10">
        <v>1</v>
      </c>
      <c r="AF7" s="10">
        <v>0</v>
      </c>
      <c r="AG7" s="10">
        <v>1</v>
      </c>
      <c r="AH7" s="10">
        <v>3</v>
      </c>
      <c r="AI7" s="10" t="s">
        <v>96</v>
      </c>
      <c r="AJ7" s="10">
        <v>1</v>
      </c>
      <c r="AK7" s="10">
        <v>1</v>
      </c>
      <c r="AL7" s="10">
        <v>0</v>
      </c>
      <c r="AM7" s="10">
        <v>1</v>
      </c>
      <c r="AN7" s="10">
        <v>0</v>
      </c>
      <c r="AO7" s="10">
        <v>2</v>
      </c>
      <c r="AP7" s="13">
        <v>0.81041666666666667</v>
      </c>
      <c r="AQ7" s="76">
        <v>11</v>
      </c>
      <c r="AR7" s="77">
        <v>10.013888888888889</v>
      </c>
      <c r="AS7" s="78">
        <v>0</v>
      </c>
      <c r="AT7" s="78">
        <v>7</v>
      </c>
      <c r="AU7" s="78">
        <v>7</v>
      </c>
      <c r="AV7" s="78">
        <v>11</v>
      </c>
      <c r="AW7" s="78" t="s">
        <v>78</v>
      </c>
      <c r="AX7" s="78">
        <v>0</v>
      </c>
      <c r="AY7" s="78">
        <v>1</v>
      </c>
      <c r="AZ7" s="78">
        <v>0</v>
      </c>
      <c r="BA7" s="78">
        <v>0</v>
      </c>
      <c r="BB7" s="78">
        <v>3</v>
      </c>
      <c r="BC7" s="78">
        <v>8</v>
      </c>
      <c r="BD7" s="79">
        <v>0.90972222222222221</v>
      </c>
    </row>
    <row r="8" spans="1:69" ht="28.2" thickBot="1" x14ac:dyDescent="0.35">
      <c r="A8" s="24" t="s">
        <v>107</v>
      </c>
      <c r="B8" s="19" t="s">
        <v>80</v>
      </c>
      <c r="C8" s="19" t="s">
        <v>88</v>
      </c>
      <c r="D8" s="19">
        <f t="shared" si="0"/>
        <v>56</v>
      </c>
      <c r="E8" s="19">
        <f t="shared" si="1"/>
        <v>3</v>
      </c>
      <c r="F8" s="19">
        <f t="shared" si="2"/>
        <v>5</v>
      </c>
      <c r="G8" s="19">
        <f t="shared" si="3"/>
        <v>8</v>
      </c>
      <c r="H8" s="20">
        <f t="shared" si="4"/>
        <v>0.14285714285714285</v>
      </c>
      <c r="I8" s="49">
        <f t="shared" si="5"/>
        <v>-13</v>
      </c>
      <c r="J8" s="59">
        <f t="shared" si="6"/>
        <v>-0.23214285714285715</v>
      </c>
      <c r="K8" s="49">
        <f t="shared" si="7"/>
        <v>38</v>
      </c>
      <c r="L8" s="20">
        <f t="shared" si="8"/>
        <v>0.6785714285714286</v>
      </c>
      <c r="M8" s="49">
        <f t="shared" si="9"/>
        <v>10</v>
      </c>
      <c r="N8" s="50">
        <v>42</v>
      </c>
      <c r="O8" s="21">
        <v>21.462500000000002</v>
      </c>
      <c r="P8" s="19">
        <v>1</v>
      </c>
      <c r="Q8" s="19">
        <v>5</v>
      </c>
      <c r="R8" s="19">
        <v>6</v>
      </c>
      <c r="S8" s="20">
        <v>0.14285714285714285</v>
      </c>
      <c r="T8" s="19">
        <v>26</v>
      </c>
      <c r="U8" s="20">
        <v>3.8461538461538463</v>
      </c>
      <c r="V8" s="19">
        <v>0</v>
      </c>
      <c r="W8" s="19">
        <v>0</v>
      </c>
      <c r="X8" s="19">
        <v>0</v>
      </c>
      <c r="Y8" s="19">
        <v>0</v>
      </c>
      <c r="Z8" s="19">
        <v>-16</v>
      </c>
      <c r="AA8" s="19">
        <v>10</v>
      </c>
      <c r="AB8" s="51">
        <v>0.51041666666666663</v>
      </c>
      <c r="AC8" s="56">
        <v>6</v>
      </c>
      <c r="AD8" s="11">
        <v>3.3416666666666668</v>
      </c>
      <c r="AE8" s="10">
        <v>1</v>
      </c>
      <c r="AF8" s="10">
        <v>0</v>
      </c>
      <c r="AG8" s="10">
        <v>1</v>
      </c>
      <c r="AH8" s="10">
        <v>7</v>
      </c>
      <c r="AI8" s="10">
        <v>14.29</v>
      </c>
      <c r="AJ8" s="10">
        <v>0</v>
      </c>
      <c r="AK8" s="10">
        <v>0</v>
      </c>
      <c r="AL8" s="10">
        <v>0</v>
      </c>
      <c r="AM8" s="10">
        <v>1</v>
      </c>
      <c r="AN8" s="10">
        <v>3</v>
      </c>
      <c r="AO8" s="10">
        <v>0</v>
      </c>
      <c r="AP8" s="13">
        <v>0.55694444444444446</v>
      </c>
      <c r="AQ8" s="76">
        <v>8</v>
      </c>
      <c r="AR8" s="77">
        <v>2.2937499999999997</v>
      </c>
      <c r="AS8" s="78">
        <v>1</v>
      </c>
      <c r="AT8" s="78">
        <v>0</v>
      </c>
      <c r="AU8" s="78">
        <v>1</v>
      </c>
      <c r="AV8" s="78">
        <v>5</v>
      </c>
      <c r="AW8" s="78" t="s">
        <v>217</v>
      </c>
      <c r="AX8" s="78">
        <v>0</v>
      </c>
      <c r="AY8" s="78">
        <v>0</v>
      </c>
      <c r="AZ8" s="78">
        <v>0</v>
      </c>
      <c r="BA8" s="78">
        <v>1</v>
      </c>
      <c r="BB8" s="78">
        <v>0</v>
      </c>
      <c r="BC8" s="78">
        <v>0</v>
      </c>
      <c r="BD8" s="79">
        <v>0.28611111111111115</v>
      </c>
    </row>
    <row r="9" spans="1:69" ht="28.2" thickBot="1" x14ac:dyDescent="0.35">
      <c r="A9" s="24" t="s">
        <v>114</v>
      </c>
      <c r="B9" s="19" t="s">
        <v>80</v>
      </c>
      <c r="C9" s="19" t="s">
        <v>79</v>
      </c>
      <c r="D9" s="19">
        <f t="shared" si="0"/>
        <v>51</v>
      </c>
      <c r="E9" s="19">
        <f t="shared" si="1"/>
        <v>10</v>
      </c>
      <c r="F9" s="19">
        <f t="shared" si="2"/>
        <v>7</v>
      </c>
      <c r="G9" s="19">
        <f t="shared" si="3"/>
        <v>17</v>
      </c>
      <c r="H9" s="20">
        <f t="shared" si="4"/>
        <v>0.33333333333333331</v>
      </c>
      <c r="I9" s="49">
        <f t="shared" si="5"/>
        <v>-17</v>
      </c>
      <c r="J9" s="59">
        <f t="shared" si="6"/>
        <v>-0.33333333333333331</v>
      </c>
      <c r="K9" s="49">
        <f t="shared" si="7"/>
        <v>109</v>
      </c>
      <c r="L9" s="20">
        <f t="shared" si="8"/>
        <v>2.1372549019607843</v>
      </c>
      <c r="M9" s="49">
        <f t="shared" si="9"/>
        <v>20</v>
      </c>
      <c r="N9" s="50">
        <v>35</v>
      </c>
      <c r="O9" s="21">
        <v>26.632638888888888</v>
      </c>
      <c r="P9" s="19">
        <v>7</v>
      </c>
      <c r="Q9" s="19">
        <v>6</v>
      </c>
      <c r="R9" s="19">
        <v>13</v>
      </c>
      <c r="S9" s="20">
        <v>0.37142857142857144</v>
      </c>
      <c r="T9" s="19">
        <v>79</v>
      </c>
      <c r="U9" s="20">
        <v>8.8607594936708853</v>
      </c>
      <c r="V9" s="19">
        <v>2</v>
      </c>
      <c r="W9" s="19">
        <v>4</v>
      </c>
      <c r="X9" s="19">
        <v>1</v>
      </c>
      <c r="Y9" s="19">
        <v>1</v>
      </c>
      <c r="Z9" s="19">
        <v>-12</v>
      </c>
      <c r="AA9" s="19">
        <v>18</v>
      </c>
      <c r="AB9" s="51">
        <v>0.76041666666666663</v>
      </c>
      <c r="AC9" s="56">
        <v>5</v>
      </c>
      <c r="AD9" s="11">
        <v>3.4805555555555556</v>
      </c>
      <c r="AE9" s="10">
        <v>0</v>
      </c>
      <c r="AF9" s="10">
        <v>1</v>
      </c>
      <c r="AG9" s="10">
        <v>1</v>
      </c>
      <c r="AH9" s="10">
        <v>6</v>
      </c>
      <c r="AI9" s="10" t="s">
        <v>78</v>
      </c>
      <c r="AJ9" s="10">
        <v>0</v>
      </c>
      <c r="AK9" s="10">
        <v>0</v>
      </c>
      <c r="AL9" s="10">
        <v>0</v>
      </c>
      <c r="AM9" s="10">
        <v>0</v>
      </c>
      <c r="AN9" s="10">
        <v>-1</v>
      </c>
      <c r="AO9" s="10">
        <v>0</v>
      </c>
      <c r="AP9" s="13">
        <v>0.6958333333333333</v>
      </c>
      <c r="AQ9" s="76">
        <v>11</v>
      </c>
      <c r="AR9" s="77">
        <v>6.8694444444444445</v>
      </c>
      <c r="AS9" s="78">
        <v>3</v>
      </c>
      <c r="AT9" s="78">
        <v>0</v>
      </c>
      <c r="AU9" s="78">
        <v>3</v>
      </c>
      <c r="AV9" s="78">
        <v>24</v>
      </c>
      <c r="AW9" s="80">
        <v>18598</v>
      </c>
      <c r="AX9" s="78">
        <v>1</v>
      </c>
      <c r="AY9" s="78">
        <v>1</v>
      </c>
      <c r="AZ9" s="78">
        <v>0</v>
      </c>
      <c r="BA9" s="78">
        <v>0</v>
      </c>
      <c r="BB9" s="78">
        <v>-4</v>
      </c>
      <c r="BC9" s="78">
        <v>2</v>
      </c>
      <c r="BD9" s="79">
        <v>0.62430555555555556</v>
      </c>
    </row>
    <row r="10" spans="1:69" ht="28.2" thickBot="1" x14ac:dyDescent="0.35">
      <c r="A10" s="24" t="s">
        <v>115</v>
      </c>
      <c r="B10" s="19" t="s">
        <v>80</v>
      </c>
      <c r="C10" s="19" t="s">
        <v>79</v>
      </c>
      <c r="D10" s="19">
        <f t="shared" si="0"/>
        <v>54</v>
      </c>
      <c r="E10" s="19">
        <f t="shared" si="1"/>
        <v>4</v>
      </c>
      <c r="F10" s="19">
        <f t="shared" si="2"/>
        <v>7</v>
      </c>
      <c r="G10" s="19">
        <f t="shared" si="3"/>
        <v>11</v>
      </c>
      <c r="H10" s="20">
        <f t="shared" si="4"/>
        <v>0.20370370370370369</v>
      </c>
      <c r="I10" s="49">
        <f t="shared" si="5"/>
        <v>-10</v>
      </c>
      <c r="J10" s="59">
        <f t="shared" si="6"/>
        <v>-0.18518518518518517</v>
      </c>
      <c r="K10" s="49">
        <f t="shared" si="7"/>
        <v>74</v>
      </c>
      <c r="L10" s="20">
        <f t="shared" si="8"/>
        <v>1.3703703703703705</v>
      </c>
      <c r="M10" s="49">
        <f t="shared" si="9"/>
        <v>32</v>
      </c>
      <c r="N10" s="50">
        <v>42</v>
      </c>
      <c r="O10" s="21">
        <v>22.477083333333336</v>
      </c>
      <c r="P10" s="19">
        <v>2</v>
      </c>
      <c r="Q10" s="19">
        <v>5</v>
      </c>
      <c r="R10" s="19">
        <v>7</v>
      </c>
      <c r="S10" s="20">
        <v>0.16666666666666666</v>
      </c>
      <c r="T10" s="19">
        <v>51</v>
      </c>
      <c r="U10" s="20">
        <v>3.9215686274509802</v>
      </c>
      <c r="V10" s="19">
        <v>0</v>
      </c>
      <c r="W10" s="19">
        <v>0</v>
      </c>
      <c r="X10" s="19">
        <v>0</v>
      </c>
      <c r="Y10" s="19">
        <v>0</v>
      </c>
      <c r="Z10" s="19">
        <v>-10</v>
      </c>
      <c r="AA10" s="19">
        <v>26</v>
      </c>
      <c r="AB10" s="51">
        <v>0.53472222222222221</v>
      </c>
      <c r="AC10" s="56">
        <v>5</v>
      </c>
      <c r="AD10" s="11">
        <v>3.5805555555555557</v>
      </c>
      <c r="AE10" s="10">
        <v>1</v>
      </c>
      <c r="AF10" s="10">
        <v>1</v>
      </c>
      <c r="AG10" s="10">
        <v>2</v>
      </c>
      <c r="AH10" s="10">
        <v>9</v>
      </c>
      <c r="AI10" s="23">
        <v>43415</v>
      </c>
      <c r="AJ10" s="10">
        <v>1</v>
      </c>
      <c r="AK10" s="10">
        <v>2</v>
      </c>
      <c r="AL10" s="10">
        <v>0</v>
      </c>
      <c r="AM10" s="10">
        <v>1</v>
      </c>
      <c r="AN10" s="10">
        <v>1</v>
      </c>
      <c r="AO10" s="10">
        <v>4</v>
      </c>
      <c r="AP10" s="13">
        <v>0.71597222222222223</v>
      </c>
      <c r="AQ10" s="76">
        <v>7</v>
      </c>
      <c r="AR10" s="77">
        <v>4.0965277777777773</v>
      </c>
      <c r="AS10" s="78">
        <v>1</v>
      </c>
      <c r="AT10" s="78">
        <v>1</v>
      </c>
      <c r="AU10" s="78">
        <v>2</v>
      </c>
      <c r="AV10" s="78">
        <v>14</v>
      </c>
      <c r="AW10" s="80">
        <v>41821</v>
      </c>
      <c r="AX10" s="78">
        <v>1</v>
      </c>
      <c r="AY10" s="78">
        <v>2</v>
      </c>
      <c r="AZ10" s="78">
        <v>0</v>
      </c>
      <c r="BA10" s="78">
        <v>0</v>
      </c>
      <c r="BB10" s="78">
        <v>-1</v>
      </c>
      <c r="BC10" s="78">
        <v>2</v>
      </c>
      <c r="BD10" s="79">
        <v>0.58472222222222225</v>
      </c>
    </row>
    <row r="11" spans="1:69" ht="28.2" thickBot="1" x14ac:dyDescent="0.35">
      <c r="A11" s="24" t="s">
        <v>106</v>
      </c>
      <c r="B11" s="19" t="s">
        <v>80</v>
      </c>
      <c r="C11" s="19" t="s">
        <v>79</v>
      </c>
      <c r="D11" s="19">
        <f t="shared" si="0"/>
        <v>62</v>
      </c>
      <c r="E11" s="19">
        <f t="shared" si="1"/>
        <v>4</v>
      </c>
      <c r="F11" s="19">
        <f t="shared" si="2"/>
        <v>4</v>
      </c>
      <c r="G11" s="19">
        <f t="shared" si="3"/>
        <v>8</v>
      </c>
      <c r="H11" s="20">
        <f t="shared" si="4"/>
        <v>0.12903225806451613</v>
      </c>
      <c r="I11" s="49">
        <f t="shared" si="5"/>
        <v>-10</v>
      </c>
      <c r="J11" s="59">
        <f t="shared" si="6"/>
        <v>-0.16129032258064516</v>
      </c>
      <c r="K11" s="49">
        <f t="shared" si="7"/>
        <v>73</v>
      </c>
      <c r="L11" s="20">
        <f t="shared" si="8"/>
        <v>1.1774193548387097</v>
      </c>
      <c r="M11" s="49">
        <f t="shared" si="9"/>
        <v>26</v>
      </c>
      <c r="N11" s="50">
        <v>46</v>
      </c>
      <c r="O11" s="21">
        <v>21.640972222222221</v>
      </c>
      <c r="P11" s="19">
        <v>2</v>
      </c>
      <c r="Q11" s="19">
        <v>3</v>
      </c>
      <c r="R11" s="19">
        <v>5</v>
      </c>
      <c r="S11" s="20">
        <v>0.10869565217391304</v>
      </c>
      <c r="T11" s="19">
        <v>46</v>
      </c>
      <c r="U11" s="20">
        <v>4.3478260869565215</v>
      </c>
      <c r="V11" s="19">
        <v>0</v>
      </c>
      <c r="W11" s="19">
        <v>0</v>
      </c>
      <c r="X11" s="19">
        <v>0</v>
      </c>
      <c r="Y11" s="19">
        <v>0</v>
      </c>
      <c r="Z11" s="19">
        <v>-9</v>
      </c>
      <c r="AA11" s="19">
        <v>20</v>
      </c>
      <c r="AB11" s="51">
        <v>0.47013888888888888</v>
      </c>
      <c r="AC11" s="56">
        <v>4</v>
      </c>
      <c r="AD11" s="11">
        <v>2.0625</v>
      </c>
      <c r="AE11" s="10">
        <v>1</v>
      </c>
      <c r="AF11" s="10">
        <v>0</v>
      </c>
      <c r="AG11" s="10">
        <v>1</v>
      </c>
      <c r="AH11" s="10">
        <v>9</v>
      </c>
      <c r="AI11" s="10">
        <v>11.11</v>
      </c>
      <c r="AJ11" s="10">
        <v>0</v>
      </c>
      <c r="AK11" s="10">
        <v>0</v>
      </c>
      <c r="AL11" s="10">
        <v>0</v>
      </c>
      <c r="AM11" s="10">
        <v>0</v>
      </c>
      <c r="AN11" s="10">
        <v>-1</v>
      </c>
      <c r="AO11" s="10">
        <v>2</v>
      </c>
      <c r="AP11" s="13">
        <v>0.51527777777777783</v>
      </c>
      <c r="AQ11" s="76">
        <v>12</v>
      </c>
      <c r="AR11" s="77">
        <v>5.7138888888888886</v>
      </c>
      <c r="AS11" s="78">
        <v>1</v>
      </c>
      <c r="AT11" s="78">
        <v>1</v>
      </c>
      <c r="AU11" s="78">
        <v>2</v>
      </c>
      <c r="AV11" s="78">
        <v>18</v>
      </c>
      <c r="AW11" s="80">
        <v>20576</v>
      </c>
      <c r="AX11" s="78">
        <v>0</v>
      </c>
      <c r="AY11" s="78">
        <v>0</v>
      </c>
      <c r="AZ11" s="78">
        <v>0</v>
      </c>
      <c r="BA11" s="78">
        <v>1</v>
      </c>
      <c r="BB11" s="78">
        <v>0</v>
      </c>
      <c r="BC11" s="78">
        <v>4</v>
      </c>
      <c r="BD11" s="79">
        <v>0.47569444444444442</v>
      </c>
    </row>
    <row r="12" spans="1:69" ht="27.6" x14ac:dyDescent="0.3">
      <c r="A12" s="24" t="s">
        <v>120</v>
      </c>
      <c r="B12" s="19" t="s">
        <v>80</v>
      </c>
      <c r="C12" s="19" t="s">
        <v>79</v>
      </c>
      <c r="D12" s="19">
        <f t="shared" si="0"/>
        <v>18</v>
      </c>
      <c r="E12" s="19">
        <f t="shared" si="1"/>
        <v>5</v>
      </c>
      <c r="F12" s="19">
        <f t="shared" si="2"/>
        <v>7</v>
      </c>
      <c r="G12" s="19">
        <f t="shared" si="3"/>
        <v>12</v>
      </c>
      <c r="H12" s="20">
        <f t="shared" si="4"/>
        <v>0.66666666666666663</v>
      </c>
      <c r="I12" s="49">
        <f t="shared" si="5"/>
        <v>-8</v>
      </c>
      <c r="J12" s="59">
        <f t="shared" si="6"/>
        <v>-0.44444444444444442</v>
      </c>
      <c r="K12" s="49">
        <f t="shared" si="7"/>
        <v>31</v>
      </c>
      <c r="L12" s="20">
        <f t="shared" si="8"/>
        <v>1.7222222222222223</v>
      </c>
      <c r="M12" s="49">
        <f t="shared" si="9"/>
        <v>12</v>
      </c>
      <c r="N12" s="50">
        <v>18</v>
      </c>
      <c r="O12" s="21">
        <v>12.786805555555555</v>
      </c>
      <c r="P12" s="19">
        <v>5</v>
      </c>
      <c r="Q12" s="19">
        <v>7</v>
      </c>
      <c r="R12" s="19">
        <v>12</v>
      </c>
      <c r="S12" s="20">
        <v>0.66666666666666663</v>
      </c>
      <c r="T12" s="19">
        <v>31</v>
      </c>
      <c r="U12" s="20">
        <v>16.129032258064516</v>
      </c>
      <c r="V12" s="19">
        <v>1</v>
      </c>
      <c r="W12" s="19">
        <v>5</v>
      </c>
      <c r="X12" s="19">
        <v>0</v>
      </c>
      <c r="Y12" s="19">
        <v>1</v>
      </c>
      <c r="Z12" s="19">
        <v>-8</v>
      </c>
      <c r="AA12" s="19">
        <v>12</v>
      </c>
      <c r="AB12" s="51">
        <v>0.70972222222222225</v>
      </c>
      <c r="AQ12" s="86"/>
      <c r="AR12" s="89"/>
      <c r="AS12" s="89"/>
      <c r="AT12" s="89"/>
      <c r="AU12" s="89"/>
      <c r="AV12" s="89"/>
      <c r="AW12" s="89"/>
      <c r="AX12" s="89"/>
      <c r="AY12" s="89"/>
      <c r="AZ12" s="89"/>
      <c r="BA12" s="89"/>
      <c r="BB12" s="89"/>
      <c r="BC12" s="89"/>
      <c r="BD12" s="94"/>
    </row>
    <row r="13" spans="1:69" ht="28.2" thickBot="1" x14ac:dyDescent="0.35">
      <c r="A13" s="24" t="s">
        <v>113</v>
      </c>
      <c r="B13" s="19" t="s">
        <v>80</v>
      </c>
      <c r="C13" s="19" t="s">
        <v>79</v>
      </c>
      <c r="D13" s="19">
        <f t="shared" si="0"/>
        <v>22</v>
      </c>
      <c r="E13" s="19">
        <f t="shared" si="1"/>
        <v>5</v>
      </c>
      <c r="F13" s="19">
        <f t="shared" si="2"/>
        <v>1</v>
      </c>
      <c r="G13" s="19">
        <f t="shared" si="3"/>
        <v>6</v>
      </c>
      <c r="H13" s="20">
        <f t="shared" si="4"/>
        <v>0.27272727272727271</v>
      </c>
      <c r="I13" s="49">
        <f t="shared" si="5"/>
        <v>-8</v>
      </c>
      <c r="J13" s="59">
        <f t="shared" si="6"/>
        <v>-0.36363636363636365</v>
      </c>
      <c r="K13" s="49">
        <f t="shared" si="7"/>
        <v>37</v>
      </c>
      <c r="L13" s="20">
        <f t="shared" si="8"/>
        <v>1.6818181818181819</v>
      </c>
      <c r="M13" s="49">
        <f t="shared" si="9"/>
        <v>14</v>
      </c>
      <c r="N13" s="50">
        <v>22</v>
      </c>
      <c r="O13" s="21">
        <v>14.272916666666667</v>
      </c>
      <c r="P13" s="19">
        <v>5</v>
      </c>
      <c r="Q13" s="19">
        <v>1</v>
      </c>
      <c r="R13" s="19">
        <v>6</v>
      </c>
      <c r="S13" s="20">
        <v>0.27272727272727271</v>
      </c>
      <c r="T13" s="19">
        <v>37</v>
      </c>
      <c r="U13" s="20">
        <v>13.513513513513514</v>
      </c>
      <c r="V13" s="19">
        <v>1</v>
      </c>
      <c r="W13" s="19">
        <v>1</v>
      </c>
      <c r="X13" s="19">
        <v>0</v>
      </c>
      <c r="Y13" s="19">
        <v>3</v>
      </c>
      <c r="Z13" s="19">
        <v>-8</v>
      </c>
      <c r="AA13" s="19">
        <v>14</v>
      </c>
      <c r="AB13" s="51">
        <v>0.64861111111111114</v>
      </c>
    </row>
    <row r="14" spans="1:69" ht="27.6" x14ac:dyDescent="0.3">
      <c r="A14" s="24" t="s">
        <v>100</v>
      </c>
      <c r="B14" s="19" t="s">
        <v>80</v>
      </c>
      <c r="C14" s="19" t="s">
        <v>79</v>
      </c>
      <c r="D14" s="19">
        <f t="shared" si="0"/>
        <v>64</v>
      </c>
      <c r="E14" s="19">
        <f t="shared" si="1"/>
        <v>7</v>
      </c>
      <c r="F14" s="19">
        <f t="shared" si="2"/>
        <v>15</v>
      </c>
      <c r="G14" s="19">
        <f t="shared" si="3"/>
        <v>22</v>
      </c>
      <c r="H14" s="20">
        <f t="shared" si="4"/>
        <v>0.34375</v>
      </c>
      <c r="I14" s="49">
        <f t="shared" si="5"/>
        <v>-11</v>
      </c>
      <c r="J14" s="59">
        <f t="shared" si="6"/>
        <v>-0.171875</v>
      </c>
      <c r="K14" s="49">
        <f t="shared" si="7"/>
        <v>71</v>
      </c>
      <c r="L14" s="20">
        <f t="shared" si="8"/>
        <v>1.109375</v>
      </c>
      <c r="M14" s="49">
        <f t="shared" si="9"/>
        <v>32</v>
      </c>
      <c r="N14" s="50">
        <v>49</v>
      </c>
      <c r="O14" s="21">
        <v>30.990277777777777</v>
      </c>
      <c r="P14" s="19">
        <v>7</v>
      </c>
      <c r="Q14" s="19">
        <v>13</v>
      </c>
      <c r="R14" s="19">
        <v>20</v>
      </c>
      <c r="S14" s="20">
        <v>0.40816326530612246</v>
      </c>
      <c r="T14" s="19">
        <v>55</v>
      </c>
      <c r="U14" s="20">
        <v>12.727272727272727</v>
      </c>
      <c r="V14" s="19">
        <v>0</v>
      </c>
      <c r="W14" s="19">
        <v>5</v>
      </c>
      <c r="X14" s="19">
        <v>1</v>
      </c>
      <c r="Y14" s="19">
        <v>0</v>
      </c>
      <c r="Z14" s="19">
        <v>-8</v>
      </c>
      <c r="AA14" s="19">
        <v>30</v>
      </c>
      <c r="AB14" s="51">
        <v>0.63194444444444442</v>
      </c>
      <c r="AC14" s="56">
        <v>5</v>
      </c>
      <c r="AD14" s="11">
        <v>2.6812499999999999</v>
      </c>
      <c r="AE14" s="10">
        <v>0</v>
      </c>
      <c r="AF14" s="10">
        <v>0</v>
      </c>
      <c r="AG14" s="10">
        <v>0</v>
      </c>
      <c r="AH14" s="10">
        <v>5</v>
      </c>
      <c r="AI14" s="10" t="s">
        <v>78</v>
      </c>
      <c r="AJ14" s="10">
        <v>0</v>
      </c>
      <c r="AK14" s="10">
        <v>0</v>
      </c>
      <c r="AL14" s="10">
        <v>0</v>
      </c>
      <c r="AM14" s="10">
        <v>0</v>
      </c>
      <c r="AN14" s="10">
        <v>1</v>
      </c>
      <c r="AO14" s="10">
        <v>0</v>
      </c>
      <c r="AP14" s="13">
        <v>0.53611111111111109</v>
      </c>
      <c r="AQ14" s="76">
        <v>10</v>
      </c>
      <c r="AR14" s="77">
        <v>6.0145833333333334</v>
      </c>
      <c r="AS14" s="78">
        <v>0</v>
      </c>
      <c r="AT14" s="78">
        <v>2</v>
      </c>
      <c r="AU14" s="78">
        <v>2</v>
      </c>
      <c r="AV14" s="78">
        <v>11</v>
      </c>
      <c r="AW14" s="78" t="s">
        <v>78</v>
      </c>
      <c r="AX14" s="78">
        <v>0</v>
      </c>
      <c r="AY14" s="78">
        <v>0</v>
      </c>
      <c r="AZ14" s="78">
        <v>0</v>
      </c>
      <c r="BA14" s="78">
        <v>0</v>
      </c>
      <c r="BB14" s="78">
        <v>-4</v>
      </c>
      <c r="BC14" s="78">
        <v>2</v>
      </c>
      <c r="BD14" s="79">
        <v>0.60138888888888886</v>
      </c>
    </row>
    <row r="15" spans="1:69" ht="27.6" x14ac:dyDescent="0.3">
      <c r="A15" s="24" t="s">
        <v>111</v>
      </c>
      <c r="B15" s="19" t="s">
        <v>80</v>
      </c>
      <c r="C15" s="19" t="s">
        <v>79</v>
      </c>
      <c r="D15" s="19">
        <f t="shared" si="0"/>
        <v>70</v>
      </c>
      <c r="E15" s="19">
        <f t="shared" si="1"/>
        <v>8</v>
      </c>
      <c r="F15" s="19">
        <f t="shared" si="2"/>
        <v>11</v>
      </c>
      <c r="G15" s="19">
        <f t="shared" si="3"/>
        <v>19</v>
      </c>
      <c r="H15" s="20">
        <f t="shared" si="4"/>
        <v>0.27142857142857141</v>
      </c>
      <c r="I15" s="49">
        <f t="shared" si="5"/>
        <v>-3</v>
      </c>
      <c r="J15" s="59">
        <f t="shared" si="6"/>
        <v>-4.2857142857142858E-2</v>
      </c>
      <c r="K15" s="49">
        <f t="shared" si="7"/>
        <v>106</v>
      </c>
      <c r="L15" s="20">
        <f t="shared" si="8"/>
        <v>1.5142857142857142</v>
      </c>
      <c r="M15" s="49">
        <f t="shared" si="9"/>
        <v>76</v>
      </c>
      <c r="N15" s="50">
        <v>52</v>
      </c>
      <c r="O15" s="21">
        <v>38.12083333333333</v>
      </c>
      <c r="P15" s="19">
        <v>7</v>
      </c>
      <c r="Q15" s="19">
        <v>7</v>
      </c>
      <c r="R15" s="19">
        <v>14</v>
      </c>
      <c r="S15" s="20">
        <v>0.26923076923076922</v>
      </c>
      <c r="T15" s="19">
        <v>76</v>
      </c>
      <c r="U15" s="20">
        <v>9.2105263157894726</v>
      </c>
      <c r="V15" s="19">
        <v>1</v>
      </c>
      <c r="W15" s="19">
        <v>2</v>
      </c>
      <c r="X15" s="19">
        <v>0</v>
      </c>
      <c r="Y15" s="19">
        <v>0</v>
      </c>
      <c r="Z15" s="19">
        <v>-8</v>
      </c>
      <c r="AA15" s="19">
        <v>56</v>
      </c>
      <c r="AB15" s="51">
        <v>0.73263888888888884</v>
      </c>
      <c r="AC15" s="56">
        <v>6</v>
      </c>
      <c r="AD15" s="11">
        <v>4.4854166666666666</v>
      </c>
      <c r="AE15" s="10">
        <v>0</v>
      </c>
      <c r="AF15" s="10">
        <v>2</v>
      </c>
      <c r="AG15" s="10">
        <v>2</v>
      </c>
      <c r="AH15" s="10">
        <v>8</v>
      </c>
      <c r="AI15" s="10" t="s">
        <v>78</v>
      </c>
      <c r="AJ15" s="10">
        <v>0</v>
      </c>
      <c r="AK15" s="10">
        <v>1</v>
      </c>
      <c r="AL15" s="10">
        <v>0</v>
      </c>
      <c r="AM15" s="10">
        <v>0</v>
      </c>
      <c r="AN15" s="10">
        <v>1</v>
      </c>
      <c r="AO15" s="10">
        <v>6</v>
      </c>
      <c r="AP15" s="13">
        <v>0.74722222222222223</v>
      </c>
      <c r="AQ15" s="85">
        <v>12</v>
      </c>
      <c r="AR15" s="88">
        <v>8.969444444444445</v>
      </c>
      <c r="AS15" s="90">
        <v>1</v>
      </c>
      <c r="AT15" s="90">
        <v>2</v>
      </c>
      <c r="AU15" s="90">
        <v>3</v>
      </c>
      <c r="AV15" s="90">
        <v>22</v>
      </c>
      <c r="AW15" s="91">
        <v>20180</v>
      </c>
      <c r="AX15" s="90">
        <v>0</v>
      </c>
      <c r="AY15" s="90">
        <v>0</v>
      </c>
      <c r="AZ15" s="90">
        <v>1</v>
      </c>
      <c r="BA15" s="90">
        <v>0</v>
      </c>
      <c r="BB15" s="90">
        <v>4</v>
      </c>
      <c r="BC15" s="90">
        <v>14</v>
      </c>
      <c r="BD15" s="93">
        <v>0.74722222222222223</v>
      </c>
    </row>
    <row r="16" spans="1:69" ht="28.2" thickBot="1" x14ac:dyDescent="0.35">
      <c r="A16" s="24" t="s">
        <v>102</v>
      </c>
      <c r="B16" s="19" t="s">
        <v>80</v>
      </c>
      <c r="C16" s="19" t="s">
        <v>79</v>
      </c>
      <c r="D16" s="19">
        <f t="shared" si="0"/>
        <v>8</v>
      </c>
      <c r="E16" s="19">
        <f t="shared" si="1"/>
        <v>1</v>
      </c>
      <c r="F16" s="19">
        <f t="shared" si="2"/>
        <v>1</v>
      </c>
      <c r="G16" s="19">
        <f t="shared" si="3"/>
        <v>2</v>
      </c>
      <c r="H16" s="20">
        <f t="shared" si="4"/>
        <v>0.25</v>
      </c>
      <c r="I16" s="49">
        <f t="shared" si="5"/>
        <v>-7</v>
      </c>
      <c r="J16" s="59">
        <f t="shared" si="6"/>
        <v>-0.875</v>
      </c>
      <c r="K16" s="49">
        <f t="shared" si="7"/>
        <v>4</v>
      </c>
      <c r="L16" s="20">
        <f t="shared" si="8"/>
        <v>0.5</v>
      </c>
      <c r="M16" s="49">
        <f t="shared" si="9"/>
        <v>6</v>
      </c>
      <c r="N16" s="50">
        <v>8</v>
      </c>
      <c r="O16" s="21">
        <v>3.8979166666666667</v>
      </c>
      <c r="P16" s="19">
        <v>1</v>
      </c>
      <c r="Q16" s="19">
        <v>1</v>
      </c>
      <c r="R16" s="19">
        <v>2</v>
      </c>
      <c r="S16" s="20">
        <v>0.25</v>
      </c>
      <c r="T16" s="19">
        <v>4</v>
      </c>
      <c r="U16" s="20">
        <v>25</v>
      </c>
      <c r="V16" s="19">
        <v>0</v>
      </c>
      <c r="W16" s="19">
        <v>1</v>
      </c>
      <c r="X16" s="19">
        <v>0</v>
      </c>
      <c r="Y16" s="19">
        <v>0</v>
      </c>
      <c r="Z16" s="19">
        <v>-7</v>
      </c>
      <c r="AA16" s="19">
        <v>6</v>
      </c>
      <c r="AB16" s="51">
        <v>0.48680555555555555</v>
      </c>
      <c r="AQ16" s="81"/>
      <c r="AR16" s="82"/>
      <c r="AS16" s="82"/>
      <c r="AT16" s="82"/>
      <c r="AU16" s="82"/>
      <c r="AV16" s="82"/>
      <c r="AW16" s="82"/>
      <c r="AX16" s="82"/>
      <c r="AY16" s="82"/>
      <c r="AZ16" s="82"/>
      <c r="BA16" s="82"/>
      <c r="BB16" s="82"/>
      <c r="BC16" s="82"/>
      <c r="BD16" s="83"/>
    </row>
    <row r="17" spans="1:56" ht="27.6" x14ac:dyDescent="0.3">
      <c r="A17" s="24" t="s">
        <v>105</v>
      </c>
      <c r="B17" s="19" t="s">
        <v>80</v>
      </c>
      <c r="C17" s="19" t="s">
        <v>88</v>
      </c>
      <c r="D17" s="19">
        <f t="shared" si="0"/>
        <v>60</v>
      </c>
      <c r="E17" s="19">
        <f t="shared" si="1"/>
        <v>6</v>
      </c>
      <c r="F17" s="19">
        <f t="shared" si="2"/>
        <v>6</v>
      </c>
      <c r="G17" s="19">
        <f t="shared" si="3"/>
        <v>12</v>
      </c>
      <c r="H17" s="20">
        <f t="shared" si="4"/>
        <v>0.2</v>
      </c>
      <c r="I17" s="49">
        <f t="shared" si="5"/>
        <v>-6</v>
      </c>
      <c r="J17" s="59">
        <f t="shared" si="6"/>
        <v>-0.1</v>
      </c>
      <c r="K17" s="49">
        <f t="shared" si="7"/>
        <v>99</v>
      </c>
      <c r="L17" s="20">
        <f t="shared" si="8"/>
        <v>1.65</v>
      </c>
      <c r="M17" s="49">
        <f t="shared" si="9"/>
        <v>56</v>
      </c>
      <c r="N17" s="50">
        <v>44</v>
      </c>
      <c r="O17" s="21">
        <v>32.336805555555557</v>
      </c>
      <c r="P17" s="19">
        <v>2</v>
      </c>
      <c r="Q17" s="19">
        <v>5</v>
      </c>
      <c r="R17" s="19">
        <v>7</v>
      </c>
      <c r="S17" s="20">
        <v>0.15909090909090909</v>
      </c>
      <c r="T17" s="19">
        <v>64</v>
      </c>
      <c r="U17" s="20">
        <v>3.125</v>
      </c>
      <c r="V17" s="19">
        <v>1</v>
      </c>
      <c r="W17" s="19">
        <v>1</v>
      </c>
      <c r="X17" s="19">
        <v>0</v>
      </c>
      <c r="Y17" s="19">
        <v>0</v>
      </c>
      <c r="Z17" s="19">
        <v>-7</v>
      </c>
      <c r="AA17" s="19">
        <v>40</v>
      </c>
      <c r="AB17" s="51">
        <v>0.73472222222222217</v>
      </c>
      <c r="AC17" s="56">
        <v>4</v>
      </c>
      <c r="AD17" s="11">
        <v>3.4277777777777776</v>
      </c>
      <c r="AE17" s="10">
        <v>0</v>
      </c>
      <c r="AF17" s="10">
        <v>0</v>
      </c>
      <c r="AG17" s="10">
        <v>0</v>
      </c>
      <c r="AH17" s="10">
        <v>7</v>
      </c>
      <c r="AI17" s="10" t="s">
        <v>78</v>
      </c>
      <c r="AJ17" s="10">
        <v>0</v>
      </c>
      <c r="AK17" s="10">
        <v>0</v>
      </c>
      <c r="AL17" s="10">
        <v>0</v>
      </c>
      <c r="AM17" s="10">
        <v>0</v>
      </c>
      <c r="AN17" s="10">
        <v>-1</v>
      </c>
      <c r="AO17" s="10">
        <v>4</v>
      </c>
      <c r="AP17" s="13">
        <v>0.8569444444444444</v>
      </c>
      <c r="AQ17" s="76">
        <v>12</v>
      </c>
      <c r="AR17" s="77">
        <v>10.52361111111111</v>
      </c>
      <c r="AS17" s="78">
        <v>4</v>
      </c>
      <c r="AT17" s="78">
        <v>1</v>
      </c>
      <c r="AU17" s="78">
        <v>5</v>
      </c>
      <c r="AV17" s="78">
        <v>28</v>
      </c>
      <c r="AW17" s="78" t="s">
        <v>215</v>
      </c>
      <c r="AX17" s="78">
        <v>1</v>
      </c>
      <c r="AY17" s="78">
        <v>2</v>
      </c>
      <c r="AZ17" s="78">
        <v>0</v>
      </c>
      <c r="BA17" s="78">
        <v>1</v>
      </c>
      <c r="BB17" s="78">
        <v>2</v>
      </c>
      <c r="BC17" s="78">
        <v>12</v>
      </c>
      <c r="BD17" s="79">
        <v>0.87638888888888899</v>
      </c>
    </row>
    <row r="18" spans="1:56" ht="28.2" thickBot="1" x14ac:dyDescent="0.35">
      <c r="A18" s="24" t="s">
        <v>112</v>
      </c>
      <c r="B18" s="19" t="s">
        <v>80</v>
      </c>
      <c r="C18" s="19" t="s">
        <v>79</v>
      </c>
      <c r="D18" s="19">
        <f t="shared" si="0"/>
        <v>62</v>
      </c>
      <c r="E18" s="19">
        <f t="shared" si="1"/>
        <v>6</v>
      </c>
      <c r="F18" s="19">
        <f t="shared" si="2"/>
        <v>4</v>
      </c>
      <c r="G18" s="19">
        <f t="shared" si="3"/>
        <v>10</v>
      </c>
      <c r="H18" s="20">
        <f t="shared" si="4"/>
        <v>0.16129032258064516</v>
      </c>
      <c r="I18" s="49">
        <f t="shared" si="5"/>
        <v>-5</v>
      </c>
      <c r="J18" s="59">
        <f t="shared" si="6"/>
        <v>-8.0645161290322578E-2</v>
      </c>
      <c r="K18" s="49">
        <f t="shared" si="7"/>
        <v>49</v>
      </c>
      <c r="L18" s="20">
        <f t="shared" si="8"/>
        <v>0.79032258064516125</v>
      </c>
      <c r="M18" s="49">
        <f t="shared" si="9"/>
        <v>12</v>
      </c>
      <c r="N18" s="50">
        <v>45</v>
      </c>
      <c r="O18" s="21">
        <v>18.426388888888891</v>
      </c>
      <c r="P18" s="19">
        <v>5</v>
      </c>
      <c r="Q18" s="19">
        <v>1</v>
      </c>
      <c r="R18" s="19">
        <v>6</v>
      </c>
      <c r="S18" s="20">
        <v>0.13333333333333333</v>
      </c>
      <c r="T18" s="19">
        <v>30</v>
      </c>
      <c r="U18" s="20">
        <v>16.666666666666664</v>
      </c>
      <c r="V18" s="19">
        <v>0</v>
      </c>
      <c r="W18" s="19">
        <v>0</v>
      </c>
      <c r="X18" s="19">
        <v>0</v>
      </c>
      <c r="Y18" s="19">
        <v>2</v>
      </c>
      <c r="Z18" s="19">
        <v>-6</v>
      </c>
      <c r="AA18" s="19">
        <v>12</v>
      </c>
      <c r="AB18" s="51">
        <v>0.40902777777777777</v>
      </c>
      <c r="AC18" s="56">
        <v>5</v>
      </c>
      <c r="AD18" s="11">
        <v>2.6645833333333333</v>
      </c>
      <c r="AE18" s="10">
        <v>1</v>
      </c>
      <c r="AF18" s="10">
        <v>1</v>
      </c>
      <c r="AG18" s="10">
        <v>2</v>
      </c>
      <c r="AH18" s="10">
        <v>11</v>
      </c>
      <c r="AI18" s="12">
        <v>0.38125000000000003</v>
      </c>
      <c r="AJ18" s="10">
        <v>0</v>
      </c>
      <c r="AK18" s="10">
        <v>0</v>
      </c>
      <c r="AL18" s="10">
        <v>0</v>
      </c>
      <c r="AM18" s="10">
        <v>0</v>
      </c>
      <c r="AN18" s="10">
        <v>1</v>
      </c>
      <c r="AO18" s="10">
        <v>0</v>
      </c>
      <c r="AP18" s="13">
        <v>0.53263888888888888</v>
      </c>
      <c r="AQ18" s="85">
        <v>12</v>
      </c>
      <c r="AR18" s="88">
        <v>4.1256944444444441</v>
      </c>
      <c r="AS18" s="90">
        <v>0</v>
      </c>
      <c r="AT18" s="90">
        <v>2</v>
      </c>
      <c r="AU18" s="90">
        <v>2</v>
      </c>
      <c r="AV18" s="90">
        <v>8</v>
      </c>
      <c r="AW18" s="90" t="s">
        <v>78</v>
      </c>
      <c r="AX18" s="90">
        <v>0</v>
      </c>
      <c r="AY18" s="90">
        <v>0</v>
      </c>
      <c r="AZ18" s="90">
        <v>0</v>
      </c>
      <c r="BA18" s="90">
        <v>0</v>
      </c>
      <c r="BB18" s="90">
        <v>0</v>
      </c>
      <c r="BC18" s="90">
        <v>0</v>
      </c>
      <c r="BD18" s="93">
        <v>0.34375</v>
      </c>
    </row>
    <row r="19" spans="1:56" ht="28.2" thickBot="1" x14ac:dyDescent="0.35">
      <c r="A19" s="24" t="s">
        <v>101</v>
      </c>
      <c r="B19" s="19" t="s">
        <v>80</v>
      </c>
      <c r="C19" s="19" t="s">
        <v>79</v>
      </c>
      <c r="D19" s="19">
        <f t="shared" si="0"/>
        <v>8</v>
      </c>
      <c r="E19" s="19">
        <f t="shared" si="1"/>
        <v>0</v>
      </c>
      <c r="F19" s="19">
        <f t="shared" si="2"/>
        <v>2</v>
      </c>
      <c r="G19" s="19">
        <f t="shared" si="3"/>
        <v>2</v>
      </c>
      <c r="H19" s="20">
        <f t="shared" si="4"/>
        <v>0.25</v>
      </c>
      <c r="I19" s="49">
        <f t="shared" si="5"/>
        <v>-5</v>
      </c>
      <c r="J19" s="59">
        <f t="shared" si="6"/>
        <v>-0.625</v>
      </c>
      <c r="K19" s="49">
        <f t="shared" si="7"/>
        <v>10</v>
      </c>
      <c r="L19" s="20">
        <f t="shared" si="8"/>
        <v>1.25</v>
      </c>
      <c r="M19" s="49">
        <f t="shared" si="9"/>
        <v>2</v>
      </c>
      <c r="N19" s="50">
        <v>8</v>
      </c>
      <c r="O19" s="21">
        <v>4.0166666666666666</v>
      </c>
      <c r="P19" s="19">
        <v>0</v>
      </c>
      <c r="Q19" s="19">
        <v>2</v>
      </c>
      <c r="R19" s="19">
        <v>2</v>
      </c>
      <c r="S19" s="20">
        <v>0.25</v>
      </c>
      <c r="T19" s="19">
        <v>10</v>
      </c>
      <c r="U19" s="20">
        <v>0</v>
      </c>
      <c r="V19" s="19">
        <v>0</v>
      </c>
      <c r="W19" s="19">
        <v>1</v>
      </c>
      <c r="X19" s="19">
        <v>0</v>
      </c>
      <c r="Y19" s="19">
        <v>0</v>
      </c>
      <c r="Z19" s="19">
        <v>-5</v>
      </c>
      <c r="AA19" s="19">
        <v>2</v>
      </c>
      <c r="AB19" s="51">
        <v>0.50208333333333333</v>
      </c>
      <c r="AQ19" s="84"/>
      <c r="AR19" s="87"/>
      <c r="AS19" s="87"/>
      <c r="AT19" s="87"/>
      <c r="AU19" s="87"/>
      <c r="AV19" s="87"/>
      <c r="AW19" s="87"/>
      <c r="AX19" s="87"/>
      <c r="AY19" s="87"/>
      <c r="AZ19" s="87"/>
      <c r="BA19" s="87"/>
      <c r="BB19" s="87"/>
      <c r="BC19" s="87"/>
      <c r="BD19" s="92"/>
    </row>
    <row r="20" spans="1:56" ht="27.6" x14ac:dyDescent="0.3">
      <c r="A20" s="24" t="s">
        <v>82</v>
      </c>
      <c r="B20" s="19" t="s">
        <v>80</v>
      </c>
      <c r="C20" s="19" t="s">
        <v>79</v>
      </c>
      <c r="D20" s="19">
        <f t="shared" si="0"/>
        <v>25</v>
      </c>
      <c r="E20" s="19">
        <f t="shared" si="1"/>
        <v>1</v>
      </c>
      <c r="F20" s="19">
        <f t="shared" si="2"/>
        <v>2</v>
      </c>
      <c r="G20" s="19">
        <f t="shared" si="3"/>
        <v>3</v>
      </c>
      <c r="H20" s="20">
        <f t="shared" si="4"/>
        <v>0.12</v>
      </c>
      <c r="I20" s="49">
        <f t="shared" si="5"/>
        <v>-3</v>
      </c>
      <c r="J20" s="59">
        <f t="shared" si="6"/>
        <v>-0.12</v>
      </c>
      <c r="K20" s="49">
        <f t="shared" si="7"/>
        <v>18</v>
      </c>
      <c r="L20" s="20">
        <f t="shared" si="8"/>
        <v>0.72</v>
      </c>
      <c r="M20" s="49">
        <f t="shared" si="9"/>
        <v>0</v>
      </c>
      <c r="N20" s="50">
        <v>12</v>
      </c>
      <c r="O20" s="21">
        <v>2.963888888888889</v>
      </c>
      <c r="P20" s="19">
        <v>0</v>
      </c>
      <c r="Q20" s="19">
        <v>0</v>
      </c>
      <c r="R20" s="19">
        <v>0</v>
      </c>
      <c r="S20" s="20">
        <v>0</v>
      </c>
      <c r="T20" s="19">
        <v>3</v>
      </c>
      <c r="U20" s="20">
        <v>0</v>
      </c>
      <c r="V20" s="19">
        <v>0</v>
      </c>
      <c r="W20" s="19">
        <v>0</v>
      </c>
      <c r="X20" s="19">
        <v>0</v>
      </c>
      <c r="Y20" s="19">
        <v>0</v>
      </c>
      <c r="Z20" s="19">
        <v>-5</v>
      </c>
      <c r="AA20" s="19">
        <v>0</v>
      </c>
      <c r="AB20" s="51">
        <v>0.24652777777777779</v>
      </c>
      <c r="AC20" s="56">
        <v>5</v>
      </c>
      <c r="AD20" s="11">
        <v>2.3111111111111113</v>
      </c>
      <c r="AE20" s="10">
        <v>0</v>
      </c>
      <c r="AF20" s="10">
        <v>2</v>
      </c>
      <c r="AG20" s="10">
        <v>2</v>
      </c>
      <c r="AH20" s="10">
        <v>8</v>
      </c>
      <c r="AI20" s="10" t="s">
        <v>78</v>
      </c>
      <c r="AJ20" s="10">
        <v>0</v>
      </c>
      <c r="AK20" s="10">
        <v>0</v>
      </c>
      <c r="AL20" s="10">
        <v>0</v>
      </c>
      <c r="AM20" s="10">
        <v>0</v>
      </c>
      <c r="AN20" s="10">
        <v>1</v>
      </c>
      <c r="AO20" s="10">
        <v>0</v>
      </c>
      <c r="AP20" s="13">
        <v>0.46180555555555558</v>
      </c>
      <c r="AQ20" s="76">
        <v>8</v>
      </c>
      <c r="AR20" s="77">
        <v>2.5124999999999997</v>
      </c>
      <c r="AS20" s="78">
        <v>1</v>
      </c>
      <c r="AT20" s="78">
        <v>0</v>
      </c>
      <c r="AU20" s="78">
        <v>1</v>
      </c>
      <c r="AV20" s="78">
        <v>7</v>
      </c>
      <c r="AW20" s="78" t="s">
        <v>215</v>
      </c>
      <c r="AX20" s="78">
        <v>0</v>
      </c>
      <c r="AY20" s="78">
        <v>0</v>
      </c>
      <c r="AZ20" s="78">
        <v>0</v>
      </c>
      <c r="BA20" s="78">
        <v>1</v>
      </c>
      <c r="BB20" s="78">
        <v>1</v>
      </c>
      <c r="BC20" s="78">
        <v>0</v>
      </c>
      <c r="BD20" s="79">
        <v>0.31388888888888888</v>
      </c>
    </row>
    <row r="21" spans="1:56" ht="28.2" thickBot="1" x14ac:dyDescent="0.35">
      <c r="A21" s="24" t="s">
        <v>81</v>
      </c>
      <c r="B21" s="19" t="s">
        <v>80</v>
      </c>
      <c r="C21" s="19" t="s">
        <v>79</v>
      </c>
      <c r="D21" s="19">
        <f t="shared" si="0"/>
        <v>14</v>
      </c>
      <c r="E21" s="19">
        <f t="shared" si="1"/>
        <v>0</v>
      </c>
      <c r="F21" s="19">
        <f t="shared" si="2"/>
        <v>0</v>
      </c>
      <c r="G21" s="19">
        <f t="shared" si="3"/>
        <v>0</v>
      </c>
      <c r="H21" s="20">
        <f t="shared" si="4"/>
        <v>0</v>
      </c>
      <c r="I21" s="49">
        <f t="shared" si="5"/>
        <v>-5</v>
      </c>
      <c r="J21" s="59">
        <f t="shared" si="6"/>
        <v>-0.35714285714285715</v>
      </c>
      <c r="K21" s="49">
        <f t="shared" si="7"/>
        <v>15</v>
      </c>
      <c r="L21" s="20">
        <f t="shared" si="8"/>
        <v>1.0714285714285714</v>
      </c>
      <c r="M21" s="49">
        <f t="shared" si="9"/>
        <v>2</v>
      </c>
      <c r="N21" s="50">
        <v>14</v>
      </c>
      <c r="O21" s="21">
        <v>6.0909722222222227</v>
      </c>
      <c r="P21" s="19">
        <v>0</v>
      </c>
      <c r="Q21" s="19">
        <v>0</v>
      </c>
      <c r="R21" s="19">
        <v>0</v>
      </c>
      <c r="S21" s="20">
        <v>0</v>
      </c>
      <c r="T21" s="19">
        <v>15</v>
      </c>
      <c r="U21" s="20">
        <v>0</v>
      </c>
      <c r="V21" s="19">
        <v>0</v>
      </c>
      <c r="W21" s="19">
        <v>0</v>
      </c>
      <c r="X21" s="19">
        <v>0</v>
      </c>
      <c r="Y21" s="19">
        <v>0</v>
      </c>
      <c r="Z21" s="19">
        <v>-5</v>
      </c>
      <c r="AA21" s="19">
        <v>2</v>
      </c>
      <c r="AB21" s="51">
        <v>0.43472222222222223</v>
      </c>
      <c r="AC21" s="56"/>
      <c r="AD21" s="11"/>
      <c r="AE21" s="10"/>
      <c r="AF21" s="10"/>
      <c r="AG21" s="10"/>
      <c r="AH21" s="10"/>
      <c r="AI21" s="10"/>
      <c r="AJ21" s="10"/>
      <c r="AK21" s="10"/>
      <c r="AL21" s="10"/>
      <c r="AM21" s="10"/>
      <c r="AN21" s="10"/>
      <c r="AO21" s="10"/>
      <c r="AP21" s="13"/>
      <c r="AQ21" s="81"/>
      <c r="AR21" s="82"/>
      <c r="AS21" s="82"/>
      <c r="AT21" s="82"/>
      <c r="AU21" s="82"/>
      <c r="AV21" s="82"/>
      <c r="AW21" s="82"/>
      <c r="AX21" s="82"/>
      <c r="AY21" s="82"/>
      <c r="AZ21" s="82"/>
      <c r="BA21" s="82"/>
      <c r="BB21" s="82"/>
      <c r="BC21" s="82"/>
      <c r="BD21" s="83"/>
    </row>
    <row r="22" spans="1:56" ht="28.2" thickBot="1" x14ac:dyDescent="0.35">
      <c r="A22" s="24" t="s">
        <v>86</v>
      </c>
      <c r="B22" s="19" t="s">
        <v>80</v>
      </c>
      <c r="C22" s="19" t="s">
        <v>79</v>
      </c>
      <c r="D22" s="19">
        <f t="shared" si="0"/>
        <v>3</v>
      </c>
      <c r="E22" s="19">
        <f t="shared" si="1"/>
        <v>0</v>
      </c>
      <c r="F22" s="19">
        <f t="shared" si="2"/>
        <v>0</v>
      </c>
      <c r="G22" s="19">
        <f t="shared" si="3"/>
        <v>0</v>
      </c>
      <c r="H22" s="20">
        <f t="shared" si="4"/>
        <v>0</v>
      </c>
      <c r="I22" s="49">
        <f t="shared" si="5"/>
        <v>-4</v>
      </c>
      <c r="J22" s="59">
        <f t="shared" si="6"/>
        <v>-1.3333333333333333</v>
      </c>
      <c r="K22" s="49">
        <f t="shared" si="7"/>
        <v>1</v>
      </c>
      <c r="L22" s="20">
        <f t="shared" si="8"/>
        <v>0.33333333333333331</v>
      </c>
      <c r="M22" s="49">
        <f t="shared" si="9"/>
        <v>0</v>
      </c>
      <c r="N22" s="50">
        <v>3</v>
      </c>
      <c r="O22" s="21">
        <v>1.2249999999999999</v>
      </c>
      <c r="P22" s="19">
        <v>0</v>
      </c>
      <c r="Q22" s="19">
        <v>0</v>
      </c>
      <c r="R22" s="19">
        <v>0</v>
      </c>
      <c r="S22" s="20">
        <v>0</v>
      </c>
      <c r="T22" s="19">
        <v>1</v>
      </c>
      <c r="U22" s="20">
        <v>0</v>
      </c>
      <c r="V22" s="19">
        <v>0</v>
      </c>
      <c r="W22" s="19">
        <v>0</v>
      </c>
      <c r="X22" s="19">
        <v>0</v>
      </c>
      <c r="Y22" s="19">
        <v>0</v>
      </c>
      <c r="Z22" s="19">
        <v>-4</v>
      </c>
      <c r="AA22" s="19">
        <v>0</v>
      </c>
      <c r="AB22" s="51">
        <v>0.40833333333333338</v>
      </c>
      <c r="AQ22" s="84"/>
      <c r="AR22" s="87"/>
      <c r="AS22" s="87"/>
      <c r="AT22" s="87"/>
      <c r="AU22" s="87"/>
      <c r="AV22" s="87"/>
      <c r="AW22" s="87"/>
      <c r="AX22" s="87"/>
      <c r="AY22" s="87"/>
      <c r="AZ22" s="87"/>
      <c r="BA22" s="87"/>
      <c r="BB22" s="87"/>
      <c r="BC22" s="87"/>
      <c r="BD22" s="92"/>
    </row>
    <row r="23" spans="1:56" ht="28.2" thickBot="1" x14ac:dyDescent="0.35">
      <c r="A23" s="24" t="s">
        <v>85</v>
      </c>
      <c r="B23" s="19" t="s">
        <v>80</v>
      </c>
      <c r="C23" s="19" t="s">
        <v>79</v>
      </c>
      <c r="D23" s="19">
        <f t="shared" si="0"/>
        <v>7</v>
      </c>
      <c r="E23" s="19">
        <f t="shared" si="1"/>
        <v>1</v>
      </c>
      <c r="F23" s="19">
        <f t="shared" si="2"/>
        <v>0</v>
      </c>
      <c r="G23" s="19">
        <f t="shared" si="3"/>
        <v>1</v>
      </c>
      <c r="H23" s="20">
        <f t="shared" si="4"/>
        <v>0.14285714285714285</v>
      </c>
      <c r="I23" s="49">
        <f t="shared" si="5"/>
        <v>-5</v>
      </c>
      <c r="J23" s="59">
        <f t="shared" si="6"/>
        <v>-0.7142857142857143</v>
      </c>
      <c r="K23" s="49">
        <f t="shared" si="7"/>
        <v>7</v>
      </c>
      <c r="L23" s="20">
        <f t="shared" si="8"/>
        <v>1</v>
      </c>
      <c r="M23" s="49">
        <f t="shared" si="9"/>
        <v>0</v>
      </c>
      <c r="N23" s="50">
        <v>6</v>
      </c>
      <c r="O23" s="21">
        <v>2.6659722222222224</v>
      </c>
      <c r="P23" s="19">
        <v>0</v>
      </c>
      <c r="Q23" s="19">
        <v>0</v>
      </c>
      <c r="R23" s="19">
        <v>0</v>
      </c>
      <c r="S23" s="20">
        <v>0</v>
      </c>
      <c r="T23" s="19">
        <v>4</v>
      </c>
      <c r="U23" s="20">
        <v>0</v>
      </c>
      <c r="V23" s="19">
        <v>0</v>
      </c>
      <c r="W23" s="19">
        <v>0</v>
      </c>
      <c r="X23" s="19">
        <v>0</v>
      </c>
      <c r="Y23" s="19">
        <v>0</v>
      </c>
      <c r="Z23" s="19">
        <v>-4</v>
      </c>
      <c r="AA23" s="19">
        <v>0</v>
      </c>
      <c r="AB23" s="51">
        <v>0.44375000000000003</v>
      </c>
      <c r="AC23" s="54">
        <v>1</v>
      </c>
      <c r="AD23" s="42">
        <v>0.66111111111111109</v>
      </c>
      <c r="AE23" s="40">
        <v>1</v>
      </c>
      <c r="AF23" s="40">
        <v>0</v>
      </c>
      <c r="AG23" s="40">
        <v>1</v>
      </c>
      <c r="AH23" s="40">
        <v>3</v>
      </c>
      <c r="AI23" s="40">
        <v>33.33</v>
      </c>
      <c r="AJ23" s="40">
        <v>1</v>
      </c>
      <c r="AK23" s="40">
        <v>1</v>
      </c>
      <c r="AL23" s="40">
        <v>0</v>
      </c>
      <c r="AM23" s="40">
        <v>0</v>
      </c>
      <c r="AN23" s="40">
        <v>-1</v>
      </c>
      <c r="AO23" s="40">
        <v>0</v>
      </c>
      <c r="AP23" s="57">
        <v>0.66111111111111109</v>
      </c>
      <c r="AQ23" s="84"/>
      <c r="AR23" s="87"/>
      <c r="AS23" s="87"/>
      <c r="AT23" s="87"/>
      <c r="AU23" s="87"/>
      <c r="AV23" s="87"/>
      <c r="AW23" s="87"/>
      <c r="AX23" s="87"/>
      <c r="AY23" s="87"/>
      <c r="AZ23" s="87"/>
      <c r="BA23" s="87"/>
      <c r="BB23" s="87"/>
      <c r="BC23" s="87"/>
      <c r="BD23" s="92"/>
    </row>
    <row r="24" spans="1:56" ht="28.2" thickBot="1" x14ac:dyDescent="0.35">
      <c r="A24" s="24" t="s">
        <v>90</v>
      </c>
      <c r="B24" s="19" t="s">
        <v>80</v>
      </c>
      <c r="C24" s="19" t="s">
        <v>88</v>
      </c>
      <c r="D24" s="19">
        <f t="shared" si="0"/>
        <v>24</v>
      </c>
      <c r="E24" s="19">
        <f t="shared" si="1"/>
        <v>0</v>
      </c>
      <c r="F24" s="19">
        <f t="shared" si="2"/>
        <v>1</v>
      </c>
      <c r="G24" s="19">
        <f t="shared" si="3"/>
        <v>1</v>
      </c>
      <c r="H24" s="20">
        <f t="shared" si="4"/>
        <v>4.1666666666666664E-2</v>
      </c>
      <c r="I24" s="49">
        <f t="shared" si="5"/>
        <v>-4</v>
      </c>
      <c r="J24" s="59">
        <f t="shared" si="6"/>
        <v>-0.16666666666666666</v>
      </c>
      <c r="K24" s="49">
        <f t="shared" si="7"/>
        <v>34</v>
      </c>
      <c r="L24" s="20">
        <f t="shared" si="8"/>
        <v>1.4166666666666667</v>
      </c>
      <c r="M24" s="49">
        <f t="shared" si="9"/>
        <v>4</v>
      </c>
      <c r="N24" s="50">
        <v>24</v>
      </c>
      <c r="O24" s="21">
        <v>15.58611111111111</v>
      </c>
      <c r="P24" s="19">
        <v>0</v>
      </c>
      <c r="Q24" s="19">
        <v>1</v>
      </c>
      <c r="R24" s="19">
        <v>1</v>
      </c>
      <c r="S24" s="20">
        <v>4.1666666666666664E-2</v>
      </c>
      <c r="T24" s="19">
        <v>34</v>
      </c>
      <c r="U24" s="20">
        <v>0</v>
      </c>
      <c r="V24" s="19">
        <v>0</v>
      </c>
      <c r="W24" s="19">
        <v>0</v>
      </c>
      <c r="X24" s="19">
        <v>0</v>
      </c>
      <c r="Y24" s="19">
        <v>0</v>
      </c>
      <c r="Z24" s="19">
        <v>-4</v>
      </c>
      <c r="AA24" s="19">
        <v>4</v>
      </c>
      <c r="AB24" s="51">
        <v>0.64930555555555558</v>
      </c>
      <c r="AQ24" s="84"/>
      <c r="AR24" s="87"/>
      <c r="AS24" s="87"/>
      <c r="AT24" s="87"/>
      <c r="AU24" s="87"/>
      <c r="AV24" s="87"/>
      <c r="AW24" s="87"/>
      <c r="AX24" s="87"/>
      <c r="AY24" s="87"/>
      <c r="AZ24" s="87"/>
      <c r="BA24" s="87"/>
      <c r="BB24" s="87"/>
      <c r="BC24" s="87"/>
      <c r="BD24" s="92"/>
    </row>
    <row r="25" spans="1:56" ht="27.6" x14ac:dyDescent="0.3">
      <c r="A25" s="24" t="s">
        <v>109</v>
      </c>
      <c r="B25" s="19" t="s">
        <v>80</v>
      </c>
      <c r="C25" s="19" t="s">
        <v>88</v>
      </c>
      <c r="D25" s="19">
        <f t="shared" si="0"/>
        <v>35</v>
      </c>
      <c r="E25" s="19">
        <f t="shared" si="1"/>
        <v>2</v>
      </c>
      <c r="F25" s="19">
        <f t="shared" si="2"/>
        <v>4</v>
      </c>
      <c r="G25" s="19">
        <f t="shared" si="3"/>
        <v>6</v>
      </c>
      <c r="H25" s="20">
        <f t="shared" si="4"/>
        <v>0.17142857142857143</v>
      </c>
      <c r="I25" s="49">
        <f t="shared" si="5"/>
        <v>-4</v>
      </c>
      <c r="J25" s="59">
        <f t="shared" si="6"/>
        <v>-0.11428571428571428</v>
      </c>
      <c r="K25" s="49">
        <f t="shared" si="7"/>
        <v>47</v>
      </c>
      <c r="L25" s="20">
        <f t="shared" si="8"/>
        <v>1.3428571428571427</v>
      </c>
      <c r="M25" s="49">
        <f t="shared" si="9"/>
        <v>49</v>
      </c>
      <c r="N25" s="50">
        <v>35</v>
      </c>
      <c r="O25" s="21">
        <v>25.661805555555556</v>
      </c>
      <c r="P25" s="19">
        <v>2</v>
      </c>
      <c r="Q25" s="19">
        <v>4</v>
      </c>
      <c r="R25" s="19">
        <v>6</v>
      </c>
      <c r="S25" s="20">
        <v>0.17142857142857143</v>
      </c>
      <c r="T25" s="19">
        <v>47</v>
      </c>
      <c r="U25" s="20">
        <v>4.2553191489361701</v>
      </c>
      <c r="V25" s="19">
        <v>1</v>
      </c>
      <c r="W25" s="19">
        <v>1</v>
      </c>
      <c r="X25" s="19">
        <v>0</v>
      </c>
      <c r="Y25" s="19">
        <v>0</v>
      </c>
      <c r="Z25" s="19">
        <v>-4</v>
      </c>
      <c r="AA25" s="19">
        <v>49</v>
      </c>
      <c r="AB25" s="51">
        <v>0.73263888888888884</v>
      </c>
      <c r="AQ25" s="86"/>
      <c r="AR25" s="89"/>
      <c r="AS25" s="89"/>
      <c r="AT25" s="89"/>
      <c r="AU25" s="89"/>
      <c r="AV25" s="89"/>
      <c r="AW25" s="89"/>
      <c r="AX25" s="89"/>
      <c r="AY25" s="89"/>
      <c r="AZ25" s="89"/>
      <c r="BA25" s="89"/>
      <c r="BB25" s="89"/>
      <c r="BC25" s="89"/>
      <c r="BD25" s="94"/>
    </row>
    <row r="26" spans="1:56" ht="28.2" thickBot="1" x14ac:dyDescent="0.35">
      <c r="A26" s="24" t="s">
        <v>123</v>
      </c>
      <c r="B26" s="19" t="s">
        <v>80</v>
      </c>
      <c r="C26" s="19" t="s">
        <v>88</v>
      </c>
      <c r="D26" s="19">
        <f t="shared" si="0"/>
        <v>42</v>
      </c>
      <c r="E26" s="19">
        <f t="shared" si="1"/>
        <v>6</v>
      </c>
      <c r="F26" s="19">
        <f t="shared" si="2"/>
        <v>18</v>
      </c>
      <c r="G26" s="19">
        <f t="shared" si="3"/>
        <v>24</v>
      </c>
      <c r="H26" s="20">
        <f t="shared" si="4"/>
        <v>0.5714285714285714</v>
      </c>
      <c r="I26" s="49">
        <f t="shared" si="5"/>
        <v>-4</v>
      </c>
      <c r="J26" s="59">
        <f t="shared" si="6"/>
        <v>-9.5238095238095233E-2</v>
      </c>
      <c r="K26" s="49">
        <f t="shared" si="7"/>
        <v>111</v>
      </c>
      <c r="L26" s="20">
        <f t="shared" si="8"/>
        <v>2.6428571428571428</v>
      </c>
      <c r="M26" s="49">
        <f t="shared" si="9"/>
        <v>78</v>
      </c>
      <c r="N26" s="50">
        <v>42</v>
      </c>
      <c r="O26" s="21">
        <v>37.902777777777779</v>
      </c>
      <c r="P26" s="19">
        <v>6</v>
      </c>
      <c r="Q26" s="19">
        <v>18</v>
      </c>
      <c r="R26" s="19">
        <v>24</v>
      </c>
      <c r="S26" s="20">
        <v>0.5714285714285714</v>
      </c>
      <c r="T26" s="19">
        <v>111</v>
      </c>
      <c r="U26" s="20">
        <v>5.4054054054054053</v>
      </c>
      <c r="V26" s="19">
        <v>4</v>
      </c>
      <c r="W26" s="19">
        <v>16</v>
      </c>
      <c r="X26" s="19">
        <v>0</v>
      </c>
      <c r="Y26" s="19">
        <v>0</v>
      </c>
      <c r="Z26" s="19">
        <v>-4</v>
      </c>
      <c r="AA26" s="19">
        <v>78</v>
      </c>
      <c r="AB26" s="51">
        <v>0.90208333333333324</v>
      </c>
    </row>
    <row r="27" spans="1:56" ht="28.2" thickBot="1" x14ac:dyDescent="0.35">
      <c r="A27" s="24" t="s">
        <v>97</v>
      </c>
      <c r="B27" s="19" t="s">
        <v>80</v>
      </c>
      <c r="C27" s="19" t="s">
        <v>79</v>
      </c>
      <c r="D27" s="19">
        <f t="shared" si="0"/>
        <v>5</v>
      </c>
      <c r="E27" s="19">
        <f t="shared" si="1"/>
        <v>1</v>
      </c>
      <c r="F27" s="19">
        <f t="shared" si="2"/>
        <v>0</v>
      </c>
      <c r="G27" s="19">
        <f t="shared" si="3"/>
        <v>1</v>
      </c>
      <c r="H27" s="20">
        <f t="shared" si="4"/>
        <v>0.2</v>
      </c>
      <c r="I27" s="49">
        <f t="shared" si="5"/>
        <v>-3</v>
      </c>
      <c r="J27" s="59">
        <f t="shared" si="6"/>
        <v>-0.6</v>
      </c>
      <c r="K27" s="49">
        <f t="shared" si="7"/>
        <v>3</v>
      </c>
      <c r="L27" s="20">
        <f t="shared" si="8"/>
        <v>0.6</v>
      </c>
      <c r="M27" s="49">
        <f t="shared" si="9"/>
        <v>0</v>
      </c>
      <c r="N27" s="50">
        <v>5</v>
      </c>
      <c r="O27" s="21">
        <v>2.0513888888888889</v>
      </c>
      <c r="P27" s="19">
        <v>1</v>
      </c>
      <c r="Q27" s="19">
        <v>0</v>
      </c>
      <c r="R27" s="19">
        <v>1</v>
      </c>
      <c r="S27" s="20">
        <v>0.2</v>
      </c>
      <c r="T27" s="19">
        <v>3</v>
      </c>
      <c r="U27" s="20">
        <v>33.333333333333329</v>
      </c>
      <c r="V27" s="19">
        <v>0</v>
      </c>
      <c r="W27" s="19">
        <v>0</v>
      </c>
      <c r="X27" s="19">
        <v>0</v>
      </c>
      <c r="Y27" s="19">
        <v>0</v>
      </c>
      <c r="Z27" s="19">
        <v>-3</v>
      </c>
      <c r="AA27" s="19">
        <v>0</v>
      </c>
      <c r="AB27" s="51">
        <v>0.40972222222222227</v>
      </c>
      <c r="AQ27" s="86"/>
      <c r="AR27" s="89"/>
      <c r="AS27" s="89"/>
      <c r="AT27" s="89"/>
      <c r="AU27" s="89"/>
      <c r="AV27" s="89"/>
      <c r="AW27" s="89"/>
      <c r="AX27" s="89"/>
      <c r="AY27" s="89"/>
      <c r="AZ27" s="89"/>
      <c r="BA27" s="89"/>
      <c r="BB27" s="89"/>
      <c r="BC27" s="89"/>
      <c r="BD27" s="94"/>
    </row>
    <row r="28" spans="1:56" ht="27.6" x14ac:dyDescent="0.3">
      <c r="A28" s="24" t="s">
        <v>84</v>
      </c>
      <c r="B28" s="19" t="s">
        <v>80</v>
      </c>
      <c r="C28" s="19" t="s">
        <v>79</v>
      </c>
      <c r="D28" s="19">
        <f t="shared" si="0"/>
        <v>8</v>
      </c>
      <c r="E28" s="19">
        <f t="shared" si="1"/>
        <v>0</v>
      </c>
      <c r="F28" s="19">
        <f t="shared" si="2"/>
        <v>0</v>
      </c>
      <c r="G28" s="19">
        <f t="shared" si="3"/>
        <v>0</v>
      </c>
      <c r="H28" s="20">
        <f t="shared" si="4"/>
        <v>0</v>
      </c>
      <c r="I28" s="49">
        <f t="shared" si="5"/>
        <v>-4</v>
      </c>
      <c r="J28" s="59">
        <f t="shared" si="6"/>
        <v>-0.5</v>
      </c>
      <c r="K28" s="49">
        <f t="shared" si="7"/>
        <v>6</v>
      </c>
      <c r="L28" s="20">
        <f t="shared" si="8"/>
        <v>0.75</v>
      </c>
      <c r="M28" s="49">
        <f t="shared" si="9"/>
        <v>0</v>
      </c>
      <c r="N28" s="50">
        <v>7</v>
      </c>
      <c r="O28" s="21">
        <v>1.8319444444444446</v>
      </c>
      <c r="P28" s="19">
        <v>0</v>
      </c>
      <c r="Q28" s="19">
        <v>0</v>
      </c>
      <c r="R28" s="19">
        <v>0</v>
      </c>
      <c r="S28" s="20">
        <v>0</v>
      </c>
      <c r="T28" s="19">
        <v>6</v>
      </c>
      <c r="U28" s="20">
        <v>0</v>
      </c>
      <c r="V28" s="19">
        <v>0</v>
      </c>
      <c r="W28" s="19">
        <v>0</v>
      </c>
      <c r="X28" s="19">
        <v>0</v>
      </c>
      <c r="Y28" s="19">
        <v>0</v>
      </c>
      <c r="Z28" s="19">
        <v>-3</v>
      </c>
      <c r="AA28" s="19">
        <v>0</v>
      </c>
      <c r="AB28" s="51">
        <v>0.26111111111111113</v>
      </c>
      <c r="AC28" s="54">
        <v>1</v>
      </c>
      <c r="AD28" s="42">
        <v>0.56527777777777777</v>
      </c>
      <c r="AE28" s="40">
        <v>0</v>
      </c>
      <c r="AF28" s="40">
        <v>0</v>
      </c>
      <c r="AG28" s="40">
        <v>0</v>
      </c>
      <c r="AH28" s="40">
        <v>0</v>
      </c>
      <c r="AI28" s="40">
        <v>0</v>
      </c>
      <c r="AJ28" s="40">
        <v>0</v>
      </c>
      <c r="AK28" s="40">
        <v>0</v>
      </c>
      <c r="AL28" s="40">
        <v>0</v>
      </c>
      <c r="AM28" s="40">
        <v>0</v>
      </c>
      <c r="AN28" s="40">
        <v>-1</v>
      </c>
      <c r="AO28" s="40">
        <v>0</v>
      </c>
      <c r="AP28" s="57">
        <v>0.56527777777777777</v>
      </c>
      <c r="AQ28" s="84"/>
      <c r="AR28" s="87"/>
      <c r="AS28" s="87"/>
      <c r="AT28" s="87"/>
      <c r="AU28" s="87"/>
      <c r="AV28" s="87"/>
      <c r="AW28" s="87"/>
      <c r="AX28" s="87"/>
      <c r="AY28" s="87"/>
      <c r="AZ28" s="87"/>
      <c r="BA28" s="87"/>
      <c r="BB28" s="87"/>
      <c r="BC28" s="87"/>
      <c r="BD28" s="92"/>
    </row>
    <row r="29" spans="1:56" ht="27.6" x14ac:dyDescent="0.3">
      <c r="A29" s="24" t="s">
        <v>93</v>
      </c>
      <c r="B29" s="19" t="s">
        <v>80</v>
      </c>
      <c r="C29" s="19" t="s">
        <v>88</v>
      </c>
      <c r="D29" s="19">
        <f t="shared" si="0"/>
        <v>17</v>
      </c>
      <c r="E29" s="19">
        <f t="shared" si="1"/>
        <v>0</v>
      </c>
      <c r="F29" s="19">
        <f t="shared" si="2"/>
        <v>2</v>
      </c>
      <c r="G29" s="19">
        <f t="shared" si="3"/>
        <v>2</v>
      </c>
      <c r="H29" s="20">
        <f t="shared" si="4"/>
        <v>0.11764705882352941</v>
      </c>
      <c r="I29" s="49">
        <f t="shared" si="5"/>
        <v>-5</v>
      </c>
      <c r="J29" s="59">
        <f t="shared" si="6"/>
        <v>-0.29411764705882354</v>
      </c>
      <c r="K29" s="49">
        <f t="shared" si="7"/>
        <v>8</v>
      </c>
      <c r="L29" s="20">
        <f t="shared" si="8"/>
        <v>0.47058823529411764</v>
      </c>
      <c r="M29" s="49">
        <f t="shared" si="9"/>
        <v>42</v>
      </c>
      <c r="N29" s="50">
        <v>9</v>
      </c>
      <c r="O29" s="21">
        <v>5.509722222222222</v>
      </c>
      <c r="P29" s="19">
        <v>0</v>
      </c>
      <c r="Q29" s="19">
        <v>1</v>
      </c>
      <c r="R29" s="19">
        <v>1</v>
      </c>
      <c r="S29" s="20">
        <v>0.1111111111111111</v>
      </c>
      <c r="T29" s="19">
        <v>3</v>
      </c>
      <c r="U29" s="20">
        <v>0</v>
      </c>
      <c r="V29" s="19">
        <v>0</v>
      </c>
      <c r="W29" s="19">
        <v>0</v>
      </c>
      <c r="X29" s="19">
        <v>0</v>
      </c>
      <c r="Y29" s="19">
        <v>0</v>
      </c>
      <c r="Z29" s="19">
        <v>-3</v>
      </c>
      <c r="AA29" s="19">
        <v>20</v>
      </c>
      <c r="AB29" s="51">
        <v>0.6118055555555556</v>
      </c>
      <c r="AC29" s="56">
        <v>6</v>
      </c>
      <c r="AD29" s="11">
        <v>4.2444444444444445</v>
      </c>
      <c r="AE29" s="10">
        <v>0</v>
      </c>
      <c r="AF29" s="10">
        <v>1</v>
      </c>
      <c r="AG29" s="10">
        <v>1</v>
      </c>
      <c r="AH29" s="10">
        <v>4</v>
      </c>
      <c r="AI29" s="10" t="s">
        <v>78</v>
      </c>
      <c r="AJ29" s="10">
        <v>0</v>
      </c>
      <c r="AK29" s="10">
        <v>0</v>
      </c>
      <c r="AL29" s="10">
        <v>0</v>
      </c>
      <c r="AM29" s="10">
        <v>0</v>
      </c>
      <c r="AN29" s="10">
        <v>-1</v>
      </c>
      <c r="AO29" s="10">
        <v>22</v>
      </c>
      <c r="AP29" s="13">
        <v>0.70694444444444438</v>
      </c>
      <c r="AQ29" s="85">
        <v>2</v>
      </c>
      <c r="AR29" s="88">
        <v>1.1604166666666667</v>
      </c>
      <c r="AS29" s="90">
        <v>0</v>
      </c>
      <c r="AT29" s="90">
        <v>0</v>
      </c>
      <c r="AU29" s="90">
        <v>0</v>
      </c>
      <c r="AV29" s="90">
        <v>1</v>
      </c>
      <c r="AW29" s="90" t="s">
        <v>78</v>
      </c>
      <c r="AX29" s="90">
        <v>0</v>
      </c>
      <c r="AY29" s="90">
        <v>0</v>
      </c>
      <c r="AZ29" s="90">
        <v>0</v>
      </c>
      <c r="BA29" s="90">
        <v>0</v>
      </c>
      <c r="BB29" s="90">
        <v>-1</v>
      </c>
      <c r="BC29" s="90">
        <v>0</v>
      </c>
      <c r="BD29" s="93">
        <v>0.57986111111111105</v>
      </c>
    </row>
    <row r="30" spans="1:56" ht="28.2" thickBot="1" x14ac:dyDescent="0.35">
      <c r="A30" s="24" t="s">
        <v>104</v>
      </c>
      <c r="B30" s="19" t="s">
        <v>80</v>
      </c>
      <c r="C30" s="19" t="s">
        <v>79</v>
      </c>
      <c r="D30" s="19">
        <f t="shared" si="0"/>
        <v>18</v>
      </c>
      <c r="E30" s="19">
        <f t="shared" si="1"/>
        <v>1</v>
      </c>
      <c r="F30" s="19">
        <f t="shared" si="2"/>
        <v>4</v>
      </c>
      <c r="G30" s="19">
        <f t="shared" si="3"/>
        <v>5</v>
      </c>
      <c r="H30" s="20">
        <f t="shared" si="4"/>
        <v>0.27777777777777779</v>
      </c>
      <c r="I30" s="49">
        <f t="shared" si="5"/>
        <v>-4</v>
      </c>
      <c r="J30" s="59">
        <f t="shared" si="6"/>
        <v>-0.22222222222222221</v>
      </c>
      <c r="K30" s="49">
        <f t="shared" si="7"/>
        <v>21</v>
      </c>
      <c r="L30" s="20">
        <f t="shared" si="8"/>
        <v>1.1666666666666667</v>
      </c>
      <c r="M30" s="49">
        <f t="shared" si="9"/>
        <v>2</v>
      </c>
      <c r="N30" s="50">
        <v>9</v>
      </c>
      <c r="O30" s="21">
        <v>7.1277777777777773</v>
      </c>
      <c r="P30" s="19">
        <v>1</v>
      </c>
      <c r="Q30" s="19">
        <v>2</v>
      </c>
      <c r="R30" s="19">
        <v>3</v>
      </c>
      <c r="S30" s="20">
        <v>0.33333333333333331</v>
      </c>
      <c r="T30" s="19">
        <v>14</v>
      </c>
      <c r="U30" s="20">
        <v>7.1428571428571423</v>
      </c>
      <c r="V30" s="19">
        <v>0</v>
      </c>
      <c r="W30" s="19">
        <v>0</v>
      </c>
      <c r="X30" s="19">
        <v>0</v>
      </c>
      <c r="Y30" s="19">
        <v>0</v>
      </c>
      <c r="Z30" s="19">
        <v>-3</v>
      </c>
      <c r="AA30" s="19">
        <v>0</v>
      </c>
      <c r="AB30" s="51">
        <v>0.79166666666666663</v>
      </c>
      <c r="AC30" s="56">
        <v>6</v>
      </c>
      <c r="AD30" s="11">
        <v>4.0888888888888895</v>
      </c>
      <c r="AE30" s="10">
        <v>0</v>
      </c>
      <c r="AF30" s="10">
        <v>2</v>
      </c>
      <c r="AG30" s="10">
        <v>2</v>
      </c>
      <c r="AH30" s="10">
        <v>6</v>
      </c>
      <c r="AI30" s="10" t="s">
        <v>78</v>
      </c>
      <c r="AJ30" s="10">
        <v>0</v>
      </c>
      <c r="AK30" s="10">
        <v>0</v>
      </c>
      <c r="AL30" s="10">
        <v>0</v>
      </c>
      <c r="AM30" s="10">
        <v>0</v>
      </c>
      <c r="AN30" s="10">
        <v>0</v>
      </c>
      <c r="AO30" s="10">
        <v>2</v>
      </c>
      <c r="AP30" s="13">
        <v>0.68125000000000002</v>
      </c>
      <c r="AQ30" s="85">
        <v>3</v>
      </c>
      <c r="AR30" s="88">
        <v>1.5715277777777779</v>
      </c>
      <c r="AS30" s="90">
        <v>0</v>
      </c>
      <c r="AT30" s="90">
        <v>0</v>
      </c>
      <c r="AU30" s="90">
        <v>0</v>
      </c>
      <c r="AV30" s="90">
        <v>1</v>
      </c>
      <c r="AW30" s="90" t="s">
        <v>78</v>
      </c>
      <c r="AX30" s="90">
        <v>0</v>
      </c>
      <c r="AY30" s="90">
        <v>0</v>
      </c>
      <c r="AZ30" s="90">
        <v>0</v>
      </c>
      <c r="BA30" s="90">
        <v>0</v>
      </c>
      <c r="BB30" s="90">
        <v>-1</v>
      </c>
      <c r="BC30" s="90">
        <v>0</v>
      </c>
      <c r="BD30" s="93">
        <v>0.52361111111111114</v>
      </c>
    </row>
    <row r="31" spans="1:56" ht="28.2" thickBot="1" x14ac:dyDescent="0.35">
      <c r="A31" s="24" t="s">
        <v>91</v>
      </c>
      <c r="B31" s="19" t="s">
        <v>80</v>
      </c>
      <c r="C31" s="19" t="s">
        <v>79</v>
      </c>
      <c r="D31" s="19">
        <f t="shared" si="0"/>
        <v>12</v>
      </c>
      <c r="E31" s="19">
        <f t="shared" si="1"/>
        <v>0</v>
      </c>
      <c r="F31" s="19">
        <f t="shared" si="2"/>
        <v>1</v>
      </c>
      <c r="G31" s="19">
        <f t="shared" si="3"/>
        <v>1</v>
      </c>
      <c r="H31" s="20">
        <f t="shared" si="4"/>
        <v>8.3333333333333329E-2</v>
      </c>
      <c r="I31" s="49">
        <f t="shared" si="5"/>
        <v>-4</v>
      </c>
      <c r="J31" s="59">
        <f t="shared" si="6"/>
        <v>-0.33333333333333331</v>
      </c>
      <c r="K31" s="49">
        <f t="shared" si="7"/>
        <v>5</v>
      </c>
      <c r="L31" s="20">
        <f t="shared" si="8"/>
        <v>0.41666666666666669</v>
      </c>
      <c r="M31" s="49">
        <f t="shared" si="9"/>
        <v>0</v>
      </c>
      <c r="N31" s="50">
        <v>10</v>
      </c>
      <c r="O31" s="21">
        <v>2.9791666666666665</v>
      </c>
      <c r="P31" s="19">
        <v>0</v>
      </c>
      <c r="Q31" s="19">
        <v>1</v>
      </c>
      <c r="R31" s="19">
        <v>1</v>
      </c>
      <c r="S31" s="20">
        <v>0.1</v>
      </c>
      <c r="T31" s="19">
        <v>4</v>
      </c>
      <c r="U31" s="20">
        <v>0</v>
      </c>
      <c r="V31" s="19">
        <v>0</v>
      </c>
      <c r="W31" s="19">
        <v>0</v>
      </c>
      <c r="X31" s="19">
        <v>0</v>
      </c>
      <c r="Y31" s="19">
        <v>0</v>
      </c>
      <c r="Z31" s="19">
        <v>-3</v>
      </c>
      <c r="AA31" s="19">
        <v>0</v>
      </c>
      <c r="AB31" s="51">
        <v>0.29791666666666666</v>
      </c>
      <c r="AC31" s="56">
        <v>2</v>
      </c>
      <c r="AD31" s="11">
        <v>1.0902777777777779</v>
      </c>
      <c r="AE31" s="10">
        <v>0</v>
      </c>
      <c r="AF31" s="10">
        <v>0</v>
      </c>
      <c r="AG31" s="10">
        <v>0</v>
      </c>
      <c r="AH31" s="10">
        <v>1</v>
      </c>
      <c r="AI31" s="10" t="s">
        <v>78</v>
      </c>
      <c r="AJ31" s="10">
        <v>0</v>
      </c>
      <c r="AK31" s="10">
        <v>0</v>
      </c>
      <c r="AL31" s="10">
        <v>0</v>
      </c>
      <c r="AM31" s="10">
        <v>0</v>
      </c>
      <c r="AN31" s="10">
        <v>-1</v>
      </c>
      <c r="AO31" s="10">
        <v>0</v>
      </c>
      <c r="AP31" s="13">
        <v>0.54513888888888895</v>
      </c>
      <c r="AQ31" s="84"/>
      <c r="AR31" s="87"/>
      <c r="AS31" s="87"/>
      <c r="AT31" s="87"/>
      <c r="AU31" s="87"/>
      <c r="AV31" s="87"/>
      <c r="AW31" s="87"/>
      <c r="AX31" s="87"/>
      <c r="AY31" s="87"/>
      <c r="AZ31" s="87"/>
      <c r="BA31" s="87"/>
      <c r="BB31" s="87"/>
      <c r="BC31" s="87"/>
      <c r="BD31" s="92"/>
    </row>
    <row r="32" spans="1:56" ht="27.6" x14ac:dyDescent="0.3">
      <c r="A32" s="24" t="s">
        <v>99</v>
      </c>
      <c r="B32" s="19" t="s">
        <v>80</v>
      </c>
      <c r="C32" s="19" t="s">
        <v>88</v>
      </c>
      <c r="D32" s="19">
        <f t="shared" si="0"/>
        <v>20</v>
      </c>
      <c r="E32" s="19">
        <f t="shared" si="1"/>
        <v>0</v>
      </c>
      <c r="F32" s="19">
        <f t="shared" si="2"/>
        <v>4</v>
      </c>
      <c r="G32" s="19">
        <f t="shared" si="3"/>
        <v>4</v>
      </c>
      <c r="H32" s="20">
        <f t="shared" si="4"/>
        <v>0.2</v>
      </c>
      <c r="I32" s="49">
        <f t="shared" si="5"/>
        <v>-2</v>
      </c>
      <c r="J32" s="59">
        <f t="shared" si="6"/>
        <v>-0.1</v>
      </c>
      <c r="K32" s="49">
        <f t="shared" si="7"/>
        <v>12</v>
      </c>
      <c r="L32" s="20">
        <f t="shared" si="8"/>
        <v>0.6</v>
      </c>
      <c r="M32" s="49">
        <f t="shared" si="9"/>
        <v>4</v>
      </c>
      <c r="N32" s="50">
        <v>10</v>
      </c>
      <c r="O32" s="21">
        <v>7.3597222222222216</v>
      </c>
      <c r="P32" s="19">
        <v>0</v>
      </c>
      <c r="Q32" s="19">
        <v>2</v>
      </c>
      <c r="R32" s="19">
        <v>2</v>
      </c>
      <c r="S32" s="20">
        <v>0.2</v>
      </c>
      <c r="T32" s="19">
        <v>8</v>
      </c>
      <c r="U32" s="20">
        <v>0</v>
      </c>
      <c r="V32" s="19">
        <v>0</v>
      </c>
      <c r="W32" s="19">
        <v>0</v>
      </c>
      <c r="X32" s="19">
        <v>0</v>
      </c>
      <c r="Y32" s="19">
        <v>0</v>
      </c>
      <c r="Z32" s="19">
        <v>-2</v>
      </c>
      <c r="AA32" s="19">
        <v>4</v>
      </c>
      <c r="AB32" s="51">
        <v>0.73541666666666661</v>
      </c>
      <c r="AC32" s="56">
        <v>5</v>
      </c>
      <c r="AD32" s="11">
        <v>3.2687500000000003</v>
      </c>
      <c r="AE32" s="10">
        <v>0</v>
      </c>
      <c r="AF32" s="10">
        <v>0</v>
      </c>
      <c r="AG32" s="10">
        <v>0</v>
      </c>
      <c r="AH32" s="10">
        <v>3</v>
      </c>
      <c r="AI32" s="10" t="s">
        <v>78</v>
      </c>
      <c r="AJ32" s="10">
        <v>0</v>
      </c>
      <c r="AK32" s="10">
        <v>0</v>
      </c>
      <c r="AL32" s="10">
        <v>0</v>
      </c>
      <c r="AM32" s="10">
        <v>0</v>
      </c>
      <c r="AN32" s="10">
        <v>0</v>
      </c>
      <c r="AO32" s="10">
        <v>0</v>
      </c>
      <c r="AP32" s="13">
        <v>0.65347222222222223</v>
      </c>
      <c r="AQ32" s="76">
        <v>5</v>
      </c>
      <c r="AR32" s="77">
        <v>3.1090277777777775</v>
      </c>
      <c r="AS32" s="78">
        <v>0</v>
      </c>
      <c r="AT32" s="78">
        <v>2</v>
      </c>
      <c r="AU32" s="78">
        <v>2</v>
      </c>
      <c r="AV32" s="78">
        <v>1</v>
      </c>
      <c r="AW32" s="78" t="s">
        <v>78</v>
      </c>
      <c r="AX32" s="78">
        <v>0</v>
      </c>
      <c r="AY32" s="78">
        <v>0</v>
      </c>
      <c r="AZ32" s="78">
        <v>0</v>
      </c>
      <c r="BA32" s="78">
        <v>0</v>
      </c>
      <c r="BB32" s="78">
        <v>0</v>
      </c>
      <c r="BC32" s="78">
        <v>0</v>
      </c>
      <c r="BD32" s="79">
        <v>0.62152777777777779</v>
      </c>
    </row>
    <row r="33" spans="1:56" ht="27.6" x14ac:dyDescent="0.3">
      <c r="A33" s="24" t="s">
        <v>95</v>
      </c>
      <c r="B33" s="19" t="s">
        <v>80</v>
      </c>
      <c r="C33" s="19" t="s">
        <v>79</v>
      </c>
      <c r="D33" s="19">
        <f t="shared" si="0"/>
        <v>13</v>
      </c>
      <c r="E33" s="19">
        <f t="shared" si="1"/>
        <v>1</v>
      </c>
      <c r="F33" s="19">
        <f t="shared" si="2"/>
        <v>0</v>
      </c>
      <c r="G33" s="19">
        <f t="shared" si="3"/>
        <v>1</v>
      </c>
      <c r="H33" s="20">
        <f t="shared" si="4"/>
        <v>7.6923076923076927E-2</v>
      </c>
      <c r="I33" s="49">
        <f t="shared" si="5"/>
        <v>-3</v>
      </c>
      <c r="J33" s="59">
        <f t="shared" si="6"/>
        <v>-0.23076923076923078</v>
      </c>
      <c r="K33" s="49">
        <f t="shared" si="7"/>
        <v>10</v>
      </c>
      <c r="L33" s="20">
        <f t="shared" si="8"/>
        <v>0.76923076923076927</v>
      </c>
      <c r="M33" s="49">
        <f t="shared" si="9"/>
        <v>2</v>
      </c>
      <c r="N33" s="50">
        <v>12</v>
      </c>
      <c r="O33" s="21">
        <v>4.6597222222222223</v>
      </c>
      <c r="P33" s="19">
        <v>1</v>
      </c>
      <c r="Q33" s="19">
        <v>0</v>
      </c>
      <c r="R33" s="19">
        <v>1</v>
      </c>
      <c r="S33" s="20">
        <v>8.3333333333333329E-2</v>
      </c>
      <c r="T33" s="19">
        <v>9</v>
      </c>
      <c r="U33" s="20">
        <v>11.111111111111111</v>
      </c>
      <c r="V33" s="19">
        <v>0</v>
      </c>
      <c r="W33" s="19">
        <v>0</v>
      </c>
      <c r="X33" s="19">
        <v>0</v>
      </c>
      <c r="Y33" s="19">
        <v>0</v>
      </c>
      <c r="Z33" s="19">
        <v>-2</v>
      </c>
      <c r="AA33" s="19">
        <v>2</v>
      </c>
      <c r="AB33" s="51">
        <v>0.38819444444444445</v>
      </c>
      <c r="AC33" s="54">
        <v>1</v>
      </c>
      <c r="AD33" s="42">
        <v>0.53888888888888886</v>
      </c>
      <c r="AE33" s="40">
        <v>0</v>
      </c>
      <c r="AF33" s="40">
        <v>0</v>
      </c>
      <c r="AG33" s="40">
        <v>0</v>
      </c>
      <c r="AH33" s="40">
        <v>1</v>
      </c>
      <c r="AI33" s="40">
        <v>0</v>
      </c>
      <c r="AJ33" s="40">
        <v>0</v>
      </c>
      <c r="AK33" s="40">
        <v>0</v>
      </c>
      <c r="AL33" s="40">
        <v>0</v>
      </c>
      <c r="AM33" s="40">
        <v>0</v>
      </c>
      <c r="AN33" s="40">
        <v>-1</v>
      </c>
      <c r="AO33" s="40">
        <v>0</v>
      </c>
      <c r="AP33" s="57">
        <v>0.53888888888888886</v>
      </c>
    </row>
    <row r="34" spans="1:56" ht="27.6" x14ac:dyDescent="0.3">
      <c r="A34" s="24" t="s">
        <v>103</v>
      </c>
      <c r="B34" s="19" t="s">
        <v>80</v>
      </c>
      <c r="C34" s="19" t="s">
        <v>79</v>
      </c>
      <c r="D34" s="19">
        <f t="shared" si="0"/>
        <v>52</v>
      </c>
      <c r="E34" s="19">
        <f t="shared" si="1"/>
        <v>9</v>
      </c>
      <c r="F34" s="19">
        <f t="shared" si="2"/>
        <v>4</v>
      </c>
      <c r="G34" s="19">
        <f t="shared" si="3"/>
        <v>13</v>
      </c>
      <c r="H34" s="20">
        <f t="shared" si="4"/>
        <v>0.25</v>
      </c>
      <c r="I34" s="49">
        <f t="shared" si="5"/>
        <v>4</v>
      </c>
      <c r="J34" s="59">
        <f t="shared" si="6"/>
        <v>7.6923076923076927E-2</v>
      </c>
      <c r="K34" s="49">
        <f t="shared" si="7"/>
        <v>99</v>
      </c>
      <c r="L34" s="20">
        <f t="shared" si="8"/>
        <v>1.9038461538461537</v>
      </c>
      <c r="M34" s="49">
        <f t="shared" si="9"/>
        <v>30</v>
      </c>
      <c r="N34" s="50">
        <v>38</v>
      </c>
      <c r="O34" s="21">
        <v>25.423611111111111</v>
      </c>
      <c r="P34" s="19">
        <v>6</v>
      </c>
      <c r="Q34" s="19">
        <v>3</v>
      </c>
      <c r="R34" s="19">
        <v>9</v>
      </c>
      <c r="S34" s="20">
        <v>0.23684210526315788</v>
      </c>
      <c r="T34" s="19">
        <v>81</v>
      </c>
      <c r="U34" s="20">
        <v>7.4074074074074066</v>
      </c>
      <c r="V34" s="19">
        <v>2</v>
      </c>
      <c r="W34" s="19">
        <v>3</v>
      </c>
      <c r="X34" s="19">
        <v>0</v>
      </c>
      <c r="Y34" s="19">
        <v>1</v>
      </c>
      <c r="Z34" s="19">
        <v>-2</v>
      </c>
      <c r="AA34" s="19">
        <v>24</v>
      </c>
      <c r="AB34" s="51">
        <v>0.66875000000000007</v>
      </c>
      <c r="AC34" s="56">
        <v>5</v>
      </c>
      <c r="AD34" s="11">
        <v>2.5881944444444445</v>
      </c>
      <c r="AE34" s="10">
        <v>1</v>
      </c>
      <c r="AF34" s="10">
        <v>1</v>
      </c>
      <c r="AG34" s="10">
        <v>2</v>
      </c>
      <c r="AH34" s="10">
        <v>5</v>
      </c>
      <c r="AI34" s="10">
        <v>20</v>
      </c>
      <c r="AJ34" s="10">
        <v>1</v>
      </c>
      <c r="AK34" s="10">
        <v>2</v>
      </c>
      <c r="AL34" s="10">
        <v>0</v>
      </c>
      <c r="AM34" s="10">
        <v>0</v>
      </c>
      <c r="AN34" s="10">
        <v>1</v>
      </c>
      <c r="AO34" s="10">
        <v>0</v>
      </c>
      <c r="AP34" s="13">
        <v>0.51736111111111105</v>
      </c>
      <c r="AQ34" s="85">
        <v>9</v>
      </c>
      <c r="AR34" s="88">
        <v>4.8909722222222225</v>
      </c>
      <c r="AS34" s="90">
        <v>2</v>
      </c>
      <c r="AT34" s="90">
        <v>0</v>
      </c>
      <c r="AU34" s="90">
        <v>2</v>
      </c>
      <c r="AV34" s="90">
        <v>13</v>
      </c>
      <c r="AW34" s="90" t="s">
        <v>216</v>
      </c>
      <c r="AX34" s="90">
        <v>0</v>
      </c>
      <c r="AY34" s="90">
        <v>0</v>
      </c>
      <c r="AZ34" s="90">
        <v>0</v>
      </c>
      <c r="BA34" s="90">
        <v>0</v>
      </c>
      <c r="BB34" s="90">
        <v>5</v>
      </c>
      <c r="BC34" s="90">
        <v>6</v>
      </c>
      <c r="BD34" s="93">
        <v>0.54305555555555551</v>
      </c>
    </row>
    <row r="35" spans="1:56" ht="28.2" thickBot="1" x14ac:dyDescent="0.35">
      <c r="A35" s="24" t="s">
        <v>87</v>
      </c>
      <c r="B35" s="19" t="s">
        <v>80</v>
      </c>
      <c r="C35" s="19" t="s">
        <v>79</v>
      </c>
      <c r="D35" s="19">
        <f t="shared" si="0"/>
        <v>3</v>
      </c>
      <c r="E35" s="19">
        <f t="shared" si="1"/>
        <v>0</v>
      </c>
      <c r="F35" s="19">
        <f t="shared" si="2"/>
        <v>0</v>
      </c>
      <c r="G35" s="19">
        <f t="shared" si="3"/>
        <v>0</v>
      </c>
      <c r="H35" s="20">
        <f t="shared" si="4"/>
        <v>0</v>
      </c>
      <c r="I35" s="49">
        <f t="shared" si="5"/>
        <v>-2</v>
      </c>
      <c r="J35" s="59">
        <f t="shared" si="6"/>
        <v>-0.66666666666666663</v>
      </c>
      <c r="K35" s="49">
        <f t="shared" si="7"/>
        <v>2</v>
      </c>
      <c r="L35" s="20">
        <f t="shared" si="8"/>
        <v>0.66666666666666663</v>
      </c>
      <c r="M35" s="49">
        <f t="shared" si="9"/>
        <v>0</v>
      </c>
      <c r="N35" s="50">
        <v>2</v>
      </c>
      <c r="O35" s="22">
        <v>0.82500000000000007</v>
      </c>
      <c r="P35" s="19">
        <v>0</v>
      </c>
      <c r="Q35" s="19">
        <v>0</v>
      </c>
      <c r="R35" s="19">
        <v>0</v>
      </c>
      <c r="S35" s="20">
        <v>0</v>
      </c>
      <c r="T35" s="19">
        <v>1</v>
      </c>
      <c r="U35" s="20">
        <v>0</v>
      </c>
      <c r="V35" s="19">
        <v>0</v>
      </c>
      <c r="W35" s="19">
        <v>0</v>
      </c>
      <c r="X35" s="19">
        <v>0</v>
      </c>
      <c r="Y35" s="19">
        <v>0</v>
      </c>
      <c r="Z35" s="19">
        <v>-1</v>
      </c>
      <c r="AA35" s="19">
        <v>0</v>
      </c>
      <c r="AB35" s="51">
        <v>0.41250000000000003</v>
      </c>
      <c r="AC35" s="54">
        <v>1</v>
      </c>
      <c r="AD35" s="42">
        <v>0.58333333333333337</v>
      </c>
      <c r="AE35" s="40">
        <v>0</v>
      </c>
      <c r="AF35" s="40">
        <v>0</v>
      </c>
      <c r="AG35" s="40">
        <v>0</v>
      </c>
      <c r="AH35" s="40">
        <v>1</v>
      </c>
      <c r="AI35" s="40">
        <v>0</v>
      </c>
      <c r="AJ35" s="40">
        <v>0</v>
      </c>
      <c r="AK35" s="40">
        <v>0</v>
      </c>
      <c r="AL35" s="40">
        <v>0</v>
      </c>
      <c r="AM35" s="40">
        <v>0</v>
      </c>
      <c r="AN35" s="40">
        <v>-1</v>
      </c>
      <c r="AO35" s="40">
        <v>0</v>
      </c>
      <c r="AP35" s="57">
        <v>0.58333333333333337</v>
      </c>
      <c r="AQ35" s="81"/>
      <c r="AR35" s="82"/>
      <c r="AS35" s="82"/>
      <c r="AT35" s="82"/>
      <c r="AU35" s="82"/>
      <c r="AV35" s="82"/>
      <c r="AW35" s="82"/>
      <c r="AX35" s="82"/>
      <c r="AY35" s="82"/>
      <c r="AZ35" s="82"/>
      <c r="BA35" s="82"/>
      <c r="BB35" s="82"/>
      <c r="BC35" s="82"/>
      <c r="BD35" s="83"/>
    </row>
    <row r="36" spans="1:56" ht="28.2" thickBot="1" x14ac:dyDescent="0.35">
      <c r="A36" s="24" t="s">
        <v>83</v>
      </c>
      <c r="B36" s="19" t="s">
        <v>80</v>
      </c>
      <c r="C36" s="19" t="s">
        <v>79</v>
      </c>
      <c r="D36" s="19">
        <f t="shared" si="0"/>
        <v>10</v>
      </c>
      <c r="E36" s="19">
        <f t="shared" si="1"/>
        <v>0</v>
      </c>
      <c r="F36" s="19">
        <f t="shared" si="2"/>
        <v>0</v>
      </c>
      <c r="G36" s="19">
        <f t="shared" si="3"/>
        <v>0</v>
      </c>
      <c r="H36" s="20">
        <f t="shared" si="4"/>
        <v>0</v>
      </c>
      <c r="I36" s="49">
        <f t="shared" si="5"/>
        <v>-1</v>
      </c>
      <c r="J36" s="59">
        <f t="shared" si="6"/>
        <v>-0.1</v>
      </c>
      <c r="K36" s="49">
        <f t="shared" si="7"/>
        <v>2</v>
      </c>
      <c r="L36" s="20">
        <f t="shared" si="8"/>
        <v>0.2</v>
      </c>
      <c r="M36" s="49">
        <f t="shared" si="9"/>
        <v>30</v>
      </c>
      <c r="N36" s="50">
        <v>10</v>
      </c>
      <c r="O36" s="21">
        <v>3.1458333333333335</v>
      </c>
      <c r="P36" s="19">
        <v>0</v>
      </c>
      <c r="Q36" s="19">
        <v>0</v>
      </c>
      <c r="R36" s="19">
        <v>0</v>
      </c>
      <c r="S36" s="20">
        <v>0</v>
      </c>
      <c r="T36" s="19">
        <v>2</v>
      </c>
      <c r="U36" s="20">
        <v>0</v>
      </c>
      <c r="V36" s="19">
        <v>0</v>
      </c>
      <c r="W36" s="19">
        <v>0</v>
      </c>
      <c r="X36" s="19">
        <v>0</v>
      </c>
      <c r="Y36" s="19">
        <v>0</v>
      </c>
      <c r="Z36" s="19">
        <v>-1</v>
      </c>
      <c r="AA36" s="19">
        <v>30</v>
      </c>
      <c r="AB36" s="51">
        <v>0.31458333333333333</v>
      </c>
      <c r="AQ36" s="84"/>
      <c r="AR36" s="87"/>
      <c r="AS36" s="87"/>
      <c r="AT36" s="87"/>
      <c r="AU36" s="87"/>
      <c r="AV36" s="87"/>
      <c r="AW36" s="87"/>
      <c r="AX36" s="87"/>
      <c r="AY36" s="87"/>
      <c r="AZ36" s="87"/>
      <c r="BA36" s="87"/>
      <c r="BB36" s="87"/>
      <c r="BC36" s="87"/>
      <c r="BD36" s="92"/>
    </row>
    <row r="37" spans="1:56" ht="28.2" thickBot="1" x14ac:dyDescent="0.35">
      <c r="A37" s="24" t="s">
        <v>92</v>
      </c>
      <c r="B37" s="19" t="s">
        <v>80</v>
      </c>
      <c r="C37" s="19" t="s">
        <v>88</v>
      </c>
      <c r="D37" s="19">
        <f t="shared" si="0"/>
        <v>22</v>
      </c>
      <c r="E37" s="19">
        <f t="shared" si="1"/>
        <v>0</v>
      </c>
      <c r="F37" s="19">
        <f t="shared" si="2"/>
        <v>4</v>
      </c>
      <c r="G37" s="19">
        <f t="shared" si="3"/>
        <v>4</v>
      </c>
      <c r="H37" s="20">
        <f t="shared" si="4"/>
        <v>0.18181818181818182</v>
      </c>
      <c r="I37" s="49">
        <f t="shared" si="5"/>
        <v>-7</v>
      </c>
      <c r="J37" s="59">
        <f t="shared" si="6"/>
        <v>-0.31818181818181818</v>
      </c>
      <c r="K37" s="49">
        <f t="shared" si="7"/>
        <v>31</v>
      </c>
      <c r="L37" s="20">
        <f t="shared" si="8"/>
        <v>1.4090909090909092</v>
      </c>
      <c r="M37" s="49">
        <f t="shared" si="9"/>
        <v>2</v>
      </c>
      <c r="N37" s="50">
        <v>10</v>
      </c>
      <c r="O37" s="21">
        <v>8.9340277777777768</v>
      </c>
      <c r="P37" s="19">
        <v>0</v>
      </c>
      <c r="Q37" s="19">
        <v>1</v>
      </c>
      <c r="R37" s="19">
        <v>1</v>
      </c>
      <c r="S37" s="20">
        <v>0.1</v>
      </c>
      <c r="T37" s="19">
        <v>11</v>
      </c>
      <c r="U37" s="20">
        <v>0</v>
      </c>
      <c r="V37" s="19">
        <v>0</v>
      </c>
      <c r="W37" s="19">
        <v>0</v>
      </c>
      <c r="X37" s="19">
        <v>0</v>
      </c>
      <c r="Y37" s="19">
        <v>0</v>
      </c>
      <c r="Z37" s="19">
        <v>-1</v>
      </c>
      <c r="AA37" s="19">
        <v>2</v>
      </c>
      <c r="AB37" s="51">
        <v>0.8930555555555556</v>
      </c>
      <c r="AC37" s="56">
        <v>5</v>
      </c>
      <c r="AD37" s="11">
        <v>4.0597222222222227</v>
      </c>
      <c r="AE37" s="10">
        <v>0</v>
      </c>
      <c r="AF37" s="10">
        <v>1</v>
      </c>
      <c r="AG37" s="10">
        <v>1</v>
      </c>
      <c r="AH37" s="10">
        <v>7</v>
      </c>
      <c r="AI37" s="10" t="s">
        <v>78</v>
      </c>
      <c r="AJ37" s="10">
        <v>0</v>
      </c>
      <c r="AK37" s="10">
        <v>1</v>
      </c>
      <c r="AL37" s="10">
        <v>0</v>
      </c>
      <c r="AM37" s="10">
        <v>0</v>
      </c>
      <c r="AN37" s="10">
        <v>-2</v>
      </c>
      <c r="AO37" s="10">
        <v>0</v>
      </c>
      <c r="AP37" s="13">
        <v>0.81180555555555556</v>
      </c>
      <c r="AQ37" s="76">
        <v>7</v>
      </c>
      <c r="AR37" s="77">
        <v>5.4638888888888886</v>
      </c>
      <c r="AS37" s="78">
        <v>0</v>
      </c>
      <c r="AT37" s="78">
        <v>2</v>
      </c>
      <c r="AU37" s="78">
        <v>2</v>
      </c>
      <c r="AV37" s="78">
        <v>13</v>
      </c>
      <c r="AW37" s="78" t="s">
        <v>78</v>
      </c>
      <c r="AX37" s="78">
        <v>0</v>
      </c>
      <c r="AY37" s="78">
        <v>0</v>
      </c>
      <c r="AZ37" s="78">
        <v>0</v>
      </c>
      <c r="BA37" s="78">
        <v>0</v>
      </c>
      <c r="BB37" s="78">
        <v>-4</v>
      </c>
      <c r="BC37" s="78">
        <v>0</v>
      </c>
      <c r="BD37" s="79">
        <v>0.78055555555555556</v>
      </c>
    </row>
    <row r="38" spans="1:56" ht="28.2" thickBot="1" x14ac:dyDescent="0.35">
      <c r="A38" s="24" t="s">
        <v>108</v>
      </c>
      <c r="B38" s="19" t="s">
        <v>80</v>
      </c>
      <c r="C38" s="19" t="s">
        <v>79</v>
      </c>
      <c r="D38" s="19">
        <f t="shared" si="0"/>
        <v>59</v>
      </c>
      <c r="E38" s="19">
        <f t="shared" si="1"/>
        <v>14</v>
      </c>
      <c r="F38" s="19">
        <f t="shared" si="2"/>
        <v>12</v>
      </c>
      <c r="G38" s="19">
        <f t="shared" si="3"/>
        <v>26</v>
      </c>
      <c r="H38" s="20">
        <f t="shared" si="4"/>
        <v>0.44067796610169491</v>
      </c>
      <c r="I38" s="49">
        <f t="shared" si="5"/>
        <v>0</v>
      </c>
      <c r="J38" s="59">
        <f t="shared" si="6"/>
        <v>0</v>
      </c>
      <c r="K38" s="49">
        <f t="shared" si="7"/>
        <v>74</v>
      </c>
      <c r="L38" s="20">
        <f t="shared" si="8"/>
        <v>1.2542372881355932</v>
      </c>
      <c r="M38" s="49">
        <f t="shared" si="9"/>
        <v>10</v>
      </c>
      <c r="N38" s="50">
        <v>47</v>
      </c>
      <c r="O38" s="21">
        <v>34.674305555555556</v>
      </c>
      <c r="P38" s="19">
        <v>13</v>
      </c>
      <c r="Q38" s="19">
        <v>9</v>
      </c>
      <c r="R38" s="19">
        <v>22</v>
      </c>
      <c r="S38" s="20">
        <v>0.46808510638297873</v>
      </c>
      <c r="T38" s="19">
        <v>58</v>
      </c>
      <c r="U38" s="20">
        <v>22.413793103448278</v>
      </c>
      <c r="V38" s="19">
        <v>2</v>
      </c>
      <c r="W38" s="19">
        <v>5</v>
      </c>
      <c r="X38" s="19">
        <v>2</v>
      </c>
      <c r="Y38" s="19">
        <v>1</v>
      </c>
      <c r="Z38" s="19">
        <v>-1</v>
      </c>
      <c r="AA38" s="19">
        <v>8</v>
      </c>
      <c r="AB38" s="51">
        <v>0.73749999999999993</v>
      </c>
      <c r="AC38" s="56">
        <v>1</v>
      </c>
      <c r="AD38" s="12">
        <v>0.43611111111111112</v>
      </c>
      <c r="AE38" s="10">
        <v>0</v>
      </c>
      <c r="AF38" s="10">
        <v>0</v>
      </c>
      <c r="AG38" s="10">
        <v>0</v>
      </c>
      <c r="AH38" s="10">
        <v>0</v>
      </c>
      <c r="AI38" s="10" t="s">
        <v>78</v>
      </c>
      <c r="AJ38" s="10">
        <v>0</v>
      </c>
      <c r="AK38" s="10">
        <v>0</v>
      </c>
      <c r="AL38" s="10">
        <v>0</v>
      </c>
      <c r="AM38" s="10">
        <v>0</v>
      </c>
      <c r="AN38" s="10">
        <v>-1</v>
      </c>
      <c r="AO38" s="10">
        <v>0</v>
      </c>
      <c r="AP38" s="13">
        <v>0.43611111111111112</v>
      </c>
      <c r="AQ38" s="76">
        <v>11</v>
      </c>
      <c r="AR38" s="77">
        <v>9.0326388888888882</v>
      </c>
      <c r="AS38" s="78">
        <v>1</v>
      </c>
      <c r="AT38" s="78">
        <v>3</v>
      </c>
      <c r="AU38" s="78">
        <v>4</v>
      </c>
      <c r="AV38" s="78">
        <v>16</v>
      </c>
      <c r="AW38" s="80">
        <v>45809</v>
      </c>
      <c r="AX38" s="78">
        <v>0</v>
      </c>
      <c r="AY38" s="78">
        <v>0</v>
      </c>
      <c r="AZ38" s="78">
        <v>0</v>
      </c>
      <c r="BA38" s="78">
        <v>1</v>
      </c>
      <c r="BB38" s="78">
        <v>2</v>
      </c>
      <c r="BC38" s="78">
        <v>2</v>
      </c>
      <c r="BD38" s="79">
        <v>0.8208333333333333</v>
      </c>
    </row>
    <row r="39" spans="1:56" ht="27.6" x14ac:dyDescent="0.3">
      <c r="A39" s="24" t="s">
        <v>89</v>
      </c>
      <c r="B39" s="19" t="s">
        <v>80</v>
      </c>
      <c r="C39" s="19" t="s">
        <v>88</v>
      </c>
      <c r="D39" s="19">
        <f t="shared" si="0"/>
        <v>1</v>
      </c>
      <c r="E39" s="19">
        <f t="shared" si="1"/>
        <v>0</v>
      </c>
      <c r="F39" s="19">
        <f t="shared" si="2"/>
        <v>0</v>
      </c>
      <c r="G39" s="19">
        <f t="shared" si="3"/>
        <v>0</v>
      </c>
      <c r="H39" s="20">
        <f t="shared" si="4"/>
        <v>0</v>
      </c>
      <c r="I39" s="49">
        <f t="shared" si="5"/>
        <v>0</v>
      </c>
      <c r="J39" s="59">
        <f t="shared" si="6"/>
        <v>0</v>
      </c>
      <c r="K39" s="49">
        <f t="shared" si="7"/>
        <v>3</v>
      </c>
      <c r="L39" s="20">
        <f t="shared" si="8"/>
        <v>3</v>
      </c>
      <c r="M39" s="49">
        <f t="shared" si="9"/>
        <v>2</v>
      </c>
      <c r="N39" s="50">
        <v>1</v>
      </c>
      <c r="O39" s="22">
        <v>0.98055555555555562</v>
      </c>
      <c r="P39" s="19">
        <v>0</v>
      </c>
      <c r="Q39" s="19">
        <v>0</v>
      </c>
      <c r="R39" s="19">
        <v>0</v>
      </c>
      <c r="S39" s="20">
        <v>0</v>
      </c>
      <c r="T39" s="19">
        <v>3</v>
      </c>
      <c r="U39" s="20">
        <v>0</v>
      </c>
      <c r="V39" s="19">
        <v>0</v>
      </c>
      <c r="W39" s="19">
        <v>0</v>
      </c>
      <c r="X39" s="19">
        <v>0</v>
      </c>
      <c r="Y39" s="19">
        <v>0</v>
      </c>
      <c r="Z39" s="19">
        <v>0</v>
      </c>
      <c r="AA39" s="19">
        <v>2</v>
      </c>
      <c r="AB39" s="51">
        <v>0.98055555555555562</v>
      </c>
      <c r="AQ39" s="84"/>
      <c r="AR39" s="87"/>
      <c r="AS39" s="87"/>
      <c r="AT39" s="87"/>
      <c r="AU39" s="87"/>
      <c r="AV39" s="87"/>
      <c r="AW39" s="87"/>
      <c r="AX39" s="87"/>
      <c r="AY39" s="87"/>
      <c r="AZ39" s="87"/>
      <c r="BA39" s="87"/>
      <c r="BB39" s="87"/>
      <c r="BC39" s="87"/>
      <c r="BD39" s="92"/>
    </row>
    <row r="40" spans="1:56" ht="27.6" x14ac:dyDescent="0.3">
      <c r="A40" s="24" t="s">
        <v>94</v>
      </c>
      <c r="B40" s="19" t="s">
        <v>80</v>
      </c>
      <c r="C40" s="19" t="s">
        <v>79</v>
      </c>
      <c r="D40" s="19">
        <f t="shared" si="0"/>
        <v>22</v>
      </c>
      <c r="E40" s="19">
        <f t="shared" si="1"/>
        <v>2</v>
      </c>
      <c r="F40" s="19">
        <f t="shared" si="2"/>
        <v>2</v>
      </c>
      <c r="G40" s="19">
        <f t="shared" si="3"/>
        <v>4</v>
      </c>
      <c r="H40" s="20">
        <f t="shared" si="4"/>
        <v>0.18181818181818182</v>
      </c>
      <c r="I40" s="49">
        <f t="shared" si="5"/>
        <v>2</v>
      </c>
      <c r="J40" s="59">
        <f t="shared" si="6"/>
        <v>9.0909090909090912E-2</v>
      </c>
      <c r="K40" s="49">
        <f t="shared" si="7"/>
        <v>20</v>
      </c>
      <c r="L40" s="20">
        <f t="shared" si="8"/>
        <v>0.90909090909090906</v>
      </c>
      <c r="M40" s="49">
        <f t="shared" si="9"/>
        <v>14</v>
      </c>
      <c r="N40" s="50">
        <v>4</v>
      </c>
      <c r="O40" s="22">
        <v>0.91180555555555554</v>
      </c>
      <c r="P40" s="19">
        <v>0</v>
      </c>
      <c r="Q40" s="19">
        <v>1</v>
      </c>
      <c r="R40" s="19">
        <v>1</v>
      </c>
      <c r="S40" s="20">
        <v>0.25</v>
      </c>
      <c r="T40" s="19">
        <v>1</v>
      </c>
      <c r="U40" s="20">
        <v>0</v>
      </c>
      <c r="V40" s="19">
        <v>0</v>
      </c>
      <c r="W40" s="19">
        <v>0</v>
      </c>
      <c r="X40" s="19">
        <v>0</v>
      </c>
      <c r="Y40" s="19">
        <v>0</v>
      </c>
      <c r="Z40" s="19">
        <v>0</v>
      </c>
      <c r="AA40" s="19">
        <v>0</v>
      </c>
      <c r="AB40" s="51">
        <v>0.22777777777777777</v>
      </c>
      <c r="AC40" s="56">
        <v>6</v>
      </c>
      <c r="AD40" s="11">
        <v>3.1583333333333332</v>
      </c>
      <c r="AE40" s="10">
        <v>1</v>
      </c>
      <c r="AF40" s="10">
        <v>1</v>
      </c>
      <c r="AG40" s="10">
        <v>2</v>
      </c>
      <c r="AH40" s="10">
        <v>8</v>
      </c>
      <c r="AI40" s="18">
        <v>18598</v>
      </c>
      <c r="AJ40" s="10">
        <v>0</v>
      </c>
      <c r="AK40" s="10">
        <v>1</v>
      </c>
      <c r="AL40" s="10">
        <v>0</v>
      </c>
      <c r="AM40" s="10">
        <v>0</v>
      </c>
      <c r="AN40" s="10">
        <v>1</v>
      </c>
      <c r="AO40" s="10">
        <v>8</v>
      </c>
      <c r="AP40" s="13">
        <v>0.52638888888888891</v>
      </c>
      <c r="AQ40" s="85">
        <v>12</v>
      </c>
      <c r="AR40" s="88">
        <v>5.896527777777778</v>
      </c>
      <c r="AS40" s="90">
        <v>1</v>
      </c>
      <c r="AT40" s="90">
        <v>0</v>
      </c>
      <c r="AU40" s="90">
        <v>1</v>
      </c>
      <c r="AV40" s="90">
        <v>11</v>
      </c>
      <c r="AW40" s="176">
        <v>43352</v>
      </c>
      <c r="AX40" s="90">
        <v>0</v>
      </c>
      <c r="AY40" s="90">
        <v>0</v>
      </c>
      <c r="AZ40" s="90">
        <v>0</v>
      </c>
      <c r="BA40" s="90">
        <v>1</v>
      </c>
      <c r="BB40" s="90">
        <v>1</v>
      </c>
      <c r="BC40" s="90">
        <v>6</v>
      </c>
      <c r="BD40" s="93">
        <v>0.4909722222222222</v>
      </c>
    </row>
    <row r="41" spans="1:56" ht="27.6" x14ac:dyDescent="0.3">
      <c r="A41" s="24" t="s">
        <v>110</v>
      </c>
      <c r="B41" s="19" t="s">
        <v>80</v>
      </c>
      <c r="C41" s="19" t="s">
        <v>79</v>
      </c>
      <c r="D41" s="19">
        <f t="shared" si="0"/>
        <v>23</v>
      </c>
      <c r="E41" s="19">
        <f t="shared" si="1"/>
        <v>4</v>
      </c>
      <c r="F41" s="19">
        <f t="shared" si="2"/>
        <v>2</v>
      </c>
      <c r="G41" s="19">
        <f t="shared" si="3"/>
        <v>6</v>
      </c>
      <c r="H41" s="20">
        <f t="shared" si="4"/>
        <v>0.2608695652173913</v>
      </c>
      <c r="I41" s="49">
        <f t="shared" si="5"/>
        <v>1</v>
      </c>
      <c r="J41" s="59">
        <f t="shared" si="6"/>
        <v>4.3478260869565216E-2</v>
      </c>
      <c r="K41" s="49">
        <f t="shared" si="7"/>
        <v>43</v>
      </c>
      <c r="L41" s="20">
        <f t="shared" si="8"/>
        <v>1.8695652173913044</v>
      </c>
      <c r="M41" s="49">
        <f t="shared" si="9"/>
        <v>4</v>
      </c>
      <c r="N41" s="50">
        <v>23</v>
      </c>
      <c r="O41" s="21">
        <v>13.366666666666667</v>
      </c>
      <c r="P41" s="19">
        <v>4</v>
      </c>
      <c r="Q41" s="19">
        <v>2</v>
      </c>
      <c r="R41" s="19">
        <v>6</v>
      </c>
      <c r="S41" s="20">
        <v>0.2608695652173913</v>
      </c>
      <c r="T41" s="19">
        <v>43</v>
      </c>
      <c r="U41" s="20">
        <v>9.3023255813953494</v>
      </c>
      <c r="V41" s="19">
        <v>0</v>
      </c>
      <c r="W41" s="19">
        <v>0</v>
      </c>
      <c r="X41" s="19">
        <v>0</v>
      </c>
      <c r="Y41" s="19">
        <v>0</v>
      </c>
      <c r="Z41" s="19">
        <v>1</v>
      </c>
      <c r="AA41" s="19">
        <v>4</v>
      </c>
      <c r="AB41" s="51">
        <v>0.5805555555555556</v>
      </c>
    </row>
    <row r="42" spans="1:56" ht="27.6" x14ac:dyDescent="0.3">
      <c r="A42" s="24" t="s">
        <v>98</v>
      </c>
      <c r="B42" s="19" t="s">
        <v>80</v>
      </c>
      <c r="C42" s="19" t="s">
        <v>88</v>
      </c>
      <c r="D42" s="19">
        <f t="shared" si="0"/>
        <v>47</v>
      </c>
      <c r="E42" s="19">
        <f t="shared" si="1"/>
        <v>0</v>
      </c>
      <c r="F42" s="19">
        <f t="shared" si="2"/>
        <v>2</v>
      </c>
      <c r="G42" s="19">
        <f t="shared" si="3"/>
        <v>2</v>
      </c>
      <c r="H42" s="20">
        <f t="shared" si="4"/>
        <v>4.2553191489361701E-2</v>
      </c>
      <c r="I42" s="49">
        <f t="shared" si="5"/>
        <v>1</v>
      </c>
      <c r="J42" s="59">
        <f t="shared" si="6"/>
        <v>2.1276595744680851E-2</v>
      </c>
      <c r="K42" s="49">
        <f t="shared" si="7"/>
        <v>28</v>
      </c>
      <c r="L42" s="20">
        <f t="shared" si="8"/>
        <v>0.5957446808510638</v>
      </c>
      <c r="M42" s="49">
        <f t="shared" si="9"/>
        <v>28</v>
      </c>
      <c r="N42" s="50">
        <v>32</v>
      </c>
      <c r="O42" s="21">
        <v>15.043750000000001</v>
      </c>
      <c r="P42" s="19">
        <v>0</v>
      </c>
      <c r="Q42" s="19">
        <v>2</v>
      </c>
      <c r="R42" s="19">
        <v>2</v>
      </c>
      <c r="S42" s="20">
        <v>6.25E-2</v>
      </c>
      <c r="T42" s="19">
        <v>21</v>
      </c>
      <c r="U42" s="20">
        <v>0</v>
      </c>
      <c r="V42" s="19">
        <v>0</v>
      </c>
      <c r="W42" s="19">
        <v>0</v>
      </c>
      <c r="X42" s="19">
        <v>0</v>
      </c>
      <c r="Y42" s="19">
        <v>0</v>
      </c>
      <c r="Z42" s="19">
        <v>1</v>
      </c>
      <c r="AA42" s="19">
        <v>18</v>
      </c>
      <c r="AB42" s="51">
        <v>0.4694444444444445</v>
      </c>
      <c r="AC42" s="56">
        <v>4</v>
      </c>
      <c r="AD42" s="11">
        <v>2.4659722222222222</v>
      </c>
      <c r="AE42" s="10">
        <v>0</v>
      </c>
      <c r="AF42" s="10">
        <v>0</v>
      </c>
      <c r="AG42" s="10">
        <v>0</v>
      </c>
      <c r="AH42" s="10">
        <v>1</v>
      </c>
      <c r="AI42" s="10" t="s">
        <v>78</v>
      </c>
      <c r="AJ42" s="10">
        <v>0</v>
      </c>
      <c r="AK42" s="10">
        <v>0</v>
      </c>
      <c r="AL42" s="10">
        <v>0</v>
      </c>
      <c r="AM42" s="10">
        <v>0</v>
      </c>
      <c r="AN42" s="10">
        <v>0</v>
      </c>
      <c r="AO42" s="10">
        <v>2</v>
      </c>
      <c r="AP42" s="13">
        <v>0.61597222222222225</v>
      </c>
      <c r="AQ42" s="85">
        <v>11</v>
      </c>
      <c r="AR42" s="88">
        <v>8.1479166666666671</v>
      </c>
      <c r="AS42" s="90">
        <v>0</v>
      </c>
      <c r="AT42" s="90">
        <v>0</v>
      </c>
      <c r="AU42" s="90">
        <v>0</v>
      </c>
      <c r="AV42" s="90">
        <v>6</v>
      </c>
      <c r="AW42" s="90" t="s">
        <v>78</v>
      </c>
      <c r="AX42" s="90">
        <v>0</v>
      </c>
      <c r="AY42" s="90">
        <v>0</v>
      </c>
      <c r="AZ42" s="90">
        <v>0</v>
      </c>
      <c r="BA42" s="90">
        <v>0</v>
      </c>
      <c r="BB42" s="90">
        <v>0</v>
      </c>
      <c r="BC42" s="90">
        <v>8</v>
      </c>
      <c r="BD42" s="93">
        <v>0.7402777777777777</v>
      </c>
    </row>
    <row r="43" spans="1:56" ht="27.6" x14ac:dyDescent="0.3">
      <c r="A43" s="24" t="s">
        <v>117</v>
      </c>
      <c r="B43" s="19" t="s">
        <v>80</v>
      </c>
      <c r="C43" s="19" t="s">
        <v>79</v>
      </c>
      <c r="D43" s="19">
        <f t="shared" si="0"/>
        <v>27</v>
      </c>
      <c r="E43" s="19">
        <f t="shared" si="1"/>
        <v>11</v>
      </c>
      <c r="F43" s="19">
        <f t="shared" si="2"/>
        <v>12</v>
      </c>
      <c r="G43" s="19">
        <f t="shared" si="3"/>
        <v>23</v>
      </c>
      <c r="H43" s="20">
        <f t="shared" si="4"/>
        <v>0.85185185185185186</v>
      </c>
      <c r="I43" s="49">
        <f t="shared" si="5"/>
        <v>-3</v>
      </c>
      <c r="J43" s="59">
        <f t="shared" si="6"/>
        <v>-0.1111111111111111</v>
      </c>
      <c r="K43" s="49">
        <f t="shared" si="7"/>
        <v>65</v>
      </c>
      <c r="L43" s="20">
        <f t="shared" si="8"/>
        <v>2.4074074074074074</v>
      </c>
      <c r="M43" s="49">
        <f t="shared" si="9"/>
        <v>16</v>
      </c>
      <c r="N43" s="50">
        <v>9</v>
      </c>
      <c r="O43" s="21">
        <v>6.3312499999999998</v>
      </c>
      <c r="P43" s="19">
        <v>4</v>
      </c>
      <c r="Q43" s="19">
        <v>7</v>
      </c>
      <c r="R43" s="19">
        <v>11</v>
      </c>
      <c r="S43" s="20">
        <v>1.2222222222222223</v>
      </c>
      <c r="T43" s="19">
        <v>18</v>
      </c>
      <c r="U43" s="20">
        <v>22.222222222222221</v>
      </c>
      <c r="V43" s="19">
        <v>2</v>
      </c>
      <c r="W43" s="19">
        <v>4</v>
      </c>
      <c r="X43" s="19">
        <v>0</v>
      </c>
      <c r="Y43" s="19">
        <v>1</v>
      </c>
      <c r="Z43" s="19">
        <v>2</v>
      </c>
      <c r="AA43" s="19">
        <v>4</v>
      </c>
      <c r="AB43" s="51">
        <v>0.70347222222222217</v>
      </c>
      <c r="AC43" s="56">
        <v>6</v>
      </c>
      <c r="AD43" s="11">
        <v>3.4368055555555554</v>
      </c>
      <c r="AE43" s="10">
        <v>3</v>
      </c>
      <c r="AF43" s="10">
        <v>1</v>
      </c>
      <c r="AG43" s="10">
        <v>4</v>
      </c>
      <c r="AH43" s="10">
        <v>10</v>
      </c>
      <c r="AI43" s="10" t="s">
        <v>125</v>
      </c>
      <c r="AJ43" s="10">
        <v>1</v>
      </c>
      <c r="AK43" s="10">
        <v>2</v>
      </c>
      <c r="AL43" s="10">
        <v>1</v>
      </c>
      <c r="AM43" s="10">
        <v>0</v>
      </c>
      <c r="AN43" s="10">
        <v>-1</v>
      </c>
      <c r="AO43" s="10">
        <v>4</v>
      </c>
      <c r="AP43" s="13">
        <v>0.57222222222222219</v>
      </c>
      <c r="AQ43" s="85">
        <v>12</v>
      </c>
      <c r="AR43" s="88">
        <v>9.0881944444444454</v>
      </c>
      <c r="AS43" s="90">
        <v>4</v>
      </c>
      <c r="AT43" s="90">
        <v>4</v>
      </c>
      <c r="AU43" s="90">
        <v>8</v>
      </c>
      <c r="AV43" s="90">
        <v>37</v>
      </c>
      <c r="AW43" s="91">
        <v>29860</v>
      </c>
      <c r="AX43" s="90">
        <v>2</v>
      </c>
      <c r="AY43" s="90">
        <v>5</v>
      </c>
      <c r="AZ43" s="90">
        <v>0</v>
      </c>
      <c r="BA43" s="90">
        <v>1</v>
      </c>
      <c r="BB43" s="90">
        <v>-4</v>
      </c>
      <c r="BC43" s="90">
        <v>8</v>
      </c>
      <c r="BD43" s="93">
        <v>0.75694444444444453</v>
      </c>
    </row>
    <row r="44" spans="1:56" ht="27.6" x14ac:dyDescent="0.3">
      <c r="A44" s="24" t="s">
        <v>118</v>
      </c>
      <c r="B44" s="19" t="s">
        <v>80</v>
      </c>
      <c r="C44" s="19" t="s">
        <v>88</v>
      </c>
      <c r="D44" s="19">
        <f t="shared" si="0"/>
        <v>18</v>
      </c>
      <c r="E44" s="19">
        <f t="shared" si="1"/>
        <v>3</v>
      </c>
      <c r="F44" s="19">
        <f t="shared" si="2"/>
        <v>10</v>
      </c>
      <c r="G44" s="19">
        <f t="shared" si="3"/>
        <v>13</v>
      </c>
      <c r="H44" s="20">
        <f t="shared" si="4"/>
        <v>0.72222222222222221</v>
      </c>
      <c r="I44" s="49">
        <f t="shared" si="5"/>
        <v>3</v>
      </c>
      <c r="J44" s="59">
        <f t="shared" si="6"/>
        <v>0.16666666666666666</v>
      </c>
      <c r="K44" s="49">
        <f t="shared" si="7"/>
        <v>38</v>
      </c>
      <c r="L44" s="20">
        <f t="shared" si="8"/>
        <v>2.1111111111111112</v>
      </c>
      <c r="M44" s="49">
        <f t="shared" si="9"/>
        <v>10</v>
      </c>
      <c r="N44" s="50">
        <v>14</v>
      </c>
      <c r="O44" s="21">
        <v>12.723611111111111</v>
      </c>
      <c r="P44" s="19">
        <v>3</v>
      </c>
      <c r="Q44" s="19">
        <v>9</v>
      </c>
      <c r="R44" s="19">
        <v>12</v>
      </c>
      <c r="S44" s="20">
        <v>0.8571428571428571</v>
      </c>
      <c r="T44" s="19">
        <v>29</v>
      </c>
      <c r="U44" s="20">
        <v>10.344827586206897</v>
      </c>
      <c r="V44" s="19">
        <v>1</v>
      </c>
      <c r="W44" s="19">
        <v>4</v>
      </c>
      <c r="X44" s="19">
        <v>0</v>
      </c>
      <c r="Y44" s="19">
        <v>1</v>
      </c>
      <c r="Z44" s="19">
        <v>6</v>
      </c>
      <c r="AA44" s="19">
        <v>6</v>
      </c>
      <c r="AB44" s="51">
        <v>0.90833333333333333</v>
      </c>
      <c r="AD44" s="42"/>
      <c r="AP44" s="57"/>
      <c r="AQ44" s="85">
        <v>4</v>
      </c>
      <c r="AR44" s="88">
        <v>2.5458333333333334</v>
      </c>
      <c r="AS44" s="90">
        <v>0</v>
      </c>
      <c r="AT44" s="90">
        <v>1</v>
      </c>
      <c r="AU44" s="90">
        <v>1</v>
      </c>
      <c r="AV44" s="90">
        <v>9</v>
      </c>
      <c r="AW44" s="90" t="s">
        <v>78</v>
      </c>
      <c r="AX44" s="90">
        <v>0</v>
      </c>
      <c r="AY44" s="90">
        <v>1</v>
      </c>
      <c r="AZ44" s="90">
        <v>0</v>
      </c>
      <c r="BA44" s="90">
        <v>0</v>
      </c>
      <c r="BB44" s="90">
        <v>-3</v>
      </c>
      <c r="BC44" s="90">
        <v>4</v>
      </c>
      <c r="BD44" s="93">
        <v>0.63611111111111118</v>
      </c>
    </row>
    <row r="45" spans="1:56" ht="27.6" x14ac:dyDescent="0.3">
      <c r="A45" s="24" t="s">
        <v>124</v>
      </c>
      <c r="B45" s="19" t="s">
        <v>80</v>
      </c>
      <c r="C45" s="19" t="s">
        <v>79</v>
      </c>
      <c r="D45" s="19">
        <f t="shared" si="0"/>
        <v>59</v>
      </c>
      <c r="E45" s="19">
        <f t="shared" si="1"/>
        <v>17</v>
      </c>
      <c r="F45" s="19">
        <f t="shared" si="2"/>
        <v>30</v>
      </c>
      <c r="G45" s="19">
        <f t="shared" si="3"/>
        <v>47</v>
      </c>
      <c r="H45" s="20">
        <f t="shared" si="4"/>
        <v>0.79661016949152541</v>
      </c>
      <c r="I45" s="49">
        <f t="shared" si="5"/>
        <v>8</v>
      </c>
      <c r="J45" s="59">
        <f t="shared" si="6"/>
        <v>0.13559322033898305</v>
      </c>
      <c r="K45" s="49">
        <f t="shared" si="7"/>
        <v>138</v>
      </c>
      <c r="L45" s="20">
        <f t="shared" si="8"/>
        <v>2.3389830508474576</v>
      </c>
      <c r="M45" s="49">
        <f t="shared" si="9"/>
        <v>48</v>
      </c>
      <c r="N45" s="50">
        <v>42</v>
      </c>
      <c r="O45" s="21">
        <v>32.271527777777777</v>
      </c>
      <c r="P45" s="19">
        <v>13</v>
      </c>
      <c r="Q45" s="19">
        <v>21</v>
      </c>
      <c r="R45" s="19">
        <v>34</v>
      </c>
      <c r="S45" s="20">
        <v>0.80952380952380953</v>
      </c>
      <c r="T45" s="19">
        <v>101</v>
      </c>
      <c r="U45" s="20">
        <v>12.871287128712872</v>
      </c>
      <c r="V45" s="19">
        <v>7</v>
      </c>
      <c r="W45" s="19">
        <v>15</v>
      </c>
      <c r="X45" s="19">
        <v>0</v>
      </c>
      <c r="Y45" s="19">
        <v>2</v>
      </c>
      <c r="Z45" s="19">
        <v>6</v>
      </c>
      <c r="AA45" s="19">
        <v>28</v>
      </c>
      <c r="AB45" s="51">
        <v>0.7680555555555556</v>
      </c>
      <c r="AC45" s="56">
        <v>5</v>
      </c>
      <c r="AD45" s="11">
        <v>3.5402777777777779</v>
      </c>
      <c r="AE45" s="10">
        <v>0</v>
      </c>
      <c r="AF45" s="10">
        <v>3</v>
      </c>
      <c r="AG45" s="10">
        <v>3</v>
      </c>
      <c r="AH45" s="10">
        <v>12</v>
      </c>
      <c r="AI45" s="10" t="s">
        <v>78</v>
      </c>
      <c r="AJ45" s="10">
        <v>0</v>
      </c>
      <c r="AK45" s="10">
        <v>2</v>
      </c>
      <c r="AL45" s="10">
        <v>0</v>
      </c>
      <c r="AM45" s="10">
        <v>0</v>
      </c>
      <c r="AN45" s="10">
        <v>2</v>
      </c>
      <c r="AO45" s="10">
        <v>10</v>
      </c>
      <c r="AP45" s="13">
        <v>0.70763888888888893</v>
      </c>
      <c r="AQ45" s="85">
        <v>12</v>
      </c>
      <c r="AR45" s="88">
        <v>9.40625</v>
      </c>
      <c r="AS45" s="90">
        <v>4</v>
      </c>
      <c r="AT45" s="90">
        <v>6</v>
      </c>
      <c r="AU45" s="90">
        <v>10</v>
      </c>
      <c r="AV45" s="90">
        <v>25</v>
      </c>
      <c r="AW45" s="90" t="s">
        <v>214</v>
      </c>
      <c r="AX45" s="90">
        <v>0</v>
      </c>
      <c r="AY45" s="90">
        <v>5</v>
      </c>
      <c r="AZ45" s="90">
        <v>0</v>
      </c>
      <c r="BA45" s="90">
        <v>0</v>
      </c>
      <c r="BB45" s="90">
        <v>0</v>
      </c>
      <c r="BC45" s="90">
        <v>10</v>
      </c>
      <c r="BD45" s="93">
        <v>0.78333333333333333</v>
      </c>
    </row>
    <row r="46" spans="1:56" ht="28.2" thickBot="1" x14ac:dyDescent="0.35">
      <c r="A46" s="24" t="s">
        <v>122</v>
      </c>
      <c r="B46" s="19" t="s">
        <v>80</v>
      </c>
      <c r="C46" s="19" t="s">
        <v>79</v>
      </c>
      <c r="D46" s="19">
        <f t="shared" si="0"/>
        <v>60</v>
      </c>
      <c r="E46" s="19">
        <f t="shared" si="1"/>
        <v>19</v>
      </c>
      <c r="F46" s="19">
        <f t="shared" si="2"/>
        <v>30</v>
      </c>
      <c r="G46" s="19">
        <f t="shared" si="3"/>
        <v>49</v>
      </c>
      <c r="H46" s="20">
        <f t="shared" si="4"/>
        <v>0.81666666666666665</v>
      </c>
      <c r="I46" s="49">
        <f t="shared" si="5"/>
        <v>6</v>
      </c>
      <c r="J46" s="59">
        <f t="shared" si="6"/>
        <v>0.1</v>
      </c>
      <c r="K46" s="49">
        <f t="shared" si="7"/>
        <v>166</v>
      </c>
      <c r="L46" s="20">
        <f t="shared" si="8"/>
        <v>2.7666666666666666</v>
      </c>
      <c r="M46" s="49">
        <f t="shared" si="9"/>
        <v>75</v>
      </c>
      <c r="N46" s="50">
        <v>45</v>
      </c>
      <c r="O46" s="21">
        <v>35.107638888888893</v>
      </c>
      <c r="P46" s="19">
        <v>15</v>
      </c>
      <c r="Q46" s="19">
        <v>24</v>
      </c>
      <c r="R46" s="19">
        <v>39</v>
      </c>
      <c r="S46" s="20">
        <v>0.8666666666666667</v>
      </c>
      <c r="T46" s="19">
        <v>135</v>
      </c>
      <c r="U46" s="20">
        <v>11.111111111111111</v>
      </c>
      <c r="V46" s="19">
        <v>5</v>
      </c>
      <c r="W46" s="19">
        <v>16</v>
      </c>
      <c r="X46" s="19">
        <v>1</v>
      </c>
      <c r="Y46" s="19">
        <v>2</v>
      </c>
      <c r="Z46" s="19">
        <v>6</v>
      </c>
      <c r="AA46" s="19">
        <v>34</v>
      </c>
      <c r="AB46" s="51">
        <v>0.77986111111111101</v>
      </c>
      <c r="AC46" s="56">
        <v>3</v>
      </c>
      <c r="AD46" s="11">
        <v>2.1013888888888888</v>
      </c>
      <c r="AE46" s="10">
        <v>1</v>
      </c>
      <c r="AF46" s="10">
        <v>1</v>
      </c>
      <c r="AG46" s="10">
        <v>2</v>
      </c>
      <c r="AH46" s="10">
        <v>10</v>
      </c>
      <c r="AI46" s="10" t="s">
        <v>121</v>
      </c>
      <c r="AJ46" s="10">
        <v>0</v>
      </c>
      <c r="AK46" s="10">
        <v>0</v>
      </c>
      <c r="AL46" s="10">
        <v>0</v>
      </c>
      <c r="AM46" s="10">
        <v>0</v>
      </c>
      <c r="AN46" s="10">
        <v>1</v>
      </c>
      <c r="AO46" s="10">
        <v>25</v>
      </c>
      <c r="AP46" s="13">
        <v>0.70000000000000007</v>
      </c>
      <c r="AQ46" s="85">
        <v>12</v>
      </c>
      <c r="AR46" s="88">
        <v>9.1840277777777768</v>
      </c>
      <c r="AS46" s="90">
        <v>3</v>
      </c>
      <c r="AT46" s="90">
        <v>5</v>
      </c>
      <c r="AU46" s="90">
        <v>8</v>
      </c>
      <c r="AV46" s="90">
        <v>21</v>
      </c>
      <c r="AW46" s="90" t="s">
        <v>215</v>
      </c>
      <c r="AX46" s="90">
        <v>3</v>
      </c>
      <c r="AY46" s="90">
        <v>4</v>
      </c>
      <c r="AZ46" s="90">
        <v>0</v>
      </c>
      <c r="BA46" s="90">
        <v>0</v>
      </c>
      <c r="BB46" s="90">
        <v>-1</v>
      </c>
      <c r="BC46" s="90">
        <v>16</v>
      </c>
      <c r="BD46" s="93">
        <v>0.76527777777777783</v>
      </c>
    </row>
    <row r="47" spans="1:56" ht="27.6" x14ac:dyDescent="0.3">
      <c r="A47" s="24" t="s">
        <v>153</v>
      </c>
      <c r="B47" s="19" t="s">
        <v>80</v>
      </c>
      <c r="C47" s="19" t="s">
        <v>88</v>
      </c>
      <c r="D47" s="19">
        <f t="shared" si="0"/>
        <v>16</v>
      </c>
      <c r="E47" s="19">
        <f t="shared" si="1"/>
        <v>0</v>
      </c>
      <c r="F47" s="19">
        <f t="shared" si="2"/>
        <v>1</v>
      </c>
      <c r="G47" s="19">
        <f t="shared" si="3"/>
        <v>1</v>
      </c>
      <c r="H47" s="20">
        <f t="shared" si="4"/>
        <v>6.25E-2</v>
      </c>
      <c r="I47" s="49">
        <f t="shared" si="5"/>
        <v>2</v>
      </c>
      <c r="J47" s="59">
        <f t="shared" si="6"/>
        <v>0.125</v>
      </c>
      <c r="K47" s="49">
        <f t="shared" si="7"/>
        <v>26</v>
      </c>
      <c r="L47" s="20">
        <f t="shared" si="8"/>
        <v>1.625</v>
      </c>
      <c r="M47" s="49">
        <f t="shared" si="9"/>
        <v>41</v>
      </c>
      <c r="S47" s="20"/>
      <c r="AC47" s="54">
        <v>4</v>
      </c>
      <c r="AD47" s="43">
        <v>2.8909722222222225</v>
      </c>
      <c r="AE47" s="40">
        <v>0</v>
      </c>
      <c r="AF47" s="40">
        <v>0</v>
      </c>
      <c r="AG47" s="40">
        <v>0</v>
      </c>
      <c r="AH47" s="40">
        <v>6</v>
      </c>
      <c r="AI47" s="40">
        <v>0</v>
      </c>
      <c r="AJ47" s="40">
        <v>0</v>
      </c>
      <c r="AK47" s="40">
        <v>0</v>
      </c>
      <c r="AL47" s="40">
        <v>0</v>
      </c>
      <c r="AM47" s="40">
        <v>0</v>
      </c>
      <c r="AN47" s="40">
        <v>0</v>
      </c>
      <c r="AO47" s="40">
        <v>0</v>
      </c>
      <c r="AP47" s="57">
        <v>0.72222222222222221</v>
      </c>
      <c r="AQ47" s="76">
        <v>12</v>
      </c>
      <c r="AR47" s="77">
        <v>9.0680555555555546</v>
      </c>
      <c r="AS47" s="78">
        <v>0</v>
      </c>
      <c r="AT47" s="78">
        <v>1</v>
      </c>
      <c r="AU47" s="78">
        <v>1</v>
      </c>
      <c r="AV47" s="78">
        <v>20</v>
      </c>
      <c r="AW47" s="78" t="s">
        <v>78</v>
      </c>
      <c r="AX47" s="78">
        <v>0</v>
      </c>
      <c r="AY47" s="78">
        <v>0</v>
      </c>
      <c r="AZ47" s="78">
        <v>0</v>
      </c>
      <c r="BA47" s="78">
        <v>0</v>
      </c>
      <c r="BB47" s="78">
        <v>2</v>
      </c>
      <c r="BC47" s="78">
        <v>41</v>
      </c>
      <c r="BD47" s="79">
        <v>0.75555555555555554</v>
      </c>
    </row>
    <row r="48" spans="1:56" x14ac:dyDescent="0.3">
      <c r="AQ48" s="81"/>
      <c r="AR48" s="82"/>
      <c r="AS48" s="82"/>
      <c r="AT48" s="82"/>
      <c r="AU48" s="82"/>
      <c r="AV48" s="82"/>
      <c r="AW48" s="82"/>
      <c r="AX48" s="82"/>
      <c r="AY48" s="82"/>
      <c r="AZ48" s="82"/>
      <c r="BA48" s="82"/>
      <c r="BB48" s="82"/>
      <c r="BC48" s="82"/>
      <c r="BD48" s="83"/>
    </row>
    <row r="49" spans="1:56" s="45" customFormat="1" x14ac:dyDescent="0.3">
      <c r="N49" s="44"/>
      <c r="AB49" s="46"/>
      <c r="AC49" s="58"/>
      <c r="AD49" s="47"/>
      <c r="AE49" s="47"/>
      <c r="AF49" s="47"/>
      <c r="AG49" s="47"/>
      <c r="AH49" s="47"/>
      <c r="AI49" s="47"/>
      <c r="AJ49" s="47"/>
      <c r="AK49" s="47"/>
      <c r="AL49" s="47"/>
      <c r="AM49" s="47"/>
      <c r="AN49" s="47"/>
      <c r="AO49" s="47"/>
      <c r="AP49" s="48"/>
      <c r="AQ49" s="81"/>
      <c r="AR49" s="82"/>
      <c r="AS49" s="82"/>
      <c r="AT49" s="82"/>
      <c r="AU49" s="82"/>
      <c r="AV49" s="82"/>
      <c r="AW49" s="82"/>
      <c r="AX49" s="82"/>
      <c r="AY49" s="82"/>
      <c r="AZ49" s="82"/>
      <c r="BA49" s="82"/>
      <c r="BB49" s="82"/>
      <c r="BC49" s="82"/>
      <c r="BD49" s="83"/>
    </row>
    <row r="50" spans="1:56" s="110" customFormat="1" x14ac:dyDescent="0.3">
      <c r="N50" s="111"/>
      <c r="AB50" s="112"/>
      <c r="AC50" s="111"/>
      <c r="AP50" s="112"/>
      <c r="AQ50" s="113"/>
      <c r="AR50" s="114"/>
      <c r="AS50" s="114"/>
      <c r="AT50" s="114"/>
      <c r="AU50" s="114"/>
      <c r="AV50" s="114"/>
      <c r="AW50" s="114"/>
      <c r="AX50" s="114"/>
      <c r="AY50" s="114"/>
      <c r="AZ50" s="114"/>
      <c r="BA50" s="114"/>
      <c r="BB50" s="114"/>
      <c r="BC50" s="114"/>
      <c r="BD50" s="115"/>
    </row>
    <row r="51" spans="1:56" x14ac:dyDescent="0.3">
      <c r="AQ51" s="81"/>
      <c r="AR51" s="82"/>
      <c r="AS51" s="82"/>
      <c r="AT51" s="82"/>
      <c r="AU51" s="82"/>
      <c r="AV51" s="82"/>
      <c r="AW51" s="82"/>
      <c r="AX51" s="82"/>
      <c r="AY51" s="82"/>
      <c r="AZ51" s="82"/>
      <c r="BA51" s="82"/>
      <c r="BB51" s="82"/>
      <c r="BC51" s="82"/>
      <c r="BD51" s="83"/>
    </row>
    <row r="52" spans="1:56" ht="24" thickBot="1" x14ac:dyDescent="0.35">
      <c r="B52" s="109" t="s">
        <v>226</v>
      </c>
      <c r="AQ52" s="81"/>
      <c r="AR52" s="82"/>
      <c r="AS52" s="82"/>
      <c r="AT52" s="82"/>
      <c r="AU52" s="82"/>
      <c r="AV52" s="82"/>
      <c r="AW52" s="82"/>
      <c r="AX52" s="82"/>
      <c r="AY52" s="82"/>
      <c r="AZ52" s="82"/>
      <c r="BA52" s="82"/>
      <c r="BB52" s="82"/>
      <c r="BC52" s="82"/>
      <c r="BD52" s="83"/>
    </row>
    <row r="53" spans="1:56" ht="28.2" thickBot="1" x14ac:dyDescent="0.35">
      <c r="A53" s="24" t="s">
        <v>89</v>
      </c>
      <c r="B53" s="19" t="s">
        <v>80</v>
      </c>
      <c r="C53" s="19" t="s">
        <v>88</v>
      </c>
      <c r="D53" s="19">
        <v>1</v>
      </c>
      <c r="E53" s="19">
        <v>0</v>
      </c>
      <c r="F53" s="19">
        <v>0</v>
      </c>
      <c r="G53" s="19">
        <v>0</v>
      </c>
      <c r="H53" s="20">
        <v>0</v>
      </c>
      <c r="I53" s="49">
        <v>0</v>
      </c>
      <c r="J53" s="59">
        <v>0</v>
      </c>
      <c r="K53" s="49">
        <v>3</v>
      </c>
      <c r="L53" s="20">
        <v>3</v>
      </c>
      <c r="M53" s="49">
        <v>2</v>
      </c>
      <c r="N53" s="50">
        <v>1</v>
      </c>
      <c r="O53" s="22">
        <v>0.98055555555555562</v>
      </c>
      <c r="P53" s="19">
        <v>0</v>
      </c>
      <c r="Q53" s="19">
        <v>0</v>
      </c>
      <c r="R53" s="19">
        <v>0</v>
      </c>
      <c r="S53" s="19">
        <v>0</v>
      </c>
      <c r="T53" s="19">
        <v>3</v>
      </c>
      <c r="U53" s="20">
        <v>0</v>
      </c>
      <c r="V53" s="19">
        <v>0</v>
      </c>
      <c r="W53" s="19">
        <v>0</v>
      </c>
      <c r="X53" s="19">
        <v>0</v>
      </c>
      <c r="Y53" s="19">
        <v>0</v>
      </c>
      <c r="Z53" s="19">
        <v>0</v>
      </c>
      <c r="AA53" s="19">
        <v>2</v>
      </c>
      <c r="AB53" s="51">
        <v>0.98055555555555562</v>
      </c>
      <c r="AQ53" s="84"/>
      <c r="AR53" s="87"/>
      <c r="AS53" s="87"/>
      <c r="AT53" s="87"/>
      <c r="AU53" s="87"/>
      <c r="AV53" s="87"/>
      <c r="AW53" s="87"/>
      <c r="AX53" s="87"/>
      <c r="AY53" s="87"/>
      <c r="AZ53" s="87"/>
      <c r="BA53" s="87"/>
      <c r="BB53" s="87"/>
      <c r="BC53" s="87"/>
      <c r="BD53" s="92"/>
    </row>
    <row r="54" spans="1:56" ht="28.2" thickBot="1" x14ac:dyDescent="0.35">
      <c r="A54" s="24" t="s">
        <v>153</v>
      </c>
      <c r="B54" s="19" t="s">
        <v>80</v>
      </c>
      <c r="C54" s="19" t="s">
        <v>88</v>
      </c>
      <c r="D54" s="19">
        <v>16</v>
      </c>
      <c r="E54" s="19">
        <v>0</v>
      </c>
      <c r="F54" s="19">
        <v>1</v>
      </c>
      <c r="G54" s="19">
        <v>1</v>
      </c>
      <c r="H54" s="20">
        <v>6.25E-2</v>
      </c>
      <c r="I54" s="49">
        <v>2</v>
      </c>
      <c r="J54" s="59">
        <v>0.125</v>
      </c>
      <c r="K54" s="49">
        <v>26</v>
      </c>
      <c r="L54" s="20">
        <v>1.625</v>
      </c>
      <c r="M54" s="49">
        <v>41</v>
      </c>
      <c r="S54" s="19"/>
      <c r="AC54" s="54">
        <v>4</v>
      </c>
      <c r="AD54" s="43">
        <v>2.8909722222222225</v>
      </c>
      <c r="AE54" s="40">
        <v>0</v>
      </c>
      <c r="AF54" s="40">
        <v>0</v>
      </c>
      <c r="AG54" s="40">
        <v>0</v>
      </c>
      <c r="AH54" s="40">
        <v>6</v>
      </c>
      <c r="AI54" s="40">
        <v>0</v>
      </c>
      <c r="AJ54" s="40">
        <v>0</v>
      </c>
      <c r="AK54" s="40">
        <v>0</v>
      </c>
      <c r="AL54" s="40">
        <v>0</v>
      </c>
      <c r="AM54" s="40">
        <v>0</v>
      </c>
      <c r="AN54" s="40">
        <v>0</v>
      </c>
      <c r="AO54" s="40">
        <v>0</v>
      </c>
      <c r="AP54" s="57">
        <v>0.72222222222222221</v>
      </c>
      <c r="AQ54" s="76">
        <v>12</v>
      </c>
      <c r="AR54" s="77">
        <v>9.0680555555555546</v>
      </c>
      <c r="AS54" s="78">
        <v>0</v>
      </c>
      <c r="AT54" s="78">
        <v>1</v>
      </c>
      <c r="AU54" s="78">
        <v>1</v>
      </c>
      <c r="AV54" s="78">
        <v>20</v>
      </c>
      <c r="AW54" s="78" t="s">
        <v>78</v>
      </c>
      <c r="AX54" s="78">
        <v>0</v>
      </c>
      <c r="AY54" s="78">
        <v>0</v>
      </c>
      <c r="AZ54" s="78">
        <v>0</v>
      </c>
      <c r="BA54" s="78">
        <v>0</v>
      </c>
      <c r="BB54" s="78">
        <v>2</v>
      </c>
      <c r="BC54" s="78">
        <v>41</v>
      </c>
      <c r="BD54" s="79">
        <v>0.75555555555555554</v>
      </c>
    </row>
    <row r="55" spans="1:56" ht="28.2" thickBot="1" x14ac:dyDescent="0.35">
      <c r="A55" s="24" t="s">
        <v>93</v>
      </c>
      <c r="B55" s="19" t="s">
        <v>80</v>
      </c>
      <c r="C55" s="19" t="s">
        <v>88</v>
      </c>
      <c r="D55" s="19">
        <v>17</v>
      </c>
      <c r="E55" s="19">
        <v>0</v>
      </c>
      <c r="F55" s="19">
        <v>2</v>
      </c>
      <c r="G55" s="19">
        <v>2</v>
      </c>
      <c r="H55" s="20">
        <v>0.11764705882352941</v>
      </c>
      <c r="I55" s="49">
        <v>-5</v>
      </c>
      <c r="J55" s="59">
        <v>-0.29411764705882354</v>
      </c>
      <c r="K55" s="49">
        <v>8</v>
      </c>
      <c r="L55" s="20">
        <v>0.47058823529411764</v>
      </c>
      <c r="M55" s="49">
        <v>42</v>
      </c>
      <c r="N55" s="50">
        <v>9</v>
      </c>
      <c r="O55" s="21">
        <v>5.509722222222222</v>
      </c>
      <c r="P55" s="19">
        <v>0</v>
      </c>
      <c r="Q55" s="19">
        <v>1</v>
      </c>
      <c r="R55" s="19">
        <v>1</v>
      </c>
      <c r="S55" s="20">
        <v>0.1111111111111111</v>
      </c>
      <c r="T55" s="19">
        <v>3</v>
      </c>
      <c r="U55" s="20">
        <v>0</v>
      </c>
      <c r="V55" s="19">
        <v>0</v>
      </c>
      <c r="W55" s="19">
        <v>0</v>
      </c>
      <c r="X55" s="19">
        <v>0</v>
      </c>
      <c r="Y55" s="19">
        <v>0</v>
      </c>
      <c r="Z55" s="19">
        <v>-3</v>
      </c>
      <c r="AA55" s="19">
        <v>20</v>
      </c>
      <c r="AB55" s="51">
        <v>0.6118055555555556</v>
      </c>
      <c r="AC55" s="56">
        <v>6</v>
      </c>
      <c r="AD55" s="11">
        <v>4.2444444444444445</v>
      </c>
      <c r="AE55" s="10">
        <v>0</v>
      </c>
      <c r="AF55" s="10">
        <v>1</v>
      </c>
      <c r="AG55" s="10">
        <v>1</v>
      </c>
      <c r="AH55" s="10">
        <v>4</v>
      </c>
      <c r="AI55" s="10" t="s">
        <v>78</v>
      </c>
      <c r="AJ55" s="10">
        <v>0</v>
      </c>
      <c r="AK55" s="10">
        <v>0</v>
      </c>
      <c r="AL55" s="10">
        <v>0</v>
      </c>
      <c r="AM55" s="10">
        <v>0</v>
      </c>
      <c r="AN55" s="10">
        <v>-1</v>
      </c>
      <c r="AO55" s="10">
        <v>22</v>
      </c>
      <c r="AP55" s="13">
        <v>0.70694444444444438</v>
      </c>
      <c r="AQ55" s="76">
        <v>2</v>
      </c>
      <c r="AR55" s="77">
        <v>1.1604166666666667</v>
      </c>
      <c r="AS55" s="78">
        <v>0</v>
      </c>
      <c r="AT55" s="78">
        <v>0</v>
      </c>
      <c r="AU55" s="78">
        <v>0</v>
      </c>
      <c r="AV55" s="78">
        <v>1</v>
      </c>
      <c r="AW55" s="78" t="s">
        <v>78</v>
      </c>
      <c r="AX55" s="78">
        <v>0</v>
      </c>
      <c r="AY55" s="78">
        <v>0</v>
      </c>
      <c r="AZ55" s="78">
        <v>0</v>
      </c>
      <c r="BA55" s="78">
        <v>0</v>
      </c>
      <c r="BB55" s="78">
        <v>-1</v>
      </c>
      <c r="BC55" s="78">
        <v>0</v>
      </c>
      <c r="BD55" s="79">
        <v>0.57986111111111105</v>
      </c>
    </row>
    <row r="56" spans="1:56" ht="28.2" thickBot="1" x14ac:dyDescent="0.35">
      <c r="A56" s="24" t="s">
        <v>92</v>
      </c>
      <c r="B56" s="19" t="s">
        <v>80</v>
      </c>
      <c r="C56" s="19" t="s">
        <v>88</v>
      </c>
      <c r="D56" s="19">
        <v>22</v>
      </c>
      <c r="E56" s="19">
        <v>0</v>
      </c>
      <c r="F56" s="19">
        <v>4</v>
      </c>
      <c r="G56" s="19">
        <v>4</v>
      </c>
      <c r="H56" s="20">
        <v>0.18181818181818182</v>
      </c>
      <c r="I56" s="49">
        <v>-7</v>
      </c>
      <c r="J56" s="59">
        <v>-0.31818181818181818</v>
      </c>
      <c r="K56" s="49">
        <v>31</v>
      </c>
      <c r="L56" s="20">
        <v>1.4090909090909092</v>
      </c>
      <c r="M56" s="49">
        <v>2</v>
      </c>
      <c r="N56" s="50">
        <v>10</v>
      </c>
      <c r="O56" s="21">
        <v>8.9340277777777768</v>
      </c>
      <c r="P56" s="19">
        <v>0</v>
      </c>
      <c r="Q56" s="19">
        <v>1</v>
      </c>
      <c r="R56" s="19">
        <v>1</v>
      </c>
      <c r="S56" s="20">
        <v>0.1</v>
      </c>
      <c r="T56" s="19">
        <v>11</v>
      </c>
      <c r="U56" s="20">
        <v>0</v>
      </c>
      <c r="V56" s="19">
        <v>0</v>
      </c>
      <c r="W56" s="19">
        <v>0</v>
      </c>
      <c r="X56" s="19">
        <v>0</v>
      </c>
      <c r="Y56" s="19">
        <v>0</v>
      </c>
      <c r="Z56" s="19">
        <v>-1</v>
      </c>
      <c r="AA56" s="19">
        <v>2</v>
      </c>
      <c r="AB56" s="51">
        <v>0.8930555555555556</v>
      </c>
      <c r="AC56" s="56">
        <v>5</v>
      </c>
      <c r="AD56" s="11">
        <v>4.0597222222222227</v>
      </c>
      <c r="AE56" s="10">
        <v>0</v>
      </c>
      <c r="AF56" s="10">
        <v>1</v>
      </c>
      <c r="AG56" s="10">
        <v>1</v>
      </c>
      <c r="AH56" s="10">
        <v>7</v>
      </c>
      <c r="AI56" s="10" t="s">
        <v>78</v>
      </c>
      <c r="AJ56" s="10">
        <v>0</v>
      </c>
      <c r="AK56" s="10">
        <v>1</v>
      </c>
      <c r="AL56" s="10">
        <v>0</v>
      </c>
      <c r="AM56" s="10">
        <v>0</v>
      </c>
      <c r="AN56" s="10">
        <v>-2</v>
      </c>
      <c r="AO56" s="10">
        <v>0</v>
      </c>
      <c r="AP56" s="13">
        <v>0.81180555555555556</v>
      </c>
      <c r="AQ56" s="76">
        <v>7</v>
      </c>
      <c r="AR56" s="77">
        <v>5.4638888888888886</v>
      </c>
      <c r="AS56" s="78">
        <v>0</v>
      </c>
      <c r="AT56" s="78">
        <v>2</v>
      </c>
      <c r="AU56" s="78">
        <v>2</v>
      </c>
      <c r="AV56" s="78">
        <v>13</v>
      </c>
      <c r="AW56" s="78" t="s">
        <v>78</v>
      </c>
      <c r="AX56" s="78">
        <v>0</v>
      </c>
      <c r="AY56" s="78">
        <v>0</v>
      </c>
      <c r="AZ56" s="78">
        <v>0</v>
      </c>
      <c r="BA56" s="78">
        <v>0</v>
      </c>
      <c r="BB56" s="78">
        <v>-4</v>
      </c>
      <c r="BC56" s="78">
        <v>0</v>
      </c>
      <c r="BD56" s="79">
        <v>0.78055555555555556</v>
      </c>
    </row>
    <row r="57" spans="1:56" ht="27.6" x14ac:dyDescent="0.3">
      <c r="A57" s="24" t="s">
        <v>90</v>
      </c>
      <c r="B57" s="19" t="s">
        <v>80</v>
      </c>
      <c r="C57" s="19" t="s">
        <v>88</v>
      </c>
      <c r="D57" s="19">
        <v>24</v>
      </c>
      <c r="E57" s="19">
        <v>0</v>
      </c>
      <c r="F57" s="19">
        <v>1</v>
      </c>
      <c r="G57" s="19">
        <v>1</v>
      </c>
      <c r="H57" s="20">
        <v>4.1666666666666664E-2</v>
      </c>
      <c r="I57" s="49">
        <v>-4</v>
      </c>
      <c r="J57" s="59">
        <v>-0.16666666666666666</v>
      </c>
      <c r="K57" s="49">
        <v>34</v>
      </c>
      <c r="L57" s="20">
        <v>1.4166666666666667</v>
      </c>
      <c r="M57" s="49">
        <v>4</v>
      </c>
      <c r="N57" s="50">
        <v>24</v>
      </c>
      <c r="O57" s="21">
        <v>15.58611111111111</v>
      </c>
      <c r="P57" s="19">
        <v>0</v>
      </c>
      <c r="Q57" s="19">
        <v>1</v>
      </c>
      <c r="R57" s="19">
        <v>1</v>
      </c>
      <c r="S57" s="20">
        <v>4.1666666666666664E-2</v>
      </c>
      <c r="T57" s="19">
        <v>34</v>
      </c>
      <c r="U57" s="20">
        <v>0</v>
      </c>
      <c r="V57" s="19">
        <v>0</v>
      </c>
      <c r="W57" s="19">
        <v>0</v>
      </c>
      <c r="X57" s="19">
        <v>0</v>
      </c>
      <c r="Y57" s="19">
        <v>0</v>
      </c>
      <c r="Z57" s="19">
        <v>-4</v>
      </c>
      <c r="AA57" s="19">
        <v>4</v>
      </c>
      <c r="AB57" s="51">
        <v>0.64930555555555558</v>
      </c>
      <c r="AQ57" s="84"/>
      <c r="AR57" s="87"/>
      <c r="AS57" s="87"/>
      <c r="AT57" s="87"/>
      <c r="AU57" s="87"/>
      <c r="AV57" s="87"/>
      <c r="AW57" s="87"/>
      <c r="AX57" s="87"/>
      <c r="AY57" s="87"/>
      <c r="AZ57" s="87"/>
      <c r="BA57" s="87"/>
      <c r="BB57" s="87"/>
      <c r="BC57" s="87"/>
      <c r="BD57" s="92"/>
    </row>
    <row r="58" spans="1:56" ht="27.6" x14ac:dyDescent="0.3">
      <c r="A58" s="24" t="s">
        <v>109</v>
      </c>
      <c r="B58" s="19" t="s">
        <v>80</v>
      </c>
      <c r="C58" s="19" t="s">
        <v>88</v>
      </c>
      <c r="D58" s="19">
        <v>35</v>
      </c>
      <c r="E58" s="19">
        <v>2</v>
      </c>
      <c r="F58" s="19">
        <v>4</v>
      </c>
      <c r="G58" s="19">
        <v>6</v>
      </c>
      <c r="H58" s="20">
        <v>0.17142857142857143</v>
      </c>
      <c r="I58" s="49">
        <v>-4</v>
      </c>
      <c r="J58" s="59">
        <v>-0.11428571428571428</v>
      </c>
      <c r="K58" s="49">
        <v>47</v>
      </c>
      <c r="L58" s="20">
        <v>1.3428571428571427</v>
      </c>
      <c r="M58" s="49">
        <v>49</v>
      </c>
      <c r="N58" s="50">
        <v>35</v>
      </c>
      <c r="O58" s="21">
        <v>25.661805555555556</v>
      </c>
      <c r="P58" s="19">
        <v>2</v>
      </c>
      <c r="Q58" s="19">
        <v>4</v>
      </c>
      <c r="R58" s="19">
        <v>6</v>
      </c>
      <c r="S58" s="20">
        <v>0.17142857142857143</v>
      </c>
      <c r="T58" s="19">
        <v>47</v>
      </c>
      <c r="U58" s="20">
        <v>4.2553191489361701</v>
      </c>
      <c r="V58" s="19">
        <v>1</v>
      </c>
      <c r="W58" s="19">
        <v>1</v>
      </c>
      <c r="X58" s="19">
        <v>0</v>
      </c>
      <c r="Y58" s="19">
        <v>0</v>
      </c>
      <c r="Z58" s="19">
        <v>-4</v>
      </c>
      <c r="AA58" s="19">
        <v>49</v>
      </c>
      <c r="AB58" s="51">
        <v>0.73263888888888884</v>
      </c>
    </row>
    <row r="59" spans="1:56" ht="28.2" thickBot="1" x14ac:dyDescent="0.35">
      <c r="A59" s="24" t="s">
        <v>98</v>
      </c>
      <c r="B59" s="19" t="s">
        <v>80</v>
      </c>
      <c r="C59" s="19" t="s">
        <v>88</v>
      </c>
      <c r="D59" s="19">
        <v>47</v>
      </c>
      <c r="E59" s="19">
        <v>0</v>
      </c>
      <c r="F59" s="19">
        <v>2</v>
      </c>
      <c r="G59" s="19">
        <v>2</v>
      </c>
      <c r="H59" s="20">
        <v>4.2553191489361701E-2</v>
      </c>
      <c r="I59" s="49">
        <v>1</v>
      </c>
      <c r="J59" s="59">
        <v>2.1276595744680851E-2</v>
      </c>
      <c r="K59" s="49">
        <v>28</v>
      </c>
      <c r="L59" s="20">
        <v>0.5957446808510638</v>
      </c>
      <c r="M59" s="49">
        <v>28</v>
      </c>
      <c r="N59" s="50">
        <v>32</v>
      </c>
      <c r="O59" s="21">
        <v>15.043750000000001</v>
      </c>
      <c r="P59" s="19">
        <v>0</v>
      </c>
      <c r="Q59" s="19">
        <v>2</v>
      </c>
      <c r="R59" s="19">
        <v>2</v>
      </c>
      <c r="S59" s="20">
        <v>6.25E-2</v>
      </c>
      <c r="T59" s="19">
        <v>21</v>
      </c>
      <c r="U59" s="20">
        <v>0</v>
      </c>
      <c r="V59" s="19">
        <v>0</v>
      </c>
      <c r="W59" s="19">
        <v>0</v>
      </c>
      <c r="X59" s="19">
        <v>0</v>
      </c>
      <c r="Y59" s="19">
        <v>0</v>
      </c>
      <c r="Z59" s="19">
        <v>1</v>
      </c>
      <c r="AA59" s="19">
        <v>18</v>
      </c>
      <c r="AB59" s="51">
        <v>0.4694444444444445</v>
      </c>
      <c r="AC59" s="56">
        <v>4</v>
      </c>
      <c r="AD59" s="11">
        <v>2.4659722222222222</v>
      </c>
      <c r="AE59" s="10">
        <v>0</v>
      </c>
      <c r="AF59" s="10">
        <v>0</v>
      </c>
      <c r="AG59" s="10">
        <v>0</v>
      </c>
      <c r="AH59" s="10">
        <v>1</v>
      </c>
      <c r="AI59" s="10" t="s">
        <v>78</v>
      </c>
      <c r="AJ59" s="10">
        <v>0</v>
      </c>
      <c r="AK59" s="10">
        <v>0</v>
      </c>
      <c r="AL59" s="10">
        <v>0</v>
      </c>
      <c r="AM59" s="10">
        <v>0</v>
      </c>
      <c r="AN59" s="10">
        <v>0</v>
      </c>
      <c r="AO59" s="10">
        <v>2</v>
      </c>
      <c r="AP59" s="13">
        <v>0.61597222222222225</v>
      </c>
      <c r="AQ59" s="85">
        <v>11</v>
      </c>
      <c r="AR59" s="88">
        <v>8.1479166666666671</v>
      </c>
      <c r="AS59" s="90">
        <v>0</v>
      </c>
      <c r="AT59" s="90">
        <v>0</v>
      </c>
      <c r="AU59" s="90">
        <v>0</v>
      </c>
      <c r="AV59" s="90">
        <v>6</v>
      </c>
      <c r="AW59" s="90" t="s">
        <v>78</v>
      </c>
      <c r="AX59" s="90">
        <v>0</v>
      </c>
      <c r="AY59" s="90">
        <v>0</v>
      </c>
      <c r="AZ59" s="90">
        <v>0</v>
      </c>
      <c r="BA59" s="90">
        <v>0</v>
      </c>
      <c r="BB59" s="90">
        <v>0</v>
      </c>
      <c r="BC59" s="90">
        <v>8</v>
      </c>
      <c r="BD59" s="93">
        <v>0.7402777777777777</v>
      </c>
    </row>
    <row r="60" spans="1:56" ht="28.2" thickBot="1" x14ac:dyDescent="0.35">
      <c r="A60" s="24" t="s">
        <v>116</v>
      </c>
      <c r="B60" s="19" t="s">
        <v>80</v>
      </c>
      <c r="C60" s="19" t="s">
        <v>88</v>
      </c>
      <c r="D60" s="19">
        <v>62</v>
      </c>
      <c r="E60" s="19">
        <v>1</v>
      </c>
      <c r="F60" s="19">
        <v>10</v>
      </c>
      <c r="G60" s="19">
        <v>11</v>
      </c>
      <c r="H60" s="20">
        <v>0.17741935483870969</v>
      </c>
      <c r="I60" s="49">
        <v>-14</v>
      </c>
      <c r="J60" s="59">
        <v>-0.22580645161290322</v>
      </c>
      <c r="K60" s="49">
        <v>120</v>
      </c>
      <c r="L60" s="20">
        <v>1.935483870967742</v>
      </c>
      <c r="M60" s="49">
        <v>64</v>
      </c>
      <c r="N60" s="50">
        <v>50</v>
      </c>
      <c r="O60" s="21">
        <v>37.786111111111111</v>
      </c>
      <c r="P60" s="19">
        <v>1</v>
      </c>
      <c r="Q60" s="19">
        <v>7</v>
      </c>
      <c r="R60" s="19">
        <v>8</v>
      </c>
      <c r="S60" s="20">
        <v>0.16</v>
      </c>
      <c r="T60" s="19">
        <v>96</v>
      </c>
      <c r="U60" s="20">
        <v>1.0416666666666665</v>
      </c>
      <c r="V60" s="19">
        <v>0</v>
      </c>
      <c r="W60" s="19">
        <v>2</v>
      </c>
      <c r="X60" s="19">
        <v>0</v>
      </c>
      <c r="Y60" s="19">
        <v>1</v>
      </c>
      <c r="Z60" s="19">
        <v>-19</v>
      </c>
      <c r="AA60" s="19">
        <v>52</v>
      </c>
      <c r="AB60" s="51">
        <v>0.75555555555555554</v>
      </c>
      <c r="AC60" s="56">
        <v>4</v>
      </c>
      <c r="AD60" s="11">
        <v>2.9069444444444446</v>
      </c>
      <c r="AE60" s="10">
        <v>0</v>
      </c>
      <c r="AF60" s="10">
        <v>1</v>
      </c>
      <c r="AG60" s="10">
        <v>1</v>
      </c>
      <c r="AH60" s="10">
        <v>5</v>
      </c>
      <c r="AI60" s="10" t="s">
        <v>78</v>
      </c>
      <c r="AJ60" s="10">
        <v>0</v>
      </c>
      <c r="AK60" s="10">
        <v>0</v>
      </c>
      <c r="AL60" s="10">
        <v>0</v>
      </c>
      <c r="AM60" s="10">
        <v>0</v>
      </c>
      <c r="AN60" s="10">
        <v>2</v>
      </c>
      <c r="AO60" s="10">
        <v>2</v>
      </c>
      <c r="AP60" s="13">
        <v>0.72638888888888886</v>
      </c>
      <c r="AQ60" s="76">
        <v>8</v>
      </c>
      <c r="AR60" s="77">
        <v>6.4013888888888886</v>
      </c>
      <c r="AS60" s="78">
        <v>0</v>
      </c>
      <c r="AT60" s="78">
        <v>2</v>
      </c>
      <c r="AU60" s="78">
        <v>2</v>
      </c>
      <c r="AV60" s="78">
        <v>19</v>
      </c>
      <c r="AW60" s="78" t="s">
        <v>78</v>
      </c>
      <c r="AX60" s="78">
        <v>0</v>
      </c>
      <c r="AY60" s="78">
        <v>2</v>
      </c>
      <c r="AZ60" s="78">
        <v>0</v>
      </c>
      <c r="BA60" s="78">
        <v>0</v>
      </c>
      <c r="BB60" s="78">
        <v>3</v>
      </c>
      <c r="BC60" s="78">
        <v>10</v>
      </c>
      <c r="BD60" s="79">
        <v>0.79999999999999993</v>
      </c>
    </row>
    <row r="61" spans="1:56" ht="27.6" x14ac:dyDescent="0.3">
      <c r="A61" s="24" t="s">
        <v>85</v>
      </c>
      <c r="B61" s="19" t="s">
        <v>80</v>
      </c>
      <c r="C61" s="19" t="s">
        <v>79</v>
      </c>
      <c r="D61" s="19">
        <f>N61+AC61+AQ61</f>
        <v>7</v>
      </c>
      <c r="E61" s="19">
        <f t="shared" ref="E61:G62" si="10">P61+AE61+AS61</f>
        <v>1</v>
      </c>
      <c r="F61" s="19">
        <f t="shared" si="10"/>
        <v>0</v>
      </c>
      <c r="G61" s="19">
        <f t="shared" si="10"/>
        <v>1</v>
      </c>
      <c r="H61" s="20">
        <f>G61/D61</f>
        <v>0.14285714285714285</v>
      </c>
      <c r="I61" s="49">
        <f>Z61+AN61+BB61</f>
        <v>-5</v>
      </c>
      <c r="J61" s="59">
        <f>I61/D61</f>
        <v>-0.7142857142857143</v>
      </c>
      <c r="K61" s="49">
        <f>T61+AH61+AV61</f>
        <v>7</v>
      </c>
      <c r="L61" s="20">
        <f>K61/D61</f>
        <v>1</v>
      </c>
      <c r="M61" s="49">
        <f>AA61+AO61+BC61</f>
        <v>0</v>
      </c>
      <c r="N61" s="50">
        <v>6</v>
      </c>
      <c r="O61" s="21">
        <v>2.6659722222222224</v>
      </c>
      <c r="P61" s="19">
        <v>0</v>
      </c>
      <c r="Q61" s="19">
        <v>0</v>
      </c>
      <c r="R61" s="19">
        <v>0</v>
      </c>
      <c r="S61" s="20">
        <v>0</v>
      </c>
      <c r="T61" s="19">
        <v>4</v>
      </c>
      <c r="U61" s="20">
        <v>0</v>
      </c>
      <c r="V61" s="19">
        <v>0</v>
      </c>
      <c r="W61" s="19">
        <v>0</v>
      </c>
      <c r="X61" s="19">
        <v>0</v>
      </c>
      <c r="Y61" s="19">
        <v>0</v>
      </c>
      <c r="Z61" s="19">
        <v>-4</v>
      </c>
      <c r="AA61" s="19">
        <v>0</v>
      </c>
      <c r="AB61" s="51">
        <v>0.44375000000000003</v>
      </c>
      <c r="AC61" s="54">
        <v>1</v>
      </c>
      <c r="AD61" s="42">
        <v>0.66111111111111109</v>
      </c>
      <c r="AE61" s="40">
        <v>1</v>
      </c>
      <c r="AF61" s="40">
        <v>0</v>
      </c>
      <c r="AG61" s="40">
        <v>1</v>
      </c>
      <c r="AH61" s="40">
        <v>3</v>
      </c>
      <c r="AI61" s="40">
        <v>33.33</v>
      </c>
      <c r="AJ61" s="40">
        <v>1</v>
      </c>
      <c r="AK61" s="40">
        <v>1</v>
      </c>
      <c r="AL61" s="40">
        <v>0</v>
      </c>
      <c r="AM61" s="40">
        <v>0</v>
      </c>
      <c r="AN61" s="40">
        <v>-1</v>
      </c>
      <c r="AO61" s="40">
        <v>0</v>
      </c>
      <c r="AP61" s="57">
        <v>0.66111111111111109</v>
      </c>
      <c r="AQ61" s="84"/>
      <c r="AR61" s="87"/>
      <c r="AS61" s="87"/>
      <c r="AT61" s="87"/>
      <c r="AU61" s="87"/>
      <c r="AV61" s="87"/>
      <c r="AW61" s="87"/>
      <c r="AX61" s="87"/>
      <c r="AY61" s="87"/>
      <c r="AZ61" s="87"/>
      <c r="BA61" s="87"/>
      <c r="BB61" s="87"/>
      <c r="BC61" s="87"/>
      <c r="BD61" s="92"/>
    </row>
    <row r="62" spans="1:56" ht="28.2" thickBot="1" x14ac:dyDescent="0.35">
      <c r="A62" s="24" t="s">
        <v>102</v>
      </c>
      <c r="B62" s="19" t="s">
        <v>80</v>
      </c>
      <c r="C62" s="19" t="s">
        <v>79</v>
      </c>
      <c r="D62" s="19">
        <f>N62+AC62+AQ62</f>
        <v>8</v>
      </c>
      <c r="E62" s="19">
        <f t="shared" si="10"/>
        <v>1</v>
      </c>
      <c r="F62" s="19">
        <f t="shared" si="10"/>
        <v>1</v>
      </c>
      <c r="G62" s="19">
        <f t="shared" si="10"/>
        <v>2</v>
      </c>
      <c r="H62" s="20">
        <f>G62/D62</f>
        <v>0.25</v>
      </c>
      <c r="I62" s="49">
        <f>Z62+AN62+BB62</f>
        <v>-7</v>
      </c>
      <c r="J62" s="59">
        <f>I62/D62</f>
        <v>-0.875</v>
      </c>
      <c r="K62" s="49">
        <f>T62+AH62+AV62</f>
        <v>4</v>
      </c>
      <c r="L62" s="20">
        <f>K62/D62</f>
        <v>0.5</v>
      </c>
      <c r="M62" s="49">
        <f>AA62+AO62+BC62</f>
        <v>6</v>
      </c>
      <c r="N62" s="50">
        <v>8</v>
      </c>
      <c r="O62" s="21">
        <v>3.8979166666666667</v>
      </c>
      <c r="P62" s="19">
        <v>1</v>
      </c>
      <c r="Q62" s="19">
        <v>1</v>
      </c>
      <c r="R62" s="19">
        <v>2</v>
      </c>
      <c r="S62" s="20">
        <v>0.25</v>
      </c>
      <c r="T62" s="19">
        <v>4</v>
      </c>
      <c r="U62" s="20">
        <v>25</v>
      </c>
      <c r="V62" s="19">
        <v>0</v>
      </c>
      <c r="W62" s="19">
        <v>1</v>
      </c>
      <c r="X62" s="19">
        <v>0</v>
      </c>
      <c r="Y62" s="19">
        <v>0</v>
      </c>
      <c r="Z62" s="19">
        <v>-7</v>
      </c>
      <c r="AA62" s="19">
        <v>6</v>
      </c>
      <c r="AB62" s="51">
        <v>0.48680555555555555</v>
      </c>
      <c r="AQ62" s="81"/>
      <c r="AR62" s="82"/>
      <c r="AS62" s="82"/>
      <c r="AT62" s="82"/>
      <c r="AU62" s="82"/>
      <c r="AV62" s="82"/>
      <c r="AW62" s="82"/>
      <c r="AX62" s="82"/>
      <c r="AY62" s="82"/>
      <c r="AZ62" s="82"/>
      <c r="BA62" s="82"/>
      <c r="BB62" s="82"/>
      <c r="BC62" s="82"/>
      <c r="BD62" s="83"/>
    </row>
    <row r="63" spans="1:56" ht="28.2" thickBot="1" x14ac:dyDescent="0.35">
      <c r="A63" s="24" t="s">
        <v>87</v>
      </c>
      <c r="B63" s="19" t="s">
        <v>80</v>
      </c>
      <c r="C63" s="19" t="s">
        <v>79</v>
      </c>
      <c r="D63" s="19">
        <v>3</v>
      </c>
      <c r="E63" s="19">
        <v>0</v>
      </c>
      <c r="F63" s="19">
        <v>0</v>
      </c>
      <c r="G63" s="19">
        <v>0</v>
      </c>
      <c r="H63" s="20">
        <v>0</v>
      </c>
      <c r="I63" s="49">
        <v>-2</v>
      </c>
      <c r="J63" s="59">
        <v>-0.66666666666666663</v>
      </c>
      <c r="K63" s="49">
        <v>2</v>
      </c>
      <c r="L63" s="20">
        <v>0.66666666666666663</v>
      </c>
      <c r="M63" s="49">
        <v>0</v>
      </c>
      <c r="N63" s="50">
        <v>2</v>
      </c>
      <c r="O63" s="22">
        <v>0.82500000000000007</v>
      </c>
      <c r="P63" s="19">
        <v>0</v>
      </c>
      <c r="Q63" s="19">
        <v>0</v>
      </c>
      <c r="R63" s="19">
        <v>0</v>
      </c>
      <c r="S63" s="20">
        <v>0</v>
      </c>
      <c r="T63" s="19">
        <v>1</v>
      </c>
      <c r="U63" s="20">
        <v>0</v>
      </c>
      <c r="V63" s="19">
        <v>0</v>
      </c>
      <c r="W63" s="19">
        <v>0</v>
      </c>
      <c r="X63" s="19">
        <v>0</v>
      </c>
      <c r="Y63" s="19">
        <v>0</v>
      </c>
      <c r="Z63" s="19">
        <v>-1</v>
      </c>
      <c r="AA63" s="19">
        <v>0</v>
      </c>
      <c r="AB63" s="51">
        <v>0.41250000000000003</v>
      </c>
      <c r="AC63" s="54">
        <v>1</v>
      </c>
      <c r="AD63" s="42">
        <v>0.58333333333333337</v>
      </c>
      <c r="AE63" s="40">
        <v>0</v>
      </c>
      <c r="AF63" s="40">
        <v>0</v>
      </c>
      <c r="AG63" s="40">
        <v>0</v>
      </c>
      <c r="AH63" s="40">
        <v>1</v>
      </c>
      <c r="AI63" s="40">
        <v>0</v>
      </c>
      <c r="AJ63" s="40">
        <v>0</v>
      </c>
      <c r="AK63" s="40">
        <v>0</v>
      </c>
      <c r="AL63" s="40">
        <v>0</v>
      </c>
      <c r="AM63" s="40">
        <v>0</v>
      </c>
      <c r="AN63" s="40">
        <v>-1</v>
      </c>
      <c r="AO63" s="40">
        <v>0</v>
      </c>
      <c r="AP63" s="57">
        <v>0.58333333333333337</v>
      </c>
      <c r="AQ63" s="84"/>
      <c r="AR63" s="87"/>
      <c r="AS63" s="87"/>
      <c r="AT63" s="87"/>
      <c r="AU63" s="87"/>
      <c r="AV63" s="87"/>
      <c r="AW63" s="87"/>
      <c r="AX63" s="87"/>
      <c r="AY63" s="87"/>
      <c r="AZ63" s="87"/>
      <c r="BA63" s="87"/>
      <c r="BB63" s="87"/>
      <c r="BC63" s="87"/>
      <c r="BD63" s="92"/>
    </row>
    <row r="64" spans="1:56" ht="28.2" thickBot="1" x14ac:dyDescent="0.35">
      <c r="A64" s="24" t="s">
        <v>91</v>
      </c>
      <c r="B64" s="19" t="s">
        <v>80</v>
      </c>
      <c r="C64" s="19" t="s">
        <v>79</v>
      </c>
      <c r="D64" s="19">
        <v>12</v>
      </c>
      <c r="E64" s="19">
        <v>0</v>
      </c>
      <c r="F64" s="19">
        <v>1</v>
      </c>
      <c r="G64" s="19">
        <v>1</v>
      </c>
      <c r="H64" s="20">
        <v>8.3333333333333329E-2</v>
      </c>
      <c r="I64" s="49">
        <v>-4</v>
      </c>
      <c r="J64" s="59">
        <v>-0.33333333333333331</v>
      </c>
      <c r="K64" s="49">
        <v>5</v>
      </c>
      <c r="L64" s="20">
        <v>0.41666666666666669</v>
      </c>
      <c r="M64" s="49">
        <v>0</v>
      </c>
      <c r="N64" s="50">
        <v>10</v>
      </c>
      <c r="O64" s="21">
        <v>2.9791666666666665</v>
      </c>
      <c r="P64" s="19">
        <v>0</v>
      </c>
      <c r="Q64" s="19">
        <v>1</v>
      </c>
      <c r="R64" s="19">
        <v>1</v>
      </c>
      <c r="S64" s="20">
        <v>0.1</v>
      </c>
      <c r="T64" s="19">
        <v>4</v>
      </c>
      <c r="U64" s="20">
        <v>0</v>
      </c>
      <c r="V64" s="19">
        <v>0</v>
      </c>
      <c r="W64" s="19">
        <v>0</v>
      </c>
      <c r="X64" s="19">
        <v>0</v>
      </c>
      <c r="Y64" s="19">
        <v>0</v>
      </c>
      <c r="Z64" s="19">
        <v>-3</v>
      </c>
      <c r="AA64" s="19">
        <v>0</v>
      </c>
      <c r="AB64" s="51">
        <v>0.29791666666666666</v>
      </c>
      <c r="AC64" s="56">
        <v>2</v>
      </c>
      <c r="AD64" s="11">
        <v>1.0902777777777779</v>
      </c>
      <c r="AE64" s="10">
        <v>0</v>
      </c>
      <c r="AF64" s="10">
        <v>0</v>
      </c>
      <c r="AG64" s="10">
        <v>0</v>
      </c>
      <c r="AH64" s="10">
        <v>1</v>
      </c>
      <c r="AI64" s="10" t="s">
        <v>78</v>
      </c>
      <c r="AJ64" s="10">
        <v>0</v>
      </c>
      <c r="AK64" s="10">
        <v>0</v>
      </c>
      <c r="AL64" s="10">
        <v>0</v>
      </c>
      <c r="AM64" s="10">
        <v>0</v>
      </c>
      <c r="AN64" s="10">
        <v>-1</v>
      </c>
      <c r="AO64" s="10">
        <v>0</v>
      </c>
      <c r="AP64" s="13">
        <v>0.54513888888888895</v>
      </c>
      <c r="AQ64" s="84"/>
      <c r="AR64" s="87"/>
      <c r="AS64" s="87"/>
      <c r="AT64" s="87"/>
      <c r="AU64" s="87"/>
      <c r="AV64" s="87"/>
      <c r="AW64" s="87"/>
      <c r="AX64" s="87"/>
      <c r="AY64" s="87"/>
      <c r="AZ64" s="87"/>
      <c r="BA64" s="87"/>
      <c r="BB64" s="87"/>
      <c r="BC64" s="87"/>
      <c r="BD64" s="92"/>
    </row>
    <row r="65" spans="1:56" ht="28.2" thickBot="1" x14ac:dyDescent="0.35">
      <c r="A65" s="24" t="s">
        <v>86</v>
      </c>
      <c r="B65" s="19" t="s">
        <v>80</v>
      </c>
      <c r="C65" s="19" t="s">
        <v>79</v>
      </c>
      <c r="D65" s="19">
        <v>3</v>
      </c>
      <c r="E65" s="19">
        <v>0</v>
      </c>
      <c r="F65" s="19">
        <v>0</v>
      </c>
      <c r="G65" s="19">
        <v>0</v>
      </c>
      <c r="H65" s="20">
        <v>0</v>
      </c>
      <c r="I65" s="49">
        <v>-4</v>
      </c>
      <c r="J65" s="59">
        <v>-1.3333333333333333</v>
      </c>
      <c r="K65" s="49">
        <v>1</v>
      </c>
      <c r="L65" s="20">
        <v>0.33333333333333331</v>
      </c>
      <c r="M65" s="49">
        <v>0</v>
      </c>
      <c r="N65" s="50">
        <v>3</v>
      </c>
      <c r="O65" s="21">
        <v>1.2249999999999999</v>
      </c>
      <c r="P65" s="19">
        <v>0</v>
      </c>
      <c r="Q65" s="19">
        <v>0</v>
      </c>
      <c r="R65" s="19">
        <v>0</v>
      </c>
      <c r="S65" s="20">
        <v>0</v>
      </c>
      <c r="T65" s="19">
        <v>1</v>
      </c>
      <c r="U65" s="20">
        <v>0</v>
      </c>
      <c r="V65" s="19">
        <v>0</v>
      </c>
      <c r="W65" s="19">
        <v>0</v>
      </c>
      <c r="X65" s="19">
        <v>0</v>
      </c>
      <c r="Y65" s="19">
        <v>0</v>
      </c>
      <c r="Z65" s="19">
        <v>-4</v>
      </c>
      <c r="AA65" s="19">
        <v>0</v>
      </c>
      <c r="AB65" s="51">
        <v>0.40833333333333338</v>
      </c>
      <c r="AQ65" s="84"/>
      <c r="AR65" s="87"/>
      <c r="AS65" s="87"/>
      <c r="AT65" s="87"/>
      <c r="AU65" s="87"/>
      <c r="AV65" s="87"/>
      <c r="AW65" s="87"/>
      <c r="AX65" s="87"/>
      <c r="AY65" s="87"/>
      <c r="AZ65" s="87"/>
      <c r="BA65" s="87"/>
      <c r="BB65" s="87"/>
      <c r="BC65" s="87"/>
      <c r="BD65" s="92"/>
    </row>
    <row r="66" spans="1:56" ht="27.6" x14ac:dyDescent="0.3">
      <c r="A66" s="24" t="s">
        <v>101</v>
      </c>
      <c r="B66" s="19" t="s">
        <v>80</v>
      </c>
      <c r="C66" s="19" t="s">
        <v>79</v>
      </c>
      <c r="D66" s="19">
        <v>8</v>
      </c>
      <c r="E66" s="19">
        <v>0</v>
      </c>
      <c r="F66" s="19">
        <v>2</v>
      </c>
      <c r="G66" s="19">
        <v>2</v>
      </c>
      <c r="H66" s="20">
        <v>0.25</v>
      </c>
      <c r="I66" s="49">
        <v>-5</v>
      </c>
      <c r="J66" s="59">
        <v>-0.625</v>
      </c>
      <c r="K66" s="49">
        <v>10</v>
      </c>
      <c r="L66" s="20">
        <v>1.25</v>
      </c>
      <c r="M66" s="49">
        <v>2</v>
      </c>
      <c r="N66" s="50">
        <v>8</v>
      </c>
      <c r="O66" s="21">
        <v>4.0166666666666666</v>
      </c>
      <c r="P66" s="19">
        <v>0</v>
      </c>
      <c r="Q66" s="19">
        <v>2</v>
      </c>
      <c r="R66" s="19">
        <v>2</v>
      </c>
      <c r="S66" s="20">
        <v>0.25</v>
      </c>
      <c r="T66" s="19">
        <v>10</v>
      </c>
      <c r="U66" s="20">
        <v>0</v>
      </c>
      <c r="V66" s="19">
        <v>0</v>
      </c>
      <c r="W66" s="19">
        <v>1</v>
      </c>
      <c r="X66" s="19">
        <v>0</v>
      </c>
      <c r="Y66" s="19">
        <v>0</v>
      </c>
      <c r="Z66" s="19">
        <v>-5</v>
      </c>
      <c r="AA66" s="19">
        <v>2</v>
      </c>
      <c r="AB66" s="51">
        <v>0.50208333333333333</v>
      </c>
      <c r="AQ66" s="84"/>
      <c r="AR66" s="87"/>
      <c r="AS66" s="87"/>
      <c r="AT66" s="87"/>
      <c r="AU66" s="87"/>
      <c r="AV66" s="87"/>
      <c r="AW66" s="87"/>
      <c r="AX66" s="87"/>
      <c r="AY66" s="87"/>
      <c r="AZ66" s="87"/>
      <c r="BA66" s="87"/>
      <c r="BB66" s="87"/>
      <c r="BC66" s="87"/>
      <c r="BD66" s="92"/>
    </row>
    <row r="67" spans="1:56" ht="27.6" x14ac:dyDescent="0.3">
      <c r="A67" s="24" t="s">
        <v>95</v>
      </c>
      <c r="B67" s="19" t="s">
        <v>80</v>
      </c>
      <c r="C67" s="19" t="s">
        <v>79</v>
      </c>
      <c r="D67" s="19">
        <v>13</v>
      </c>
      <c r="E67" s="19">
        <v>1</v>
      </c>
      <c r="F67" s="19">
        <v>0</v>
      </c>
      <c r="G67" s="19">
        <v>1</v>
      </c>
      <c r="H67" s="20">
        <v>7.6923076923076927E-2</v>
      </c>
      <c r="I67" s="49">
        <v>-3</v>
      </c>
      <c r="J67" s="59">
        <v>-0.23076923076923078</v>
      </c>
      <c r="K67" s="49">
        <v>10</v>
      </c>
      <c r="L67" s="20">
        <v>0.76923076923076927</v>
      </c>
      <c r="M67" s="49">
        <v>2</v>
      </c>
      <c r="N67" s="50">
        <v>12</v>
      </c>
      <c r="O67" s="21">
        <v>4.6597222222222223</v>
      </c>
      <c r="P67" s="19">
        <v>1</v>
      </c>
      <c r="Q67" s="19">
        <v>0</v>
      </c>
      <c r="R67" s="19">
        <v>1</v>
      </c>
      <c r="S67" s="20">
        <v>8.3333333333333329E-2</v>
      </c>
      <c r="T67" s="19">
        <v>9</v>
      </c>
      <c r="U67" s="20">
        <v>11.111111111111111</v>
      </c>
      <c r="V67" s="19">
        <v>0</v>
      </c>
      <c r="W67" s="19">
        <v>0</v>
      </c>
      <c r="X67" s="19">
        <v>0</v>
      </c>
      <c r="Y67" s="19">
        <v>0</v>
      </c>
      <c r="Z67" s="19">
        <v>-2</v>
      </c>
      <c r="AA67" s="19">
        <v>2</v>
      </c>
      <c r="AB67" s="51">
        <v>0.38819444444444445</v>
      </c>
      <c r="AC67" s="54">
        <v>1</v>
      </c>
      <c r="AD67" s="42">
        <v>0.53888888888888886</v>
      </c>
      <c r="AE67" s="40">
        <v>0</v>
      </c>
      <c r="AF67" s="40">
        <v>0</v>
      </c>
      <c r="AG67" s="40">
        <v>0</v>
      </c>
      <c r="AH67" s="40">
        <v>1</v>
      </c>
      <c r="AI67" s="40">
        <v>0</v>
      </c>
      <c r="AJ67" s="40">
        <v>0</v>
      </c>
      <c r="AK67" s="40">
        <v>0</v>
      </c>
      <c r="AL67" s="40">
        <v>0</v>
      </c>
      <c r="AM67" s="40">
        <v>0</v>
      </c>
      <c r="AN67" s="40">
        <v>-1</v>
      </c>
      <c r="AO67" s="40">
        <v>0</v>
      </c>
      <c r="AP67" s="57">
        <v>0.53888888888888886</v>
      </c>
    </row>
    <row r="68" spans="1:56" ht="28.2" thickBot="1" x14ac:dyDescent="0.35">
      <c r="A68" s="24" t="s">
        <v>81</v>
      </c>
      <c r="B68" s="19" t="s">
        <v>80</v>
      </c>
      <c r="C68" s="19" t="s">
        <v>79</v>
      </c>
      <c r="D68" s="19">
        <v>14</v>
      </c>
      <c r="E68" s="19">
        <v>0</v>
      </c>
      <c r="F68" s="19">
        <v>0</v>
      </c>
      <c r="G68" s="19">
        <v>0</v>
      </c>
      <c r="H68" s="20">
        <v>0</v>
      </c>
      <c r="I68" s="49">
        <v>-5</v>
      </c>
      <c r="J68" s="59">
        <v>-0.35714285714285715</v>
      </c>
      <c r="K68" s="49">
        <v>15</v>
      </c>
      <c r="L68" s="20">
        <v>1.0714285714285714</v>
      </c>
      <c r="M68" s="49">
        <v>2</v>
      </c>
      <c r="N68" s="50">
        <v>14</v>
      </c>
      <c r="O68" s="21">
        <v>6.0909722222222227</v>
      </c>
      <c r="P68" s="19">
        <v>0</v>
      </c>
      <c r="Q68" s="19">
        <v>0</v>
      </c>
      <c r="R68" s="19">
        <v>0</v>
      </c>
      <c r="S68" s="20">
        <v>0</v>
      </c>
      <c r="T68" s="19">
        <v>15</v>
      </c>
      <c r="U68" s="20">
        <v>0</v>
      </c>
      <c r="V68" s="19">
        <v>0</v>
      </c>
      <c r="W68" s="19">
        <v>0</v>
      </c>
      <c r="X68" s="19">
        <v>0</v>
      </c>
      <c r="Y68" s="19">
        <v>0</v>
      </c>
      <c r="Z68" s="19">
        <v>-5</v>
      </c>
      <c r="AA68" s="19">
        <v>2</v>
      </c>
      <c r="AB68" s="51">
        <v>0.43472222222222223</v>
      </c>
      <c r="AC68" s="56"/>
      <c r="AD68" s="11"/>
      <c r="AE68" s="10"/>
      <c r="AF68" s="10"/>
      <c r="AG68" s="10"/>
      <c r="AH68" s="10"/>
      <c r="AI68" s="10"/>
      <c r="AJ68" s="10"/>
      <c r="AK68" s="10"/>
      <c r="AL68" s="10"/>
      <c r="AM68" s="10"/>
      <c r="AN68" s="10"/>
      <c r="AO68" s="10"/>
      <c r="AP68" s="13"/>
      <c r="AQ68" s="81"/>
      <c r="AR68" s="82"/>
      <c r="AS68" s="82"/>
      <c r="AT68" s="82"/>
      <c r="AU68" s="82"/>
      <c r="AV68" s="82"/>
      <c r="AW68" s="82"/>
      <c r="AX68" s="82"/>
      <c r="AY68" s="82"/>
      <c r="AZ68" s="82"/>
      <c r="BA68" s="82"/>
      <c r="BB68" s="82"/>
      <c r="BC68" s="82"/>
      <c r="BD68" s="83"/>
    </row>
    <row r="69" spans="1:56" ht="27.6" x14ac:dyDescent="0.3">
      <c r="A69" s="24" t="s">
        <v>120</v>
      </c>
      <c r="B69" s="19" t="s">
        <v>80</v>
      </c>
      <c r="C69" s="19" t="s">
        <v>79</v>
      </c>
      <c r="D69" s="19">
        <v>18</v>
      </c>
      <c r="E69" s="19">
        <v>5</v>
      </c>
      <c r="F69" s="19">
        <v>7</v>
      </c>
      <c r="G69" s="19">
        <v>12</v>
      </c>
      <c r="H69" s="20">
        <v>0.66666666666666663</v>
      </c>
      <c r="I69" s="49">
        <v>-8</v>
      </c>
      <c r="J69" s="59">
        <v>-0.44444444444444442</v>
      </c>
      <c r="K69" s="49">
        <v>31</v>
      </c>
      <c r="L69" s="20">
        <v>1.7222222222222223</v>
      </c>
      <c r="M69" s="49">
        <v>12</v>
      </c>
      <c r="N69" s="50">
        <v>18</v>
      </c>
      <c r="O69" s="21">
        <v>12.786805555555555</v>
      </c>
      <c r="P69" s="19">
        <v>5</v>
      </c>
      <c r="Q69" s="19">
        <v>7</v>
      </c>
      <c r="R69" s="19">
        <v>12</v>
      </c>
      <c r="S69" s="20">
        <v>0.66666666666666663</v>
      </c>
      <c r="T69" s="19">
        <v>31</v>
      </c>
      <c r="U69" s="20">
        <v>16.129032258064516</v>
      </c>
      <c r="V69" s="19">
        <v>1</v>
      </c>
      <c r="W69" s="19">
        <v>5</v>
      </c>
      <c r="X69" s="19">
        <v>0</v>
      </c>
      <c r="Y69" s="19">
        <v>1</v>
      </c>
      <c r="Z69" s="19">
        <v>-8</v>
      </c>
      <c r="AA69" s="19">
        <v>12</v>
      </c>
      <c r="AB69" s="51">
        <v>0.70972222222222225</v>
      </c>
      <c r="AQ69" s="86"/>
      <c r="AR69" s="89"/>
      <c r="AS69" s="89"/>
      <c r="AT69" s="89"/>
      <c r="AU69" s="89"/>
      <c r="AV69" s="89"/>
      <c r="AW69" s="89"/>
      <c r="AX69" s="89"/>
      <c r="AY69" s="89"/>
      <c r="AZ69" s="89"/>
      <c r="BA69" s="89"/>
      <c r="BB69" s="89"/>
      <c r="BC69" s="89"/>
      <c r="BD69" s="94"/>
    </row>
    <row r="70" spans="1:56" ht="28.2" thickBot="1" x14ac:dyDescent="0.35">
      <c r="A70" s="24" t="s">
        <v>113</v>
      </c>
      <c r="B70" s="19" t="s">
        <v>80</v>
      </c>
      <c r="C70" s="19" t="s">
        <v>79</v>
      </c>
      <c r="D70" s="19">
        <v>22</v>
      </c>
      <c r="E70" s="19">
        <v>5</v>
      </c>
      <c r="F70" s="19">
        <v>1</v>
      </c>
      <c r="G70" s="19">
        <v>6</v>
      </c>
      <c r="H70" s="20">
        <v>0.27272727272727271</v>
      </c>
      <c r="I70" s="49">
        <v>-8</v>
      </c>
      <c r="J70" s="59">
        <v>-0.36363636363636365</v>
      </c>
      <c r="K70" s="49">
        <v>37</v>
      </c>
      <c r="L70" s="20">
        <v>1.6818181818181819</v>
      </c>
      <c r="M70" s="49">
        <v>14</v>
      </c>
      <c r="N70" s="50">
        <v>22</v>
      </c>
      <c r="O70" s="21">
        <v>14.272916666666667</v>
      </c>
      <c r="P70" s="19">
        <v>5</v>
      </c>
      <c r="Q70" s="19">
        <v>1</v>
      </c>
      <c r="R70" s="19">
        <v>6</v>
      </c>
      <c r="S70" s="20">
        <v>0.27272727272727271</v>
      </c>
      <c r="T70" s="19">
        <v>37</v>
      </c>
      <c r="U70" s="20">
        <v>13.513513513513514</v>
      </c>
      <c r="V70" s="19">
        <v>1</v>
      </c>
      <c r="W70" s="19">
        <v>1</v>
      </c>
      <c r="X70" s="19">
        <v>0</v>
      </c>
      <c r="Y70" s="19">
        <v>3</v>
      </c>
      <c r="Z70" s="19">
        <v>-8</v>
      </c>
      <c r="AA70" s="19">
        <v>14</v>
      </c>
      <c r="AB70" s="51">
        <v>0.64861111111111114</v>
      </c>
    </row>
    <row r="71" spans="1:56" ht="27.6" x14ac:dyDescent="0.3">
      <c r="A71" s="24" t="s">
        <v>104</v>
      </c>
      <c r="B71" s="19" t="s">
        <v>80</v>
      </c>
      <c r="C71" s="19" t="s">
        <v>79</v>
      </c>
      <c r="D71" s="19">
        <v>18</v>
      </c>
      <c r="E71" s="19">
        <v>1</v>
      </c>
      <c r="F71" s="19">
        <v>4</v>
      </c>
      <c r="G71" s="19">
        <v>5</v>
      </c>
      <c r="H71" s="20">
        <v>0.27777777777777779</v>
      </c>
      <c r="I71" s="49">
        <v>-4</v>
      </c>
      <c r="J71" s="59">
        <v>-0.22222222222222221</v>
      </c>
      <c r="K71" s="49">
        <v>21</v>
      </c>
      <c r="L71" s="20">
        <v>1.1666666666666667</v>
      </c>
      <c r="M71" s="49">
        <v>2</v>
      </c>
      <c r="N71" s="50">
        <v>9</v>
      </c>
      <c r="O71" s="21">
        <v>7.1277777777777773</v>
      </c>
      <c r="P71" s="19">
        <v>1</v>
      </c>
      <c r="Q71" s="19">
        <v>2</v>
      </c>
      <c r="R71" s="19">
        <v>3</v>
      </c>
      <c r="S71" s="20">
        <v>0.33333333333333331</v>
      </c>
      <c r="T71" s="19">
        <v>14</v>
      </c>
      <c r="U71" s="20">
        <v>7.1428571428571423</v>
      </c>
      <c r="V71" s="19">
        <v>0</v>
      </c>
      <c r="W71" s="19">
        <v>0</v>
      </c>
      <c r="X71" s="19">
        <v>0</v>
      </c>
      <c r="Y71" s="19">
        <v>0</v>
      </c>
      <c r="Z71" s="19">
        <v>-3</v>
      </c>
      <c r="AA71" s="19">
        <v>0</v>
      </c>
      <c r="AB71" s="51">
        <v>0.79166666666666663</v>
      </c>
      <c r="AC71" s="56">
        <v>6</v>
      </c>
      <c r="AD71" s="11">
        <v>4.0888888888888895</v>
      </c>
      <c r="AE71" s="10">
        <v>0</v>
      </c>
      <c r="AF71" s="10">
        <v>2</v>
      </c>
      <c r="AG71" s="10">
        <v>2</v>
      </c>
      <c r="AH71" s="10">
        <v>6</v>
      </c>
      <c r="AI71" s="10" t="s">
        <v>78</v>
      </c>
      <c r="AJ71" s="10">
        <v>0</v>
      </c>
      <c r="AK71" s="10">
        <v>0</v>
      </c>
      <c r="AL71" s="10">
        <v>0</v>
      </c>
      <c r="AM71" s="10">
        <v>0</v>
      </c>
      <c r="AN71" s="10">
        <v>0</v>
      </c>
      <c r="AO71" s="10">
        <v>2</v>
      </c>
      <c r="AP71" s="13">
        <v>0.68125000000000002</v>
      </c>
      <c r="AQ71" s="76">
        <v>3</v>
      </c>
      <c r="AR71" s="77">
        <v>1.5715277777777779</v>
      </c>
      <c r="AS71" s="78">
        <v>0</v>
      </c>
      <c r="AT71" s="78">
        <v>0</v>
      </c>
      <c r="AU71" s="78">
        <v>0</v>
      </c>
      <c r="AV71" s="78">
        <v>1</v>
      </c>
      <c r="AW71" s="78" t="s">
        <v>78</v>
      </c>
      <c r="AX71" s="78">
        <v>0</v>
      </c>
      <c r="AY71" s="78">
        <v>0</v>
      </c>
      <c r="AZ71" s="78">
        <v>0</v>
      </c>
      <c r="BA71" s="78">
        <v>0</v>
      </c>
      <c r="BB71" s="78">
        <v>-1</v>
      </c>
      <c r="BC71" s="78">
        <v>0</v>
      </c>
      <c r="BD71" s="79">
        <v>0.52361111111111114</v>
      </c>
    </row>
    <row r="72" spans="1:56" ht="28.2" thickBot="1" x14ac:dyDescent="0.35">
      <c r="A72" s="24" t="s">
        <v>110</v>
      </c>
      <c r="B72" s="19" t="s">
        <v>80</v>
      </c>
      <c r="C72" s="19" t="s">
        <v>79</v>
      </c>
      <c r="D72" s="19">
        <v>23</v>
      </c>
      <c r="E72" s="19">
        <v>4</v>
      </c>
      <c r="F72" s="19">
        <v>2</v>
      </c>
      <c r="G72" s="19">
        <v>6</v>
      </c>
      <c r="H72" s="20">
        <v>0.2608695652173913</v>
      </c>
      <c r="I72" s="49">
        <v>1</v>
      </c>
      <c r="J72" s="59">
        <v>4.3478260869565216E-2</v>
      </c>
      <c r="K72" s="49">
        <v>43</v>
      </c>
      <c r="L72" s="20">
        <v>1.8695652173913044</v>
      </c>
      <c r="M72" s="49">
        <v>4</v>
      </c>
      <c r="N72" s="50">
        <v>23</v>
      </c>
      <c r="O72" s="21">
        <v>13.366666666666667</v>
      </c>
      <c r="P72" s="19">
        <v>4</v>
      </c>
      <c r="Q72" s="19">
        <v>2</v>
      </c>
      <c r="R72" s="19">
        <v>6</v>
      </c>
      <c r="S72" s="20">
        <v>0.2608695652173913</v>
      </c>
      <c r="T72" s="19">
        <v>43</v>
      </c>
      <c r="U72" s="20">
        <v>9.3023255813953494</v>
      </c>
      <c r="V72" s="19">
        <v>0</v>
      </c>
      <c r="W72" s="19">
        <v>0</v>
      </c>
      <c r="X72" s="19">
        <v>0</v>
      </c>
      <c r="Y72" s="19">
        <v>0</v>
      </c>
      <c r="Z72" s="19">
        <v>1</v>
      </c>
      <c r="AA72" s="19">
        <v>4</v>
      </c>
      <c r="AB72" s="51">
        <v>0.5805555555555556</v>
      </c>
    </row>
    <row r="73" spans="1:56" x14ac:dyDescent="0.3">
      <c r="O73" s="17" t="s">
        <v>145</v>
      </c>
      <c r="P73" s="26" t="s">
        <v>137</v>
      </c>
      <c r="Q73" s="26" t="s">
        <v>136</v>
      </c>
      <c r="R73" s="26" t="s">
        <v>135</v>
      </c>
      <c r="S73" s="26" t="s">
        <v>308</v>
      </c>
      <c r="T73" s="26" t="s">
        <v>128</v>
      </c>
      <c r="U73" s="27" t="s">
        <v>318</v>
      </c>
    </row>
    <row r="74" spans="1:56" x14ac:dyDescent="0.3">
      <c r="D74" s="24">
        <f>SUM(D53:D72)</f>
        <v>373</v>
      </c>
      <c r="E74" s="24">
        <f>SUM(E53:E72)</f>
        <v>21</v>
      </c>
      <c r="F74" s="24">
        <f>SUM(F53:F72)</f>
        <v>42</v>
      </c>
      <c r="G74" s="24">
        <f>SUM(G53:G72)</f>
        <v>63</v>
      </c>
      <c r="H74" s="116">
        <f>G74/$D$74</f>
        <v>0.16890080428954424</v>
      </c>
      <c r="I74" s="24">
        <f>SUM(I53:I72)</f>
        <v>-85</v>
      </c>
      <c r="J74" s="116">
        <f>I74/$D$74</f>
        <v>-0.22788203753351208</v>
      </c>
      <c r="K74" s="24">
        <f>SUM(K53:K72)</f>
        <v>483</v>
      </c>
      <c r="L74" s="116">
        <f>K74/$D$74</f>
        <v>1.2949061662198391</v>
      </c>
      <c r="M74" s="24">
        <f>SUM(M53:M72)</f>
        <v>276</v>
      </c>
      <c r="O74" s="38">
        <f>SUM(N53:N72)</f>
        <v>296</v>
      </c>
      <c r="P74" s="24">
        <f>SUM(P53:P72)</f>
        <v>20</v>
      </c>
      <c r="Q74" s="24">
        <f>SUM(Q53:Q72)</f>
        <v>32</v>
      </c>
      <c r="R74" s="24">
        <f>SUM(R53:R72)</f>
        <v>52</v>
      </c>
      <c r="S74" s="116">
        <f>R74/$O$74</f>
        <v>0.17567567567567569</v>
      </c>
      <c r="T74" s="24">
        <f>SUM(Z53:Z72)</f>
        <v>-79</v>
      </c>
      <c r="U74" s="126">
        <f>T74/$O$74</f>
        <v>-0.26689189189189189</v>
      </c>
      <c r="W74" s="116"/>
    </row>
    <row r="75" spans="1:56" ht="15" thickBot="1" x14ac:dyDescent="0.35">
      <c r="A75" s="108" t="s">
        <v>227</v>
      </c>
      <c r="C75" s="24" t="s">
        <v>310</v>
      </c>
      <c r="D75" s="24">
        <f>D74-D69-D72-D54</f>
        <v>316</v>
      </c>
      <c r="E75" s="24">
        <f t="shared" ref="E75:K75" si="11">E74-E69-E72-E54</f>
        <v>12</v>
      </c>
      <c r="F75" s="24">
        <f t="shared" si="11"/>
        <v>32</v>
      </c>
      <c r="G75" s="24">
        <f t="shared" si="11"/>
        <v>44</v>
      </c>
      <c r="H75" s="116">
        <f>G75/$D$75</f>
        <v>0.13924050632911392</v>
      </c>
      <c r="I75" s="24">
        <f t="shared" si="11"/>
        <v>-80</v>
      </c>
      <c r="J75" s="116">
        <f>I75/$D$75</f>
        <v>-0.25316455696202533</v>
      </c>
      <c r="K75" s="24">
        <f t="shared" si="11"/>
        <v>383</v>
      </c>
      <c r="L75" s="116">
        <f>K75/$D$75</f>
        <v>1.2120253164556962</v>
      </c>
      <c r="M75" s="117">
        <f>M74-M69-M72-M54</f>
        <v>219</v>
      </c>
      <c r="O75" s="123">
        <f>O74-N69-N72-N54</f>
        <v>255</v>
      </c>
      <c r="P75" s="124">
        <f>P74-P69-P72-P54</f>
        <v>11</v>
      </c>
      <c r="Q75" s="124">
        <f>Q74-Q69-Q72-Q54</f>
        <v>23</v>
      </c>
      <c r="R75" s="124">
        <f>R74-R69-R72-R54</f>
        <v>34</v>
      </c>
      <c r="S75" s="125">
        <f>R75/$O$75</f>
        <v>0.13333333333333333</v>
      </c>
      <c r="T75" s="124">
        <f>T74-SUM(Z54,Z69,Z72)</f>
        <v>-72</v>
      </c>
      <c r="U75" s="127">
        <f>T75/$O$75</f>
        <v>-0.28235294117647058</v>
      </c>
      <c r="W75" s="116"/>
      <c r="X75" s="117"/>
    </row>
    <row r="77" spans="1:56" s="110" customFormat="1" x14ac:dyDescent="0.3">
      <c r="N77" s="111"/>
      <c r="AB77" s="112"/>
      <c r="AC77" s="111"/>
      <c r="AP77" s="112"/>
      <c r="AQ77" s="113"/>
      <c r="AR77" s="114"/>
      <c r="AS77" s="114"/>
      <c r="AT77" s="114"/>
      <c r="AU77" s="114"/>
      <c r="AV77" s="114"/>
      <c r="AW77" s="114"/>
      <c r="AX77" s="114"/>
      <c r="AY77" s="114"/>
      <c r="AZ77" s="114"/>
      <c r="BA77" s="114"/>
      <c r="BB77" s="114"/>
      <c r="BC77" s="114"/>
      <c r="BD77" s="115"/>
    </row>
    <row r="78" spans="1:56" x14ac:dyDescent="0.3">
      <c r="AQ78" s="81"/>
      <c r="AR78" s="82"/>
      <c r="AS78" s="82"/>
      <c r="AT78" s="82"/>
      <c r="AU78" s="82"/>
      <c r="AV78" s="82"/>
      <c r="AW78" s="82"/>
      <c r="AX78" s="82"/>
      <c r="AY78" s="82"/>
      <c r="AZ78" s="82"/>
      <c r="BA78" s="82"/>
      <c r="BB78" s="82"/>
      <c r="BC78" s="82"/>
      <c r="BD78" s="83"/>
    </row>
    <row r="79" spans="1:56" ht="24" thickBot="1" x14ac:dyDescent="0.35">
      <c r="B79" s="109" t="s">
        <v>228</v>
      </c>
      <c r="AQ79" s="81"/>
      <c r="AR79" s="82"/>
      <c r="AS79" s="82"/>
      <c r="AT79" s="82"/>
      <c r="AU79" s="82"/>
      <c r="AV79" s="82"/>
      <c r="AW79" s="82"/>
      <c r="AX79" s="82"/>
      <c r="AY79" s="82"/>
      <c r="AZ79" s="82"/>
      <c r="BA79" s="82"/>
      <c r="BB79" s="82"/>
      <c r="BC79" s="82"/>
      <c r="BD79" s="83"/>
    </row>
    <row r="80" spans="1:56" ht="28.2" thickBot="1" x14ac:dyDescent="0.35">
      <c r="A80" s="24" t="s">
        <v>118</v>
      </c>
      <c r="B80" s="19" t="s">
        <v>80</v>
      </c>
      <c r="C80" s="19" t="s">
        <v>88</v>
      </c>
      <c r="D80" s="19">
        <v>18</v>
      </c>
      <c r="E80" s="19">
        <v>3</v>
      </c>
      <c r="F80" s="19">
        <v>10</v>
      </c>
      <c r="G80" s="19">
        <v>13</v>
      </c>
      <c r="H80" s="20">
        <v>0.72222222222222221</v>
      </c>
      <c r="I80" s="49">
        <v>3</v>
      </c>
      <c r="J80" s="59">
        <v>0.16666666666666666</v>
      </c>
      <c r="K80" s="49">
        <v>38</v>
      </c>
      <c r="L80" s="20">
        <v>2.1111111111111112</v>
      </c>
      <c r="M80" s="49">
        <v>10</v>
      </c>
      <c r="N80" s="50">
        <v>14</v>
      </c>
      <c r="O80" s="21">
        <v>12.723611111111111</v>
      </c>
      <c r="P80" s="19">
        <v>3</v>
      </c>
      <c r="Q80" s="19">
        <v>9</v>
      </c>
      <c r="R80" s="19">
        <v>12</v>
      </c>
      <c r="S80" s="20">
        <v>0.8571428571428571</v>
      </c>
      <c r="T80" s="19">
        <v>29</v>
      </c>
      <c r="U80" s="20">
        <v>10.344827586206897</v>
      </c>
      <c r="V80" s="19">
        <v>1</v>
      </c>
      <c r="W80" s="19">
        <v>4</v>
      </c>
      <c r="X80" s="19">
        <v>0</v>
      </c>
      <c r="Y80" s="19">
        <v>1</v>
      </c>
      <c r="Z80" s="19">
        <v>6</v>
      </c>
      <c r="AA80" s="19">
        <v>6</v>
      </c>
      <c r="AB80" s="51">
        <v>0.90833333333333333</v>
      </c>
      <c r="AD80" s="42"/>
      <c r="AP80" s="57"/>
      <c r="AQ80" s="76">
        <v>4</v>
      </c>
      <c r="AR80" s="77">
        <v>2.5458333333333334</v>
      </c>
      <c r="AS80" s="78">
        <v>0</v>
      </c>
      <c r="AT80" s="78">
        <v>1</v>
      </c>
      <c r="AU80" s="78">
        <v>1</v>
      </c>
      <c r="AV80" s="78">
        <v>9</v>
      </c>
      <c r="AW80" s="78" t="s">
        <v>78</v>
      </c>
      <c r="AX80" s="78">
        <v>0</v>
      </c>
      <c r="AY80" s="78">
        <v>1</v>
      </c>
      <c r="AZ80" s="78">
        <v>0</v>
      </c>
      <c r="BA80" s="78">
        <v>0</v>
      </c>
      <c r="BB80" s="78">
        <v>-3</v>
      </c>
      <c r="BC80" s="78">
        <v>4</v>
      </c>
      <c r="BD80" s="79">
        <v>0.63611111111111118</v>
      </c>
    </row>
    <row r="81" spans="1:56" ht="28.2" thickBot="1" x14ac:dyDescent="0.35">
      <c r="A81" s="24" t="s">
        <v>99</v>
      </c>
      <c r="B81" s="19" t="s">
        <v>80</v>
      </c>
      <c r="C81" s="19" t="s">
        <v>88</v>
      </c>
      <c r="D81" s="19">
        <v>20</v>
      </c>
      <c r="E81" s="19">
        <v>0</v>
      </c>
      <c r="F81" s="19">
        <v>4</v>
      </c>
      <c r="G81" s="19">
        <v>4</v>
      </c>
      <c r="H81" s="20">
        <v>0.2</v>
      </c>
      <c r="I81" s="49">
        <v>-2</v>
      </c>
      <c r="J81" s="59">
        <v>-0.1</v>
      </c>
      <c r="K81" s="49">
        <v>12</v>
      </c>
      <c r="L81" s="20">
        <v>0.6</v>
      </c>
      <c r="M81" s="49">
        <v>4</v>
      </c>
      <c r="N81" s="50">
        <v>10</v>
      </c>
      <c r="O81" s="21">
        <v>7.3597222222222216</v>
      </c>
      <c r="P81" s="19">
        <v>0</v>
      </c>
      <c r="Q81" s="19">
        <v>2</v>
      </c>
      <c r="R81" s="19">
        <v>2</v>
      </c>
      <c r="S81" s="20">
        <v>0.2</v>
      </c>
      <c r="T81" s="19">
        <v>8</v>
      </c>
      <c r="U81" s="20">
        <v>0</v>
      </c>
      <c r="V81" s="19">
        <v>0</v>
      </c>
      <c r="W81" s="19">
        <v>0</v>
      </c>
      <c r="X81" s="19">
        <v>0</v>
      </c>
      <c r="Y81" s="19">
        <v>0</v>
      </c>
      <c r="Z81" s="19">
        <v>-2</v>
      </c>
      <c r="AA81" s="19">
        <v>4</v>
      </c>
      <c r="AB81" s="51">
        <v>0.73541666666666661</v>
      </c>
      <c r="AC81" s="56">
        <v>5</v>
      </c>
      <c r="AD81" s="11">
        <v>3.2687500000000003</v>
      </c>
      <c r="AE81" s="10">
        <v>0</v>
      </c>
      <c r="AF81" s="10">
        <v>0</v>
      </c>
      <c r="AG81" s="10">
        <v>0</v>
      </c>
      <c r="AH81" s="10">
        <v>3</v>
      </c>
      <c r="AI81" s="10" t="s">
        <v>78</v>
      </c>
      <c r="AJ81" s="10">
        <v>0</v>
      </c>
      <c r="AK81" s="10">
        <v>0</v>
      </c>
      <c r="AL81" s="10">
        <v>0</v>
      </c>
      <c r="AM81" s="10">
        <v>0</v>
      </c>
      <c r="AN81" s="10">
        <v>0</v>
      </c>
      <c r="AO81" s="10">
        <v>0</v>
      </c>
      <c r="AP81" s="13">
        <v>0.65347222222222223</v>
      </c>
      <c r="AQ81" s="76">
        <v>5</v>
      </c>
      <c r="AR81" s="77">
        <v>3.1090277777777775</v>
      </c>
      <c r="AS81" s="78">
        <v>0</v>
      </c>
      <c r="AT81" s="78">
        <v>2</v>
      </c>
      <c r="AU81" s="78">
        <v>2</v>
      </c>
      <c r="AV81" s="78">
        <v>1</v>
      </c>
      <c r="AW81" s="78" t="s">
        <v>78</v>
      </c>
      <c r="AX81" s="78">
        <v>0</v>
      </c>
      <c r="AY81" s="78">
        <v>0</v>
      </c>
      <c r="AZ81" s="78">
        <v>0</v>
      </c>
      <c r="BA81" s="78">
        <v>0</v>
      </c>
      <c r="BB81" s="78">
        <v>0</v>
      </c>
      <c r="BC81" s="78">
        <v>0</v>
      </c>
      <c r="BD81" s="79">
        <v>0.62152777777777779</v>
      </c>
    </row>
    <row r="82" spans="1:56" ht="27.6" x14ac:dyDescent="0.3">
      <c r="A82" s="24" t="s">
        <v>123</v>
      </c>
      <c r="B82" s="19" t="s">
        <v>80</v>
      </c>
      <c r="C82" s="19" t="s">
        <v>88</v>
      </c>
      <c r="D82" s="19">
        <v>42</v>
      </c>
      <c r="E82" s="19">
        <v>6</v>
      </c>
      <c r="F82" s="19">
        <v>18</v>
      </c>
      <c r="G82" s="19">
        <v>24</v>
      </c>
      <c r="H82" s="20">
        <v>0.5714285714285714</v>
      </c>
      <c r="I82" s="49">
        <v>-4</v>
      </c>
      <c r="J82" s="59">
        <v>-9.5238095238095233E-2</v>
      </c>
      <c r="K82" s="49">
        <v>111</v>
      </c>
      <c r="L82" s="20">
        <v>2.6428571428571428</v>
      </c>
      <c r="M82" s="49">
        <v>78</v>
      </c>
      <c r="N82" s="50">
        <v>42</v>
      </c>
      <c r="O82" s="21">
        <v>37.902777777777779</v>
      </c>
      <c r="P82" s="19">
        <v>6</v>
      </c>
      <c r="Q82" s="19">
        <v>18</v>
      </c>
      <c r="R82" s="19">
        <v>24</v>
      </c>
      <c r="S82" s="20">
        <v>0.5714285714285714</v>
      </c>
      <c r="T82" s="19">
        <v>111</v>
      </c>
      <c r="U82" s="20">
        <v>5.4054054054054053</v>
      </c>
      <c r="V82" s="19">
        <v>4</v>
      </c>
      <c r="W82" s="19">
        <v>16</v>
      </c>
      <c r="X82" s="19">
        <v>0</v>
      </c>
      <c r="Y82" s="19">
        <v>0</v>
      </c>
      <c r="Z82" s="19">
        <v>-4</v>
      </c>
      <c r="AA82" s="19">
        <v>78</v>
      </c>
      <c r="AB82" s="51">
        <v>0.90208333333333324</v>
      </c>
      <c r="AQ82" s="86"/>
      <c r="AR82" s="89"/>
      <c r="AS82" s="89"/>
      <c r="AT82" s="89"/>
      <c r="AU82" s="89"/>
      <c r="AV82" s="89"/>
      <c r="AW82" s="89"/>
      <c r="AX82" s="89"/>
      <c r="AY82" s="89"/>
      <c r="AZ82" s="89"/>
      <c r="BA82" s="89"/>
      <c r="BB82" s="89"/>
      <c r="BC82" s="89"/>
      <c r="BD82" s="94"/>
    </row>
    <row r="83" spans="1:56" ht="28.2" thickBot="1" x14ac:dyDescent="0.35">
      <c r="A83" s="24" t="s">
        <v>119</v>
      </c>
      <c r="B83" s="19" t="s">
        <v>80</v>
      </c>
      <c r="C83" s="19" t="s">
        <v>88</v>
      </c>
      <c r="D83" s="19">
        <v>56</v>
      </c>
      <c r="E83" s="19">
        <v>5</v>
      </c>
      <c r="F83" s="19">
        <v>15</v>
      </c>
      <c r="G83" s="19">
        <v>20</v>
      </c>
      <c r="H83" s="20">
        <v>0.35714285714285715</v>
      </c>
      <c r="I83" s="49">
        <v>-14</v>
      </c>
      <c r="J83" s="59">
        <v>-0.25</v>
      </c>
      <c r="K83" s="49">
        <v>71</v>
      </c>
      <c r="L83" s="20">
        <v>1.2678571428571428</v>
      </c>
      <c r="M83" s="49">
        <v>36</v>
      </c>
      <c r="N83" s="50">
        <v>42</v>
      </c>
      <c r="O83" s="21">
        <v>36.432638888888889</v>
      </c>
      <c r="P83" s="19">
        <v>4</v>
      </c>
      <c r="Q83" s="19">
        <v>8</v>
      </c>
      <c r="R83" s="19">
        <v>12</v>
      </c>
      <c r="S83" s="20">
        <v>0.2857142857142857</v>
      </c>
      <c r="T83" s="19">
        <v>57</v>
      </c>
      <c r="U83" s="20">
        <v>7.0175438596491224</v>
      </c>
      <c r="V83" s="19">
        <v>4</v>
      </c>
      <c r="W83" s="19">
        <v>8</v>
      </c>
      <c r="X83" s="19">
        <v>0</v>
      </c>
      <c r="Y83" s="19">
        <v>1</v>
      </c>
      <c r="Z83" s="19">
        <v>-17</v>
      </c>
      <c r="AA83" s="19">
        <v>26</v>
      </c>
      <c r="AB83" s="51">
        <v>0.86736111111111114</v>
      </c>
      <c r="AC83" s="56">
        <v>3</v>
      </c>
      <c r="AD83" s="11">
        <v>2.4312499999999999</v>
      </c>
      <c r="AE83" s="10">
        <v>1</v>
      </c>
      <c r="AF83" s="10">
        <v>0</v>
      </c>
      <c r="AG83" s="10">
        <v>1</v>
      </c>
      <c r="AH83" s="10">
        <v>3</v>
      </c>
      <c r="AI83" s="10" t="s">
        <v>96</v>
      </c>
      <c r="AJ83" s="10">
        <v>1</v>
      </c>
      <c r="AK83" s="10">
        <v>1</v>
      </c>
      <c r="AL83" s="10">
        <v>0</v>
      </c>
      <c r="AM83" s="10">
        <v>1</v>
      </c>
      <c r="AN83" s="10">
        <v>0</v>
      </c>
      <c r="AO83" s="10">
        <v>2</v>
      </c>
      <c r="AP83" s="13">
        <v>0.81041666666666667</v>
      </c>
      <c r="AQ83" s="85">
        <v>11</v>
      </c>
      <c r="AR83" s="88">
        <v>10.013888888888889</v>
      </c>
      <c r="AS83" s="90">
        <v>0</v>
      </c>
      <c r="AT83" s="90">
        <v>7</v>
      </c>
      <c r="AU83" s="90">
        <v>7</v>
      </c>
      <c r="AV83" s="90">
        <v>11</v>
      </c>
      <c r="AW83" s="90" t="s">
        <v>78</v>
      </c>
      <c r="AX83" s="90">
        <v>0</v>
      </c>
      <c r="AY83" s="90">
        <v>1</v>
      </c>
      <c r="AZ83" s="90">
        <v>0</v>
      </c>
      <c r="BA83" s="90">
        <v>0</v>
      </c>
      <c r="BB83" s="90">
        <v>3</v>
      </c>
      <c r="BC83" s="90">
        <v>8</v>
      </c>
      <c r="BD83" s="93">
        <v>0.90972222222222221</v>
      </c>
    </row>
    <row r="84" spans="1:56" ht="27.6" x14ac:dyDescent="0.3">
      <c r="A84" s="24" t="s">
        <v>107</v>
      </c>
      <c r="B84" s="19" t="s">
        <v>80</v>
      </c>
      <c r="C84" s="19" t="s">
        <v>88</v>
      </c>
      <c r="D84" s="19">
        <v>56</v>
      </c>
      <c r="E84" s="19">
        <v>3</v>
      </c>
      <c r="F84" s="19">
        <v>5</v>
      </c>
      <c r="G84" s="19">
        <v>8</v>
      </c>
      <c r="H84" s="20">
        <v>0.14285714285714285</v>
      </c>
      <c r="I84" s="49">
        <v>-13</v>
      </c>
      <c r="J84" s="59">
        <v>-0.23214285714285715</v>
      </c>
      <c r="K84" s="49">
        <v>38</v>
      </c>
      <c r="L84" s="20">
        <v>0.6785714285714286</v>
      </c>
      <c r="M84" s="49">
        <v>10</v>
      </c>
      <c r="N84" s="50">
        <v>42</v>
      </c>
      <c r="O84" s="21">
        <v>21.462500000000002</v>
      </c>
      <c r="P84" s="19">
        <v>1</v>
      </c>
      <c r="Q84" s="19">
        <v>5</v>
      </c>
      <c r="R84" s="19">
        <v>6</v>
      </c>
      <c r="S84" s="20">
        <v>0.14285714285714285</v>
      </c>
      <c r="T84" s="19">
        <v>26</v>
      </c>
      <c r="U84" s="20">
        <v>3.8461538461538463</v>
      </c>
      <c r="V84" s="19">
        <v>0</v>
      </c>
      <c r="W84" s="19">
        <v>0</v>
      </c>
      <c r="X84" s="19">
        <v>0</v>
      </c>
      <c r="Y84" s="19">
        <v>0</v>
      </c>
      <c r="Z84" s="19">
        <v>-16</v>
      </c>
      <c r="AA84" s="19">
        <v>10</v>
      </c>
      <c r="AB84" s="51">
        <v>0.51041666666666663</v>
      </c>
      <c r="AC84" s="56">
        <v>6</v>
      </c>
      <c r="AD84" s="11">
        <v>3.3416666666666668</v>
      </c>
      <c r="AE84" s="10">
        <v>1</v>
      </c>
      <c r="AF84" s="10">
        <v>0</v>
      </c>
      <c r="AG84" s="10">
        <v>1</v>
      </c>
      <c r="AH84" s="10">
        <v>7</v>
      </c>
      <c r="AI84" s="10">
        <v>14.29</v>
      </c>
      <c r="AJ84" s="10">
        <v>0</v>
      </c>
      <c r="AK84" s="10">
        <v>0</v>
      </c>
      <c r="AL84" s="10">
        <v>0</v>
      </c>
      <c r="AM84" s="10">
        <v>1</v>
      </c>
      <c r="AN84" s="10">
        <v>3</v>
      </c>
      <c r="AO84" s="10">
        <v>0</v>
      </c>
      <c r="AP84" s="13">
        <v>0.55694444444444446</v>
      </c>
      <c r="AQ84" s="76">
        <v>8</v>
      </c>
      <c r="AR84" s="77">
        <v>2.2937499999999997</v>
      </c>
      <c r="AS84" s="78">
        <v>1</v>
      </c>
      <c r="AT84" s="78">
        <v>0</v>
      </c>
      <c r="AU84" s="78">
        <v>1</v>
      </c>
      <c r="AV84" s="78">
        <v>5</v>
      </c>
      <c r="AW84" s="78" t="s">
        <v>217</v>
      </c>
      <c r="AX84" s="78">
        <v>0</v>
      </c>
      <c r="AY84" s="78">
        <v>0</v>
      </c>
      <c r="AZ84" s="78">
        <v>0</v>
      </c>
      <c r="BA84" s="78">
        <v>1</v>
      </c>
      <c r="BB84" s="78">
        <v>0</v>
      </c>
      <c r="BC84" s="78">
        <v>0</v>
      </c>
      <c r="BD84" s="79">
        <v>0.28611111111111115</v>
      </c>
    </row>
    <row r="85" spans="1:56" ht="28.2" thickBot="1" x14ac:dyDescent="0.35">
      <c r="A85" s="24" t="s">
        <v>105</v>
      </c>
      <c r="B85" s="19" t="s">
        <v>80</v>
      </c>
      <c r="C85" s="19" t="s">
        <v>88</v>
      </c>
      <c r="D85" s="19">
        <v>60</v>
      </c>
      <c r="E85" s="19">
        <v>6</v>
      </c>
      <c r="F85" s="19">
        <v>6</v>
      </c>
      <c r="G85" s="19">
        <v>12</v>
      </c>
      <c r="H85" s="20">
        <v>0.2</v>
      </c>
      <c r="I85" s="49">
        <v>-6</v>
      </c>
      <c r="J85" s="59">
        <v>-0.1</v>
      </c>
      <c r="K85" s="49">
        <v>99</v>
      </c>
      <c r="L85" s="20">
        <v>1.65</v>
      </c>
      <c r="M85" s="49">
        <v>56</v>
      </c>
      <c r="N85" s="50">
        <v>44</v>
      </c>
      <c r="O85" s="21">
        <v>32.336805555555557</v>
      </c>
      <c r="P85" s="19">
        <v>2</v>
      </c>
      <c r="Q85" s="19">
        <v>5</v>
      </c>
      <c r="R85" s="19">
        <v>7</v>
      </c>
      <c r="S85" s="20">
        <v>0.15909090909090909</v>
      </c>
      <c r="T85" s="19">
        <v>64</v>
      </c>
      <c r="U85" s="20">
        <v>3.125</v>
      </c>
      <c r="V85" s="19">
        <v>1</v>
      </c>
      <c r="W85" s="19">
        <v>1</v>
      </c>
      <c r="X85" s="19">
        <v>0</v>
      </c>
      <c r="Y85" s="19">
        <v>0</v>
      </c>
      <c r="Z85" s="19">
        <v>-7</v>
      </c>
      <c r="AA85" s="19">
        <v>40</v>
      </c>
      <c r="AB85" s="51">
        <v>0.73472222222222217</v>
      </c>
      <c r="AC85" s="56">
        <v>4</v>
      </c>
      <c r="AD85" s="11">
        <v>3.4277777777777776</v>
      </c>
      <c r="AE85" s="10">
        <v>0</v>
      </c>
      <c r="AF85" s="10">
        <v>0</v>
      </c>
      <c r="AG85" s="10">
        <v>0</v>
      </c>
      <c r="AH85" s="10">
        <v>7</v>
      </c>
      <c r="AI85" s="10" t="s">
        <v>78</v>
      </c>
      <c r="AJ85" s="10">
        <v>0</v>
      </c>
      <c r="AK85" s="10">
        <v>0</v>
      </c>
      <c r="AL85" s="10">
        <v>0</v>
      </c>
      <c r="AM85" s="10">
        <v>0</v>
      </c>
      <c r="AN85" s="10">
        <v>-1</v>
      </c>
      <c r="AO85" s="10">
        <v>4</v>
      </c>
      <c r="AP85" s="13">
        <v>0.8569444444444444</v>
      </c>
      <c r="AQ85" s="85">
        <v>12</v>
      </c>
      <c r="AR85" s="88">
        <v>10.52361111111111</v>
      </c>
      <c r="AS85" s="90">
        <v>4</v>
      </c>
      <c r="AT85" s="90">
        <v>1</v>
      </c>
      <c r="AU85" s="90">
        <v>5</v>
      </c>
      <c r="AV85" s="90">
        <v>28</v>
      </c>
      <c r="AW85" s="90" t="s">
        <v>215</v>
      </c>
      <c r="AX85" s="90">
        <v>1</v>
      </c>
      <c r="AY85" s="90">
        <v>2</v>
      </c>
      <c r="AZ85" s="90">
        <v>0</v>
      </c>
      <c r="BA85" s="90">
        <v>1</v>
      </c>
      <c r="BB85" s="90">
        <v>2</v>
      </c>
      <c r="BC85" s="90">
        <v>12</v>
      </c>
      <c r="BD85" s="93">
        <v>0.87638888888888899</v>
      </c>
    </row>
    <row r="86" spans="1:56" ht="28.2" thickBot="1" x14ac:dyDescent="0.35">
      <c r="A86" s="24" t="s">
        <v>117</v>
      </c>
      <c r="B86" s="19" t="s">
        <v>80</v>
      </c>
      <c r="C86" s="19" t="s">
        <v>79</v>
      </c>
      <c r="D86" s="19">
        <v>27</v>
      </c>
      <c r="E86" s="19">
        <v>11</v>
      </c>
      <c r="F86" s="19">
        <v>12</v>
      </c>
      <c r="G86" s="19">
        <v>23</v>
      </c>
      <c r="H86" s="20">
        <v>0.85185185185185186</v>
      </c>
      <c r="I86" s="49">
        <v>-3</v>
      </c>
      <c r="J86" s="59">
        <v>-0.1111111111111111</v>
      </c>
      <c r="K86" s="49">
        <v>65</v>
      </c>
      <c r="L86" s="20">
        <v>2.4074074074074074</v>
      </c>
      <c r="M86" s="49">
        <v>16</v>
      </c>
      <c r="N86" s="50">
        <v>9</v>
      </c>
      <c r="O86" s="21">
        <v>6.3312499999999998</v>
      </c>
      <c r="P86" s="19">
        <v>4</v>
      </c>
      <c r="Q86" s="19">
        <v>7</v>
      </c>
      <c r="R86" s="19">
        <v>11</v>
      </c>
      <c r="S86" s="20">
        <v>1.2222222222222223</v>
      </c>
      <c r="T86" s="19">
        <v>18</v>
      </c>
      <c r="U86" s="20">
        <v>22.222222222222221</v>
      </c>
      <c r="V86" s="19">
        <v>2</v>
      </c>
      <c r="W86" s="19">
        <v>4</v>
      </c>
      <c r="X86" s="19">
        <v>0</v>
      </c>
      <c r="Y86" s="19">
        <v>1</v>
      </c>
      <c r="Z86" s="19">
        <v>2</v>
      </c>
      <c r="AA86" s="19">
        <v>4</v>
      </c>
      <c r="AB86" s="51">
        <v>0.70347222222222217</v>
      </c>
      <c r="AC86" s="56">
        <v>6</v>
      </c>
      <c r="AD86" s="11">
        <v>3.4368055555555554</v>
      </c>
      <c r="AE86" s="10">
        <v>3</v>
      </c>
      <c r="AF86" s="10">
        <v>1</v>
      </c>
      <c r="AG86" s="10">
        <v>4</v>
      </c>
      <c r="AH86" s="10">
        <v>10</v>
      </c>
      <c r="AI86" s="10" t="s">
        <v>125</v>
      </c>
      <c r="AJ86" s="10">
        <v>1</v>
      </c>
      <c r="AK86" s="10">
        <v>2</v>
      </c>
      <c r="AL86" s="10">
        <v>1</v>
      </c>
      <c r="AM86" s="10">
        <v>0</v>
      </c>
      <c r="AN86" s="10">
        <v>-1</v>
      </c>
      <c r="AO86" s="10">
        <v>4</v>
      </c>
      <c r="AP86" s="13">
        <v>0.57222222222222219</v>
      </c>
      <c r="AQ86" s="76">
        <v>12</v>
      </c>
      <c r="AR86" s="77">
        <v>9.0881944444444454</v>
      </c>
      <c r="AS86" s="78">
        <v>4</v>
      </c>
      <c r="AT86" s="78">
        <v>4</v>
      </c>
      <c r="AU86" s="78">
        <v>8</v>
      </c>
      <c r="AV86" s="78">
        <v>37</v>
      </c>
      <c r="AW86" s="80">
        <v>29860</v>
      </c>
      <c r="AX86" s="78">
        <v>2</v>
      </c>
      <c r="AY86" s="78">
        <v>5</v>
      </c>
      <c r="AZ86" s="78">
        <v>0</v>
      </c>
      <c r="BA86" s="78">
        <v>1</v>
      </c>
      <c r="BB86" s="78">
        <v>-4</v>
      </c>
      <c r="BC86" s="78">
        <v>8</v>
      </c>
      <c r="BD86" s="79">
        <v>0.75694444444444453</v>
      </c>
    </row>
    <row r="87" spans="1:56" ht="28.2" thickBot="1" x14ac:dyDescent="0.35">
      <c r="A87" s="24" t="s">
        <v>114</v>
      </c>
      <c r="B87" s="19" t="s">
        <v>80</v>
      </c>
      <c r="C87" s="19" t="s">
        <v>79</v>
      </c>
      <c r="D87" s="19">
        <v>51</v>
      </c>
      <c r="E87" s="19">
        <v>10</v>
      </c>
      <c r="F87" s="19">
        <v>7</v>
      </c>
      <c r="G87" s="19">
        <v>17</v>
      </c>
      <c r="H87" s="20">
        <v>0.33333333333333331</v>
      </c>
      <c r="I87" s="49">
        <v>-17</v>
      </c>
      <c r="J87" s="59">
        <v>-0.33333333333333331</v>
      </c>
      <c r="K87" s="49">
        <v>109</v>
      </c>
      <c r="L87" s="20">
        <v>2.1372549019607843</v>
      </c>
      <c r="M87" s="49">
        <v>20</v>
      </c>
      <c r="N87" s="50">
        <v>35</v>
      </c>
      <c r="O87" s="21">
        <v>26.632638888888888</v>
      </c>
      <c r="P87" s="19">
        <v>7</v>
      </c>
      <c r="Q87" s="19">
        <v>6</v>
      </c>
      <c r="R87" s="19">
        <v>13</v>
      </c>
      <c r="S87" s="20">
        <v>0.37142857142857144</v>
      </c>
      <c r="T87" s="19">
        <v>79</v>
      </c>
      <c r="U87" s="20">
        <v>8.8607594936708853</v>
      </c>
      <c r="V87" s="19">
        <v>2</v>
      </c>
      <c r="W87" s="19">
        <v>4</v>
      </c>
      <c r="X87" s="19">
        <v>1</v>
      </c>
      <c r="Y87" s="19">
        <v>1</v>
      </c>
      <c r="Z87" s="19">
        <v>-12</v>
      </c>
      <c r="AA87" s="19">
        <v>18</v>
      </c>
      <c r="AB87" s="51">
        <v>0.76041666666666663</v>
      </c>
      <c r="AC87" s="56">
        <v>5</v>
      </c>
      <c r="AD87" s="11">
        <v>3.4805555555555556</v>
      </c>
      <c r="AE87" s="10">
        <v>0</v>
      </c>
      <c r="AF87" s="10">
        <v>1</v>
      </c>
      <c r="AG87" s="10">
        <v>1</v>
      </c>
      <c r="AH87" s="10">
        <v>6</v>
      </c>
      <c r="AI87" s="10" t="s">
        <v>78</v>
      </c>
      <c r="AJ87" s="10">
        <v>0</v>
      </c>
      <c r="AK87" s="10">
        <v>0</v>
      </c>
      <c r="AL87" s="10">
        <v>0</v>
      </c>
      <c r="AM87" s="10">
        <v>0</v>
      </c>
      <c r="AN87" s="10">
        <v>-1</v>
      </c>
      <c r="AO87" s="10">
        <v>0</v>
      </c>
      <c r="AP87" s="13">
        <v>0.6958333333333333</v>
      </c>
      <c r="AQ87" s="76">
        <v>11</v>
      </c>
      <c r="AR87" s="77">
        <v>6.8694444444444445</v>
      </c>
      <c r="AS87" s="78">
        <v>3</v>
      </c>
      <c r="AT87" s="78">
        <v>0</v>
      </c>
      <c r="AU87" s="78">
        <v>3</v>
      </c>
      <c r="AV87" s="78">
        <v>24</v>
      </c>
      <c r="AW87" s="80">
        <v>18598</v>
      </c>
      <c r="AX87" s="78">
        <v>1</v>
      </c>
      <c r="AY87" s="78">
        <v>1</v>
      </c>
      <c r="AZ87" s="78">
        <v>0</v>
      </c>
      <c r="BA87" s="78">
        <v>0</v>
      </c>
      <c r="BB87" s="78">
        <v>-4</v>
      </c>
      <c r="BC87" s="78">
        <v>2</v>
      </c>
      <c r="BD87" s="79">
        <v>0.62430555555555556</v>
      </c>
    </row>
    <row r="88" spans="1:56" ht="27.6" x14ac:dyDescent="0.3">
      <c r="A88" s="24" t="s">
        <v>103</v>
      </c>
      <c r="B88" s="19" t="s">
        <v>80</v>
      </c>
      <c r="C88" s="19" t="s">
        <v>79</v>
      </c>
      <c r="D88" s="19">
        <v>52</v>
      </c>
      <c r="E88" s="19">
        <v>9</v>
      </c>
      <c r="F88" s="19">
        <v>4</v>
      </c>
      <c r="G88" s="19">
        <v>13</v>
      </c>
      <c r="H88" s="20">
        <v>0.25</v>
      </c>
      <c r="I88" s="49">
        <v>4</v>
      </c>
      <c r="J88" s="59">
        <v>7.6923076923076927E-2</v>
      </c>
      <c r="K88" s="49">
        <v>99</v>
      </c>
      <c r="L88" s="20">
        <v>1.9038461538461537</v>
      </c>
      <c r="M88" s="49">
        <v>30</v>
      </c>
      <c r="N88" s="50">
        <v>38</v>
      </c>
      <c r="O88" s="21">
        <v>25.423611111111111</v>
      </c>
      <c r="P88" s="19">
        <v>6</v>
      </c>
      <c r="Q88" s="19">
        <v>3</v>
      </c>
      <c r="R88" s="19">
        <v>9</v>
      </c>
      <c r="S88" s="20">
        <v>0.23684210526315788</v>
      </c>
      <c r="T88" s="19">
        <v>81</v>
      </c>
      <c r="U88" s="20">
        <v>7.4074074074074066</v>
      </c>
      <c r="V88" s="19">
        <v>2</v>
      </c>
      <c r="W88" s="19">
        <v>3</v>
      </c>
      <c r="X88" s="19">
        <v>0</v>
      </c>
      <c r="Y88" s="19">
        <v>1</v>
      </c>
      <c r="Z88" s="19">
        <v>-2</v>
      </c>
      <c r="AA88" s="19">
        <v>24</v>
      </c>
      <c r="AB88" s="51">
        <v>0.66875000000000007</v>
      </c>
      <c r="AC88" s="56">
        <v>5</v>
      </c>
      <c r="AD88" s="11">
        <v>2.5881944444444445</v>
      </c>
      <c r="AE88" s="10">
        <v>1</v>
      </c>
      <c r="AF88" s="10">
        <v>1</v>
      </c>
      <c r="AG88" s="10">
        <v>2</v>
      </c>
      <c r="AH88" s="10">
        <v>5</v>
      </c>
      <c r="AI88" s="10">
        <v>20</v>
      </c>
      <c r="AJ88" s="10">
        <v>1</v>
      </c>
      <c r="AK88" s="10">
        <v>2</v>
      </c>
      <c r="AL88" s="10">
        <v>0</v>
      </c>
      <c r="AM88" s="10">
        <v>0</v>
      </c>
      <c r="AN88" s="10">
        <v>1</v>
      </c>
      <c r="AO88" s="10">
        <v>0</v>
      </c>
      <c r="AP88" s="13">
        <v>0.51736111111111105</v>
      </c>
      <c r="AQ88" s="76">
        <v>9</v>
      </c>
      <c r="AR88" s="77">
        <v>4.8909722222222225</v>
      </c>
      <c r="AS88" s="78">
        <v>2</v>
      </c>
      <c r="AT88" s="78">
        <v>0</v>
      </c>
      <c r="AU88" s="78">
        <v>2</v>
      </c>
      <c r="AV88" s="78">
        <v>13</v>
      </c>
      <c r="AW88" s="78" t="s">
        <v>216</v>
      </c>
      <c r="AX88" s="78">
        <v>0</v>
      </c>
      <c r="AY88" s="78">
        <v>0</v>
      </c>
      <c r="AZ88" s="78">
        <v>0</v>
      </c>
      <c r="BA88" s="78">
        <v>0</v>
      </c>
      <c r="BB88" s="78">
        <v>5</v>
      </c>
      <c r="BC88" s="78">
        <v>6</v>
      </c>
      <c r="BD88" s="79">
        <v>0.54305555555555551</v>
      </c>
    </row>
    <row r="89" spans="1:56" ht="27.6" x14ac:dyDescent="0.3">
      <c r="A89" s="24" t="s">
        <v>115</v>
      </c>
      <c r="B89" s="19" t="s">
        <v>80</v>
      </c>
      <c r="C89" s="19" t="s">
        <v>79</v>
      </c>
      <c r="D89" s="19">
        <v>54</v>
      </c>
      <c r="E89" s="19">
        <v>4</v>
      </c>
      <c r="F89" s="19">
        <v>7</v>
      </c>
      <c r="G89" s="19">
        <v>11</v>
      </c>
      <c r="H89" s="20">
        <v>0.20370370370370369</v>
      </c>
      <c r="I89" s="49">
        <v>-10</v>
      </c>
      <c r="J89" s="59">
        <v>-0.18518518518518517</v>
      </c>
      <c r="K89" s="49">
        <v>74</v>
      </c>
      <c r="L89" s="20">
        <v>1.3703703703703705</v>
      </c>
      <c r="M89" s="49">
        <v>32</v>
      </c>
      <c r="N89" s="50">
        <v>42</v>
      </c>
      <c r="O89" s="21">
        <v>22.477083333333336</v>
      </c>
      <c r="P89" s="19">
        <v>2</v>
      </c>
      <c r="Q89" s="19">
        <v>5</v>
      </c>
      <c r="R89" s="19">
        <v>7</v>
      </c>
      <c r="S89" s="20">
        <v>0.16666666666666666</v>
      </c>
      <c r="T89" s="19">
        <v>51</v>
      </c>
      <c r="U89" s="20">
        <v>3.9215686274509802</v>
      </c>
      <c r="V89" s="19">
        <v>0</v>
      </c>
      <c r="W89" s="19">
        <v>0</v>
      </c>
      <c r="X89" s="19">
        <v>0</v>
      </c>
      <c r="Y89" s="19">
        <v>0</v>
      </c>
      <c r="Z89" s="19">
        <v>-10</v>
      </c>
      <c r="AA89" s="19">
        <v>26</v>
      </c>
      <c r="AB89" s="51">
        <v>0.53472222222222221</v>
      </c>
      <c r="AC89" s="56">
        <v>5</v>
      </c>
      <c r="AD89" s="11">
        <v>3.5805555555555557</v>
      </c>
      <c r="AE89" s="10">
        <v>1</v>
      </c>
      <c r="AF89" s="10">
        <v>1</v>
      </c>
      <c r="AG89" s="10">
        <v>2</v>
      </c>
      <c r="AH89" s="10">
        <v>9</v>
      </c>
      <c r="AI89" s="23">
        <v>43415</v>
      </c>
      <c r="AJ89" s="10">
        <v>1</v>
      </c>
      <c r="AK89" s="10">
        <v>2</v>
      </c>
      <c r="AL89" s="10">
        <v>0</v>
      </c>
      <c r="AM89" s="10">
        <v>1</v>
      </c>
      <c r="AN89" s="10">
        <v>1</v>
      </c>
      <c r="AO89" s="10">
        <v>4</v>
      </c>
      <c r="AP89" s="13">
        <v>0.71597222222222223</v>
      </c>
      <c r="AQ89" s="85">
        <v>7</v>
      </c>
      <c r="AR89" s="88">
        <v>4.0965277777777773</v>
      </c>
      <c r="AS89" s="90">
        <v>1</v>
      </c>
      <c r="AT89" s="90">
        <v>1</v>
      </c>
      <c r="AU89" s="90">
        <v>2</v>
      </c>
      <c r="AV89" s="90">
        <v>14</v>
      </c>
      <c r="AW89" s="91">
        <v>41821</v>
      </c>
      <c r="AX89" s="90">
        <v>1</v>
      </c>
      <c r="AY89" s="90">
        <v>2</v>
      </c>
      <c r="AZ89" s="90">
        <v>0</v>
      </c>
      <c r="BA89" s="90">
        <v>0</v>
      </c>
      <c r="BB89" s="90">
        <v>-1</v>
      </c>
      <c r="BC89" s="90">
        <v>2</v>
      </c>
      <c r="BD89" s="93">
        <v>0.58472222222222225</v>
      </c>
    </row>
    <row r="90" spans="1:56" ht="27.6" x14ac:dyDescent="0.3">
      <c r="A90" s="24" t="s">
        <v>108</v>
      </c>
      <c r="B90" s="19" t="s">
        <v>80</v>
      </c>
      <c r="C90" s="19" t="s">
        <v>79</v>
      </c>
      <c r="D90" s="19">
        <v>59</v>
      </c>
      <c r="E90" s="19">
        <v>14</v>
      </c>
      <c r="F90" s="19">
        <v>12</v>
      </c>
      <c r="G90" s="19">
        <v>26</v>
      </c>
      <c r="H90" s="20">
        <v>0.44067796610169491</v>
      </c>
      <c r="I90" s="49">
        <v>0</v>
      </c>
      <c r="J90" s="59">
        <v>0</v>
      </c>
      <c r="K90" s="49">
        <v>74</v>
      </c>
      <c r="L90" s="20">
        <v>1.2542372881355932</v>
      </c>
      <c r="M90" s="49">
        <v>10</v>
      </c>
      <c r="N90" s="50">
        <v>47</v>
      </c>
      <c r="O90" s="21">
        <v>34.674305555555556</v>
      </c>
      <c r="P90" s="19">
        <v>13</v>
      </c>
      <c r="Q90" s="19">
        <v>9</v>
      </c>
      <c r="R90" s="19">
        <v>22</v>
      </c>
      <c r="S90" s="20">
        <v>0.46808510638297873</v>
      </c>
      <c r="T90" s="19">
        <v>58</v>
      </c>
      <c r="U90" s="20">
        <v>22.413793103448278</v>
      </c>
      <c r="V90" s="19">
        <v>2</v>
      </c>
      <c r="W90" s="19">
        <v>5</v>
      </c>
      <c r="X90" s="19">
        <v>2</v>
      </c>
      <c r="Y90" s="19">
        <v>1</v>
      </c>
      <c r="Z90" s="19">
        <v>-1</v>
      </c>
      <c r="AA90" s="19">
        <v>8</v>
      </c>
      <c r="AB90" s="51">
        <v>0.73749999999999993</v>
      </c>
      <c r="AC90" s="56">
        <v>1</v>
      </c>
      <c r="AD90" s="12">
        <v>0.43611111111111112</v>
      </c>
      <c r="AE90" s="10">
        <v>0</v>
      </c>
      <c r="AF90" s="10">
        <v>0</v>
      </c>
      <c r="AG90" s="10">
        <v>0</v>
      </c>
      <c r="AH90" s="10">
        <v>0</v>
      </c>
      <c r="AI90" s="10" t="s">
        <v>78</v>
      </c>
      <c r="AJ90" s="10">
        <v>0</v>
      </c>
      <c r="AK90" s="10">
        <v>0</v>
      </c>
      <c r="AL90" s="10">
        <v>0</v>
      </c>
      <c r="AM90" s="10">
        <v>0</v>
      </c>
      <c r="AN90" s="10">
        <v>-1</v>
      </c>
      <c r="AO90" s="10">
        <v>0</v>
      </c>
      <c r="AP90" s="13">
        <v>0.43611111111111112</v>
      </c>
      <c r="AQ90" s="85">
        <v>11</v>
      </c>
      <c r="AR90" s="88">
        <v>9.0326388888888882</v>
      </c>
      <c r="AS90" s="90">
        <v>1</v>
      </c>
      <c r="AT90" s="90">
        <v>3</v>
      </c>
      <c r="AU90" s="90">
        <v>4</v>
      </c>
      <c r="AV90" s="90">
        <v>16</v>
      </c>
      <c r="AW90" s="91">
        <v>45809</v>
      </c>
      <c r="AX90" s="90">
        <v>0</v>
      </c>
      <c r="AY90" s="90">
        <v>0</v>
      </c>
      <c r="AZ90" s="90">
        <v>0</v>
      </c>
      <c r="BA90" s="90">
        <v>1</v>
      </c>
      <c r="BB90" s="90">
        <v>2</v>
      </c>
      <c r="BC90" s="90">
        <v>2</v>
      </c>
      <c r="BD90" s="93">
        <v>0.8208333333333333</v>
      </c>
    </row>
    <row r="91" spans="1:56" ht="27.6" x14ac:dyDescent="0.3">
      <c r="A91" s="24" t="s">
        <v>124</v>
      </c>
      <c r="B91" s="19" t="s">
        <v>80</v>
      </c>
      <c r="C91" s="19" t="s">
        <v>79</v>
      </c>
      <c r="D91" s="19">
        <v>59</v>
      </c>
      <c r="E91" s="19">
        <v>17</v>
      </c>
      <c r="F91" s="19">
        <v>30</v>
      </c>
      <c r="G91" s="19">
        <v>47</v>
      </c>
      <c r="H91" s="20">
        <v>0.79661016949152541</v>
      </c>
      <c r="I91" s="49">
        <v>8</v>
      </c>
      <c r="J91" s="59">
        <v>0.13559322033898305</v>
      </c>
      <c r="K91" s="49">
        <v>138</v>
      </c>
      <c r="L91" s="20">
        <v>2.3389830508474576</v>
      </c>
      <c r="M91" s="49">
        <v>48</v>
      </c>
      <c r="N91" s="50">
        <v>42</v>
      </c>
      <c r="O91" s="21">
        <v>32.271527777777777</v>
      </c>
      <c r="P91" s="19">
        <v>13</v>
      </c>
      <c r="Q91" s="19">
        <v>21</v>
      </c>
      <c r="R91" s="19">
        <v>34</v>
      </c>
      <c r="S91" s="20">
        <v>0.80952380952380953</v>
      </c>
      <c r="T91" s="19">
        <v>101</v>
      </c>
      <c r="U91" s="20">
        <v>12.871287128712872</v>
      </c>
      <c r="V91" s="19">
        <v>7</v>
      </c>
      <c r="W91" s="19">
        <v>15</v>
      </c>
      <c r="X91" s="19">
        <v>0</v>
      </c>
      <c r="Y91" s="19">
        <v>2</v>
      </c>
      <c r="Z91" s="19">
        <v>6</v>
      </c>
      <c r="AA91" s="19">
        <v>28</v>
      </c>
      <c r="AB91" s="51">
        <v>0.7680555555555556</v>
      </c>
      <c r="AC91" s="56">
        <v>5</v>
      </c>
      <c r="AD91" s="11">
        <v>3.5402777777777779</v>
      </c>
      <c r="AE91" s="10">
        <v>0</v>
      </c>
      <c r="AF91" s="10">
        <v>3</v>
      </c>
      <c r="AG91" s="10">
        <v>3</v>
      </c>
      <c r="AH91" s="10">
        <v>12</v>
      </c>
      <c r="AI91" s="10" t="s">
        <v>78</v>
      </c>
      <c r="AJ91" s="10">
        <v>0</v>
      </c>
      <c r="AK91" s="10">
        <v>2</v>
      </c>
      <c r="AL91" s="10">
        <v>0</v>
      </c>
      <c r="AM91" s="10">
        <v>0</v>
      </c>
      <c r="AN91" s="10">
        <v>2</v>
      </c>
      <c r="AO91" s="10">
        <v>10</v>
      </c>
      <c r="AP91" s="13">
        <v>0.70763888888888893</v>
      </c>
      <c r="AQ91" s="85">
        <v>12</v>
      </c>
      <c r="AR91" s="88">
        <v>9.40625</v>
      </c>
      <c r="AS91" s="90">
        <v>4</v>
      </c>
      <c r="AT91" s="90">
        <v>6</v>
      </c>
      <c r="AU91" s="90">
        <v>10</v>
      </c>
      <c r="AV91" s="90">
        <v>25</v>
      </c>
      <c r="AW91" s="90" t="s">
        <v>214</v>
      </c>
      <c r="AX91" s="90">
        <v>0</v>
      </c>
      <c r="AY91" s="90">
        <v>5</v>
      </c>
      <c r="AZ91" s="90">
        <v>0</v>
      </c>
      <c r="BA91" s="90">
        <v>0</v>
      </c>
      <c r="BB91" s="90">
        <v>0</v>
      </c>
      <c r="BC91" s="90">
        <v>10</v>
      </c>
      <c r="BD91" s="93">
        <v>0.78333333333333333</v>
      </c>
    </row>
    <row r="92" spans="1:56" ht="27.6" x14ac:dyDescent="0.3">
      <c r="A92" s="24" t="s">
        <v>122</v>
      </c>
      <c r="B92" s="19" t="s">
        <v>80</v>
      </c>
      <c r="C92" s="19" t="s">
        <v>79</v>
      </c>
      <c r="D92" s="19">
        <v>60</v>
      </c>
      <c r="E92" s="19">
        <v>19</v>
      </c>
      <c r="F92" s="19">
        <v>30</v>
      </c>
      <c r="G92" s="19">
        <v>49</v>
      </c>
      <c r="H92" s="20">
        <v>0.81666666666666665</v>
      </c>
      <c r="I92" s="49">
        <v>6</v>
      </c>
      <c r="J92" s="59">
        <v>0.1</v>
      </c>
      <c r="K92" s="49">
        <v>166</v>
      </c>
      <c r="L92" s="20">
        <v>2.7666666666666666</v>
      </c>
      <c r="M92" s="49">
        <v>75</v>
      </c>
      <c r="N92" s="50">
        <v>45</v>
      </c>
      <c r="O92" s="21">
        <v>35.107638888888893</v>
      </c>
      <c r="P92" s="19">
        <v>15</v>
      </c>
      <c r="Q92" s="19">
        <v>24</v>
      </c>
      <c r="R92" s="19">
        <v>39</v>
      </c>
      <c r="S92" s="20">
        <v>0.8666666666666667</v>
      </c>
      <c r="T92" s="19">
        <v>135</v>
      </c>
      <c r="U92" s="20">
        <v>11.111111111111111</v>
      </c>
      <c r="V92" s="19">
        <v>5</v>
      </c>
      <c r="W92" s="19">
        <v>16</v>
      </c>
      <c r="X92" s="19">
        <v>1</v>
      </c>
      <c r="Y92" s="19">
        <v>2</v>
      </c>
      <c r="Z92" s="19">
        <v>6</v>
      </c>
      <c r="AA92" s="19">
        <v>34</v>
      </c>
      <c r="AB92" s="51">
        <v>0.77986111111111101</v>
      </c>
      <c r="AC92" s="56">
        <v>3</v>
      </c>
      <c r="AD92" s="11">
        <v>2.1013888888888888</v>
      </c>
      <c r="AE92" s="10">
        <v>1</v>
      </c>
      <c r="AF92" s="10">
        <v>1</v>
      </c>
      <c r="AG92" s="10">
        <v>2</v>
      </c>
      <c r="AH92" s="10">
        <v>10</v>
      </c>
      <c r="AI92" s="10" t="s">
        <v>121</v>
      </c>
      <c r="AJ92" s="10">
        <v>0</v>
      </c>
      <c r="AK92" s="10">
        <v>0</v>
      </c>
      <c r="AL92" s="10">
        <v>0</v>
      </c>
      <c r="AM92" s="10">
        <v>0</v>
      </c>
      <c r="AN92" s="10">
        <v>1</v>
      </c>
      <c r="AO92" s="10">
        <v>25</v>
      </c>
      <c r="AP92" s="13">
        <v>0.70000000000000007</v>
      </c>
      <c r="AQ92" s="85">
        <v>12</v>
      </c>
      <c r="AR92" s="88">
        <v>9.1840277777777768</v>
      </c>
      <c r="AS92" s="90">
        <v>3</v>
      </c>
      <c r="AT92" s="90">
        <v>5</v>
      </c>
      <c r="AU92" s="90">
        <v>8</v>
      </c>
      <c r="AV92" s="90">
        <v>21</v>
      </c>
      <c r="AW92" s="90" t="s">
        <v>215</v>
      </c>
      <c r="AX92" s="90">
        <v>3</v>
      </c>
      <c r="AY92" s="90">
        <v>4</v>
      </c>
      <c r="AZ92" s="90">
        <v>0</v>
      </c>
      <c r="BA92" s="90">
        <v>0</v>
      </c>
      <c r="BB92" s="90">
        <v>-1</v>
      </c>
      <c r="BC92" s="90">
        <v>16</v>
      </c>
      <c r="BD92" s="93">
        <v>0.76527777777777783</v>
      </c>
    </row>
    <row r="93" spans="1:56" ht="27.6" x14ac:dyDescent="0.3">
      <c r="A93" s="24" t="s">
        <v>106</v>
      </c>
      <c r="B93" s="19" t="s">
        <v>80</v>
      </c>
      <c r="C93" s="19" t="s">
        <v>79</v>
      </c>
      <c r="D93" s="19">
        <v>62</v>
      </c>
      <c r="E93" s="19">
        <v>4</v>
      </c>
      <c r="F93" s="19">
        <v>4</v>
      </c>
      <c r="G93" s="19">
        <v>8</v>
      </c>
      <c r="H93" s="20">
        <v>0.12903225806451613</v>
      </c>
      <c r="I93" s="49">
        <v>-10</v>
      </c>
      <c r="J93" s="59">
        <v>-0.16129032258064516</v>
      </c>
      <c r="K93" s="49">
        <v>73</v>
      </c>
      <c r="L93" s="20">
        <v>1.1774193548387097</v>
      </c>
      <c r="M93" s="49">
        <v>26</v>
      </c>
      <c r="N93" s="50">
        <v>46</v>
      </c>
      <c r="O93" s="21">
        <v>21.640972222222221</v>
      </c>
      <c r="P93" s="19">
        <v>2</v>
      </c>
      <c r="Q93" s="19">
        <v>3</v>
      </c>
      <c r="R93" s="19">
        <v>5</v>
      </c>
      <c r="S93" s="20">
        <v>0.10869565217391304</v>
      </c>
      <c r="T93" s="19">
        <v>46</v>
      </c>
      <c r="U93" s="20">
        <v>4.3478260869565215</v>
      </c>
      <c r="V93" s="19">
        <v>0</v>
      </c>
      <c r="W93" s="19">
        <v>0</v>
      </c>
      <c r="X93" s="19">
        <v>0</v>
      </c>
      <c r="Y93" s="19">
        <v>0</v>
      </c>
      <c r="Z93" s="19">
        <v>-9</v>
      </c>
      <c r="AA93" s="19">
        <v>20</v>
      </c>
      <c r="AB93" s="51">
        <v>0.47013888888888888</v>
      </c>
      <c r="AC93" s="56">
        <v>4</v>
      </c>
      <c r="AD93" s="11">
        <v>2.0625</v>
      </c>
      <c r="AE93" s="10">
        <v>1</v>
      </c>
      <c r="AF93" s="10">
        <v>0</v>
      </c>
      <c r="AG93" s="10">
        <v>1</v>
      </c>
      <c r="AH93" s="10">
        <v>9</v>
      </c>
      <c r="AI93" s="10">
        <v>11.11</v>
      </c>
      <c r="AJ93" s="10">
        <v>0</v>
      </c>
      <c r="AK93" s="10">
        <v>0</v>
      </c>
      <c r="AL93" s="10">
        <v>0</v>
      </c>
      <c r="AM93" s="10">
        <v>0</v>
      </c>
      <c r="AN93" s="10">
        <v>-1</v>
      </c>
      <c r="AO93" s="10">
        <v>2</v>
      </c>
      <c r="AP93" s="13">
        <v>0.51527777777777783</v>
      </c>
      <c r="AQ93" s="85">
        <v>12</v>
      </c>
      <c r="AR93" s="88">
        <v>5.7138888888888886</v>
      </c>
      <c r="AS93" s="90">
        <v>1</v>
      </c>
      <c r="AT93" s="90">
        <v>1</v>
      </c>
      <c r="AU93" s="90">
        <v>2</v>
      </c>
      <c r="AV93" s="90">
        <v>18</v>
      </c>
      <c r="AW93" s="91">
        <v>20576</v>
      </c>
      <c r="AX93" s="90">
        <v>0</v>
      </c>
      <c r="AY93" s="90">
        <v>0</v>
      </c>
      <c r="AZ93" s="90">
        <v>0</v>
      </c>
      <c r="BA93" s="90">
        <v>1</v>
      </c>
      <c r="BB93" s="90">
        <v>0</v>
      </c>
      <c r="BC93" s="90">
        <v>4</v>
      </c>
      <c r="BD93" s="93">
        <v>0.47569444444444442</v>
      </c>
    </row>
    <row r="94" spans="1:56" ht="28.2" thickBot="1" x14ac:dyDescent="0.35">
      <c r="A94" s="24" t="s">
        <v>100</v>
      </c>
      <c r="B94" s="19" t="s">
        <v>80</v>
      </c>
      <c r="C94" s="19" t="s">
        <v>79</v>
      </c>
      <c r="D94" s="19">
        <v>64</v>
      </c>
      <c r="E94" s="19">
        <v>7</v>
      </c>
      <c r="F94" s="19">
        <v>15</v>
      </c>
      <c r="G94" s="19">
        <v>22</v>
      </c>
      <c r="H94" s="20">
        <v>0.34375</v>
      </c>
      <c r="I94" s="49">
        <v>-11</v>
      </c>
      <c r="J94" s="59">
        <v>-0.171875</v>
      </c>
      <c r="K94" s="49">
        <v>71</v>
      </c>
      <c r="L94" s="20">
        <v>1.109375</v>
      </c>
      <c r="M94" s="49">
        <v>32</v>
      </c>
      <c r="N94" s="50">
        <v>49</v>
      </c>
      <c r="O94" s="21">
        <v>30.990277777777777</v>
      </c>
      <c r="P94" s="19">
        <v>7</v>
      </c>
      <c r="Q94" s="19">
        <v>13</v>
      </c>
      <c r="R94" s="19">
        <v>20</v>
      </c>
      <c r="S94" s="20">
        <v>0.40816326530612246</v>
      </c>
      <c r="T94" s="19">
        <v>55</v>
      </c>
      <c r="U94" s="20">
        <v>12.727272727272727</v>
      </c>
      <c r="V94" s="19">
        <v>0</v>
      </c>
      <c r="W94" s="19">
        <v>5</v>
      </c>
      <c r="X94" s="19">
        <v>1</v>
      </c>
      <c r="Y94" s="19">
        <v>0</v>
      </c>
      <c r="Z94" s="19">
        <v>-8</v>
      </c>
      <c r="AA94" s="19">
        <v>30</v>
      </c>
      <c r="AB94" s="51">
        <v>0.63194444444444442</v>
      </c>
      <c r="AC94" s="56">
        <v>5</v>
      </c>
      <c r="AD94" s="11">
        <v>2.6812499999999999</v>
      </c>
      <c r="AE94" s="10">
        <v>0</v>
      </c>
      <c r="AF94" s="10">
        <v>0</v>
      </c>
      <c r="AG94" s="10">
        <v>0</v>
      </c>
      <c r="AH94" s="10">
        <v>5</v>
      </c>
      <c r="AI94" s="10" t="s">
        <v>78</v>
      </c>
      <c r="AJ94" s="10">
        <v>0</v>
      </c>
      <c r="AK94" s="10">
        <v>0</v>
      </c>
      <c r="AL94" s="10">
        <v>0</v>
      </c>
      <c r="AM94" s="10">
        <v>0</v>
      </c>
      <c r="AN94" s="10">
        <v>1</v>
      </c>
      <c r="AO94" s="10">
        <v>0</v>
      </c>
      <c r="AP94" s="13">
        <v>0.53611111111111109</v>
      </c>
      <c r="AQ94" s="85">
        <v>10</v>
      </c>
      <c r="AR94" s="88">
        <v>6.0145833333333334</v>
      </c>
      <c r="AS94" s="90">
        <v>0</v>
      </c>
      <c r="AT94" s="90">
        <v>2</v>
      </c>
      <c r="AU94" s="90">
        <v>2</v>
      </c>
      <c r="AV94" s="90">
        <v>11</v>
      </c>
      <c r="AW94" s="90" t="s">
        <v>78</v>
      </c>
      <c r="AX94" s="90">
        <v>0</v>
      </c>
      <c r="AY94" s="90">
        <v>0</v>
      </c>
      <c r="AZ94" s="90">
        <v>0</v>
      </c>
      <c r="BA94" s="90">
        <v>0</v>
      </c>
      <c r="BB94" s="90">
        <v>-4</v>
      </c>
      <c r="BC94" s="90">
        <v>2</v>
      </c>
      <c r="BD94" s="93">
        <v>0.60138888888888886</v>
      </c>
    </row>
    <row r="95" spans="1:56" ht="28.2" thickBot="1" x14ac:dyDescent="0.35">
      <c r="A95" s="24" t="s">
        <v>111</v>
      </c>
      <c r="B95" s="19" t="s">
        <v>80</v>
      </c>
      <c r="C95" s="19" t="s">
        <v>79</v>
      </c>
      <c r="D95" s="19">
        <v>70</v>
      </c>
      <c r="E95" s="19">
        <v>8</v>
      </c>
      <c r="F95" s="19">
        <v>11</v>
      </c>
      <c r="G95" s="19">
        <v>19</v>
      </c>
      <c r="H95" s="20">
        <v>0.27142857142857141</v>
      </c>
      <c r="I95" s="49">
        <v>-3</v>
      </c>
      <c r="J95" s="59">
        <v>-4.2857142857142858E-2</v>
      </c>
      <c r="K95" s="49">
        <v>106</v>
      </c>
      <c r="L95" s="20">
        <v>1.5142857142857142</v>
      </c>
      <c r="M95" s="49">
        <v>76</v>
      </c>
      <c r="N95" s="50">
        <v>52</v>
      </c>
      <c r="O95" s="21">
        <v>38.12083333333333</v>
      </c>
      <c r="P95" s="19">
        <v>7</v>
      </c>
      <c r="Q95" s="19">
        <v>7</v>
      </c>
      <c r="R95" s="19">
        <v>14</v>
      </c>
      <c r="S95" s="20">
        <v>0.26923076923076922</v>
      </c>
      <c r="T95" s="19">
        <v>76</v>
      </c>
      <c r="U95" s="20">
        <v>9.2105263157894726</v>
      </c>
      <c r="V95" s="19">
        <v>1</v>
      </c>
      <c r="W95" s="19">
        <v>2</v>
      </c>
      <c r="X95" s="19">
        <v>0</v>
      </c>
      <c r="Y95" s="19">
        <v>0</v>
      </c>
      <c r="Z95" s="19">
        <v>-8</v>
      </c>
      <c r="AA95" s="19">
        <v>56</v>
      </c>
      <c r="AB95" s="51">
        <v>0.73263888888888884</v>
      </c>
      <c r="AC95" s="56">
        <v>6</v>
      </c>
      <c r="AD95" s="11">
        <v>4.4854166666666666</v>
      </c>
      <c r="AE95" s="10">
        <v>0</v>
      </c>
      <c r="AF95" s="10">
        <v>2</v>
      </c>
      <c r="AG95" s="10">
        <v>2</v>
      </c>
      <c r="AH95" s="10">
        <v>8</v>
      </c>
      <c r="AI95" s="10" t="s">
        <v>78</v>
      </c>
      <c r="AJ95" s="10">
        <v>0</v>
      </c>
      <c r="AK95" s="10">
        <v>1</v>
      </c>
      <c r="AL95" s="10">
        <v>0</v>
      </c>
      <c r="AM95" s="10">
        <v>0</v>
      </c>
      <c r="AN95" s="10">
        <v>1</v>
      </c>
      <c r="AO95" s="10">
        <v>6</v>
      </c>
      <c r="AP95" s="13">
        <v>0.74722222222222223</v>
      </c>
      <c r="AQ95" s="76">
        <v>12</v>
      </c>
      <c r="AR95" s="77">
        <v>8.969444444444445</v>
      </c>
      <c r="AS95" s="78">
        <v>1</v>
      </c>
      <c r="AT95" s="78">
        <v>2</v>
      </c>
      <c r="AU95" s="78">
        <v>3</v>
      </c>
      <c r="AV95" s="78">
        <v>22</v>
      </c>
      <c r="AW95" s="80">
        <v>20180</v>
      </c>
      <c r="AX95" s="78">
        <v>0</v>
      </c>
      <c r="AY95" s="78">
        <v>0</v>
      </c>
      <c r="AZ95" s="78">
        <v>1</v>
      </c>
      <c r="BA95" s="78">
        <v>0</v>
      </c>
      <c r="BB95" s="78">
        <v>4</v>
      </c>
      <c r="BC95" s="78">
        <v>14</v>
      </c>
      <c r="BD95" s="79">
        <v>0.74722222222222223</v>
      </c>
    </row>
    <row r="96" spans="1:56" x14ac:dyDescent="0.3">
      <c r="O96" s="17" t="s">
        <v>145</v>
      </c>
      <c r="P96" s="26" t="s">
        <v>137</v>
      </c>
      <c r="Q96" s="26" t="s">
        <v>136</v>
      </c>
      <c r="R96" s="26" t="s">
        <v>135</v>
      </c>
      <c r="S96" s="26" t="s">
        <v>308</v>
      </c>
      <c r="T96" s="26" t="s">
        <v>128</v>
      </c>
      <c r="U96" s="27" t="s">
        <v>318</v>
      </c>
    </row>
    <row r="97" spans="1:21" x14ac:dyDescent="0.3">
      <c r="A97" s="24" t="s">
        <v>229</v>
      </c>
      <c r="D97" s="24">
        <f>SUM(D80:D95)</f>
        <v>810</v>
      </c>
      <c r="E97" s="24">
        <f>SUM(E80:E95)</f>
        <v>126</v>
      </c>
      <c r="F97" s="24">
        <f>SUM(F80:F95)</f>
        <v>190</v>
      </c>
      <c r="G97" s="24">
        <f>SUM(G80:G95)</f>
        <v>316</v>
      </c>
      <c r="H97" s="116">
        <f>G97/$D$97</f>
        <v>0.39012345679012345</v>
      </c>
      <c r="I97" s="24">
        <f>SUM(I80:I95)</f>
        <v>-72</v>
      </c>
      <c r="J97" s="116">
        <f>I97/$D$97</f>
        <v>-8.8888888888888892E-2</v>
      </c>
      <c r="K97" s="24">
        <f>SUM(K80:K95)</f>
        <v>1344</v>
      </c>
      <c r="L97" s="116">
        <f>K97/$D$97</f>
        <v>1.6592592592592592</v>
      </c>
      <c r="M97" s="24">
        <f>SUM(M80:M95)</f>
        <v>559</v>
      </c>
      <c r="O97" s="38">
        <f>SUM(N80:N95)</f>
        <v>599</v>
      </c>
      <c r="P97" s="24">
        <f>SUM(P80:P95)</f>
        <v>92</v>
      </c>
      <c r="Q97" s="24">
        <f>SUM(Q80:Q95)</f>
        <v>145</v>
      </c>
      <c r="R97" s="24">
        <f>SUM(R80:R95)</f>
        <v>237</v>
      </c>
      <c r="S97" s="116">
        <f>R97/$O$97</f>
        <v>0.39565943238731216</v>
      </c>
      <c r="T97" s="24">
        <f>SUM(Z80:Z95)</f>
        <v>-76</v>
      </c>
      <c r="U97" s="126">
        <f>T97/$O$97</f>
        <v>-0.12687813021702837</v>
      </c>
    </row>
    <row r="98" spans="1:21" x14ac:dyDescent="0.3">
      <c r="A98" s="24" t="s">
        <v>230</v>
      </c>
      <c r="D98" s="24">
        <f>SUM(D80:D85)</f>
        <v>252</v>
      </c>
      <c r="E98" s="24">
        <f>SUM(E80:E85)</f>
        <v>23</v>
      </c>
      <c r="F98" s="24">
        <f>SUM(F80:F85)</f>
        <v>58</v>
      </c>
      <c r="G98" s="24">
        <f>SUM(G80:G85)</f>
        <v>81</v>
      </c>
      <c r="H98" s="116">
        <f>G98/$D$98</f>
        <v>0.32142857142857145</v>
      </c>
      <c r="I98" s="24">
        <f>SUM(I80:I85)</f>
        <v>-36</v>
      </c>
      <c r="J98" s="116">
        <f>I98/$D$98</f>
        <v>-0.14285714285714285</v>
      </c>
      <c r="K98" s="24">
        <f>SUM(K80:K85)</f>
        <v>369</v>
      </c>
      <c r="L98" s="116">
        <f>K98/$D$98</f>
        <v>1.4642857142857142</v>
      </c>
      <c r="M98" s="24">
        <f>SUM(M80:M85)</f>
        <v>194</v>
      </c>
      <c r="O98" s="38">
        <f>SUM(N80:N85)</f>
        <v>194</v>
      </c>
      <c r="P98" s="24">
        <f>SUM(P80:P85)</f>
        <v>16</v>
      </c>
      <c r="Q98" s="24">
        <f>SUM(Q80:Q85)</f>
        <v>47</v>
      </c>
      <c r="R98" s="24">
        <f>SUM(R80:R85)</f>
        <v>63</v>
      </c>
      <c r="S98" s="116">
        <f>R98/$O$98</f>
        <v>0.32474226804123713</v>
      </c>
      <c r="T98" s="24">
        <f>SUM(Z80:Z85)</f>
        <v>-40</v>
      </c>
      <c r="U98" s="126">
        <f>T98/$O$98</f>
        <v>-0.20618556701030927</v>
      </c>
    </row>
    <row r="99" spans="1:21" ht="15" thickBot="1" x14ac:dyDescent="0.35">
      <c r="A99" s="24" t="s">
        <v>231</v>
      </c>
      <c r="D99" s="24">
        <f>SUM(D86:D95)</f>
        <v>558</v>
      </c>
      <c r="E99" s="24">
        <f>SUM(E86:E95)</f>
        <v>103</v>
      </c>
      <c r="F99" s="24">
        <f>SUM(F86:F95)</f>
        <v>132</v>
      </c>
      <c r="G99" s="24">
        <f>SUM(G86:G95)</f>
        <v>235</v>
      </c>
      <c r="H99" s="116">
        <f>G99/$D$99</f>
        <v>0.4211469534050179</v>
      </c>
      <c r="I99" s="24">
        <f>SUM(I86:I95)</f>
        <v>-36</v>
      </c>
      <c r="J99" s="116">
        <f>I99/$D$99</f>
        <v>-6.4516129032258063E-2</v>
      </c>
      <c r="K99" s="24">
        <f>SUM(K86:K95)</f>
        <v>975</v>
      </c>
      <c r="L99" s="116">
        <f>K99/$D$99</f>
        <v>1.7473118279569892</v>
      </c>
      <c r="M99" s="24">
        <f>SUM(M86:M95)</f>
        <v>365</v>
      </c>
      <c r="O99" s="123">
        <f>SUM(N86:N95)</f>
        <v>405</v>
      </c>
      <c r="P99" s="124">
        <f>SUM(P86:P95)</f>
        <v>76</v>
      </c>
      <c r="Q99" s="124">
        <f>SUM(Q86:Q95)</f>
        <v>98</v>
      </c>
      <c r="R99" s="124">
        <f>SUM(R86:R95)</f>
        <v>174</v>
      </c>
      <c r="S99" s="125">
        <f>R99/$O$99</f>
        <v>0.42962962962962964</v>
      </c>
      <c r="T99" s="124">
        <f>SUM(Z86:Z95)</f>
        <v>-36</v>
      </c>
      <c r="U99" s="127">
        <f>T99/$O$99</f>
        <v>-8.8888888888888892E-2</v>
      </c>
    </row>
    <row r="101" spans="1:21" x14ac:dyDescent="0.3">
      <c r="D101" s="116">
        <f>D97/COUNT(D80:D95)</f>
        <v>50.625</v>
      </c>
      <c r="E101" s="116">
        <f>E97/D101</f>
        <v>2.4888888888888889</v>
      </c>
    </row>
    <row r="103" spans="1:21" x14ac:dyDescent="0.3">
      <c r="D103" s="24" t="s">
        <v>124</v>
      </c>
    </row>
    <row r="104" spans="1:21" x14ac:dyDescent="0.3">
      <c r="D104" s="24" t="s">
        <v>122</v>
      </c>
    </row>
    <row r="105" spans="1:21" x14ac:dyDescent="0.3">
      <c r="D105" s="24" t="s">
        <v>103</v>
      </c>
    </row>
    <row r="106" spans="1:21" x14ac:dyDescent="0.3">
      <c r="F106" s="24" t="s">
        <v>311</v>
      </c>
    </row>
    <row r="107" spans="1:21" x14ac:dyDescent="0.3">
      <c r="D107" s="24" t="s">
        <v>100</v>
      </c>
      <c r="F107" s="24" t="s">
        <v>312</v>
      </c>
    </row>
    <row r="108" spans="1:21" x14ac:dyDescent="0.3">
      <c r="D108" s="24" t="s">
        <v>108</v>
      </c>
      <c r="F108" s="24" t="s">
        <v>313</v>
      </c>
    </row>
    <row r="109" spans="1:21" x14ac:dyDescent="0.3">
      <c r="D109" s="24" t="s">
        <v>114</v>
      </c>
      <c r="F109" s="24" t="s">
        <v>233</v>
      </c>
    </row>
    <row r="111" spans="1:21" x14ac:dyDescent="0.3">
      <c r="D111" s="24" t="s">
        <v>115</v>
      </c>
    </row>
    <row r="112" spans="1:21" x14ac:dyDescent="0.3">
      <c r="D112" s="24" t="s">
        <v>111</v>
      </c>
    </row>
    <row r="113" spans="1:56" x14ac:dyDescent="0.3">
      <c r="D113" s="24" t="s">
        <v>106</v>
      </c>
    </row>
    <row r="118" spans="1:56" ht="15" thickBot="1" x14ac:dyDescent="0.35"/>
    <row r="119" spans="1:56" ht="28.2" thickBot="1" x14ac:dyDescent="0.35">
      <c r="A119" s="24" t="s">
        <v>87</v>
      </c>
      <c r="B119" s="19" t="s">
        <v>80</v>
      </c>
      <c r="C119" s="19" t="s">
        <v>79</v>
      </c>
      <c r="D119" s="19">
        <v>3</v>
      </c>
      <c r="E119" s="19">
        <v>0</v>
      </c>
      <c r="F119" s="19">
        <v>0</v>
      </c>
      <c r="G119" s="19">
        <v>0</v>
      </c>
      <c r="H119" s="20">
        <v>0</v>
      </c>
      <c r="I119" s="49">
        <v>-2</v>
      </c>
      <c r="J119" s="59">
        <v>-0.66666666666666696</v>
      </c>
      <c r="K119" s="49">
        <v>2</v>
      </c>
      <c r="L119" s="20">
        <v>0.66666666666666663</v>
      </c>
      <c r="M119" s="49">
        <v>0</v>
      </c>
      <c r="N119" s="50">
        <v>2</v>
      </c>
      <c r="O119" s="22">
        <v>0.82500000000000007</v>
      </c>
      <c r="P119" s="19">
        <v>0</v>
      </c>
      <c r="Q119" s="19">
        <v>0</v>
      </c>
      <c r="R119" s="19">
        <v>0</v>
      </c>
      <c r="S119" s="20">
        <v>0</v>
      </c>
      <c r="T119" s="19">
        <v>1</v>
      </c>
      <c r="U119" s="20">
        <v>0</v>
      </c>
      <c r="V119" s="19">
        <v>0</v>
      </c>
      <c r="W119" s="19">
        <v>0</v>
      </c>
      <c r="X119" s="19">
        <v>0</v>
      </c>
      <c r="Y119" s="19">
        <v>0</v>
      </c>
      <c r="Z119" s="19">
        <v>-1</v>
      </c>
      <c r="AA119" s="19">
        <v>0</v>
      </c>
      <c r="AB119" s="51">
        <v>0.41250000000000003</v>
      </c>
      <c r="AC119" s="54">
        <v>1</v>
      </c>
      <c r="AD119" s="42">
        <v>0.58333333333333337</v>
      </c>
      <c r="AE119" s="40">
        <v>0</v>
      </c>
      <c r="AF119" s="40">
        <v>0</v>
      </c>
      <c r="AG119" s="40">
        <v>0</v>
      </c>
      <c r="AH119" s="40">
        <v>1</v>
      </c>
      <c r="AI119" s="40">
        <v>0</v>
      </c>
      <c r="AJ119" s="40">
        <v>0</v>
      </c>
      <c r="AK119" s="40">
        <v>0</v>
      </c>
      <c r="AL119" s="40">
        <v>0</v>
      </c>
      <c r="AM119" s="40">
        <v>0</v>
      </c>
      <c r="AN119" s="40">
        <v>-1</v>
      </c>
      <c r="AO119" s="40">
        <v>0</v>
      </c>
      <c r="AP119" s="57">
        <v>0.58333333333333337</v>
      </c>
      <c r="AQ119" s="84"/>
      <c r="AR119" s="87"/>
      <c r="AS119" s="87"/>
      <c r="AT119" s="87"/>
      <c r="AU119" s="87"/>
      <c r="AV119" s="87"/>
      <c r="AW119" s="87"/>
      <c r="AX119" s="87"/>
      <c r="AY119" s="87"/>
      <c r="AZ119" s="87"/>
      <c r="BA119" s="87"/>
      <c r="BB119" s="87"/>
      <c r="BC119" s="87"/>
      <c r="BD119" s="92"/>
    </row>
    <row r="120" spans="1:56" ht="28.2" thickBot="1" x14ac:dyDescent="0.35">
      <c r="A120" s="24" t="s">
        <v>94</v>
      </c>
      <c r="B120" s="19" t="s">
        <v>80</v>
      </c>
      <c r="C120" s="19" t="s">
        <v>79</v>
      </c>
      <c r="D120" s="19">
        <v>22</v>
      </c>
      <c r="E120" s="19">
        <v>2</v>
      </c>
      <c r="F120" s="19">
        <v>2</v>
      </c>
      <c r="G120" s="19">
        <v>4</v>
      </c>
      <c r="H120" s="20">
        <v>0.18181818181818182</v>
      </c>
      <c r="I120" s="49">
        <v>2</v>
      </c>
      <c r="J120" s="59">
        <v>9.0909090909090912E-2</v>
      </c>
      <c r="K120" s="49">
        <v>20</v>
      </c>
      <c r="L120" s="20">
        <v>0.90909090909090906</v>
      </c>
      <c r="M120" s="49">
        <v>14</v>
      </c>
      <c r="N120" s="50">
        <v>4</v>
      </c>
      <c r="O120" s="22">
        <v>0.91180555555555554</v>
      </c>
      <c r="P120" s="19">
        <v>0</v>
      </c>
      <c r="Q120" s="19">
        <v>1</v>
      </c>
      <c r="R120" s="19">
        <v>1</v>
      </c>
      <c r="S120" s="20">
        <v>0.25</v>
      </c>
      <c r="T120" s="19">
        <v>1</v>
      </c>
      <c r="U120" s="20">
        <v>0</v>
      </c>
      <c r="V120" s="19">
        <v>0</v>
      </c>
      <c r="W120" s="19">
        <v>0</v>
      </c>
      <c r="X120" s="19">
        <v>0</v>
      </c>
      <c r="Y120" s="19">
        <v>0</v>
      </c>
      <c r="Z120" s="19">
        <v>0</v>
      </c>
      <c r="AA120" s="19">
        <v>0</v>
      </c>
      <c r="AB120" s="51">
        <v>0.22777777777777777</v>
      </c>
      <c r="AC120" s="56">
        <v>6</v>
      </c>
      <c r="AD120" s="11">
        <v>3.1583333333333332</v>
      </c>
      <c r="AE120" s="10">
        <v>1</v>
      </c>
      <c r="AF120" s="10">
        <v>1</v>
      </c>
      <c r="AG120" s="10">
        <v>2</v>
      </c>
      <c r="AH120" s="10">
        <v>8</v>
      </c>
      <c r="AI120" s="18">
        <v>18598</v>
      </c>
      <c r="AJ120" s="10">
        <v>0</v>
      </c>
      <c r="AK120" s="10">
        <v>1</v>
      </c>
      <c r="AL120" s="10">
        <v>0</v>
      </c>
      <c r="AM120" s="10">
        <v>0</v>
      </c>
      <c r="AN120" s="10">
        <v>1</v>
      </c>
      <c r="AO120" s="10">
        <v>8</v>
      </c>
      <c r="AP120" s="13">
        <v>0.52638888888888891</v>
      </c>
      <c r="AQ120" s="76">
        <v>12</v>
      </c>
      <c r="AR120" s="77">
        <v>5.896527777777778</v>
      </c>
      <c r="AS120" s="78">
        <v>1</v>
      </c>
      <c r="AT120" s="78">
        <v>0</v>
      </c>
      <c r="AU120" s="78">
        <v>1</v>
      </c>
      <c r="AV120" s="78">
        <v>11</v>
      </c>
      <c r="AW120" s="119">
        <v>43352</v>
      </c>
      <c r="AX120" s="78">
        <v>0</v>
      </c>
      <c r="AY120" s="78">
        <v>0</v>
      </c>
      <c r="AZ120" s="78">
        <v>0</v>
      </c>
      <c r="BA120" s="78">
        <v>1</v>
      </c>
      <c r="BB120" s="78">
        <v>1</v>
      </c>
      <c r="BC120" s="78">
        <v>6</v>
      </c>
      <c r="BD120" s="79">
        <v>0.4909722222222222</v>
      </c>
    </row>
    <row r="121" spans="1:56" ht="28.2" thickBot="1" x14ac:dyDescent="0.35">
      <c r="A121" s="24" t="s">
        <v>97</v>
      </c>
      <c r="B121" s="19" t="s">
        <v>80</v>
      </c>
      <c r="C121" s="19" t="s">
        <v>79</v>
      </c>
      <c r="D121" s="19">
        <v>5</v>
      </c>
      <c r="E121" s="19">
        <v>1</v>
      </c>
      <c r="F121" s="19">
        <v>0</v>
      </c>
      <c r="G121" s="19">
        <v>1</v>
      </c>
      <c r="H121" s="20">
        <v>0.2</v>
      </c>
      <c r="I121" s="49">
        <v>-3</v>
      </c>
      <c r="J121" s="59">
        <v>-0.6</v>
      </c>
      <c r="K121" s="49">
        <v>3</v>
      </c>
      <c r="L121" s="20">
        <v>0.6</v>
      </c>
      <c r="M121" s="49">
        <v>0</v>
      </c>
      <c r="N121" s="50">
        <v>5</v>
      </c>
      <c r="O121" s="21">
        <v>2.0513888888888889</v>
      </c>
      <c r="P121" s="19">
        <v>1</v>
      </c>
      <c r="Q121" s="19">
        <v>0</v>
      </c>
      <c r="R121" s="19">
        <v>1</v>
      </c>
      <c r="S121" s="20">
        <v>0.2</v>
      </c>
      <c r="T121" s="19">
        <v>3</v>
      </c>
      <c r="U121" s="20">
        <v>33.333333333333329</v>
      </c>
      <c r="V121" s="19">
        <v>0</v>
      </c>
      <c r="W121" s="19">
        <v>0</v>
      </c>
      <c r="X121" s="19">
        <v>0</v>
      </c>
      <c r="Y121" s="19">
        <v>0</v>
      </c>
      <c r="Z121" s="19">
        <v>-3</v>
      </c>
      <c r="AA121" s="19">
        <v>0</v>
      </c>
      <c r="AB121" s="51">
        <v>0.40972222222222227</v>
      </c>
      <c r="AQ121" s="86"/>
      <c r="AR121" s="89"/>
      <c r="AS121" s="89"/>
      <c r="AT121" s="89"/>
      <c r="AU121" s="89"/>
      <c r="AV121" s="89"/>
      <c r="AW121" s="89"/>
      <c r="AX121" s="89"/>
      <c r="AY121" s="89"/>
      <c r="AZ121" s="89"/>
      <c r="BA121" s="89"/>
      <c r="BB121" s="89"/>
      <c r="BC121" s="89"/>
      <c r="BD121" s="94"/>
    </row>
    <row r="122" spans="1:56" ht="28.2" thickBot="1" x14ac:dyDescent="0.35">
      <c r="A122" s="24" t="s">
        <v>85</v>
      </c>
      <c r="B122" s="19" t="s">
        <v>80</v>
      </c>
      <c r="C122" s="19" t="s">
        <v>79</v>
      </c>
      <c r="D122" s="19">
        <v>7</v>
      </c>
      <c r="E122" s="19">
        <v>1</v>
      </c>
      <c r="F122" s="19">
        <v>0</v>
      </c>
      <c r="G122" s="19">
        <v>1</v>
      </c>
      <c r="H122" s="20">
        <v>0.14285714285714285</v>
      </c>
      <c r="I122" s="49">
        <v>-5</v>
      </c>
      <c r="J122" s="59">
        <v>-0.7142857142857143</v>
      </c>
      <c r="K122" s="49">
        <v>7</v>
      </c>
      <c r="L122" s="20">
        <v>1</v>
      </c>
      <c r="M122" s="49">
        <v>0</v>
      </c>
      <c r="N122" s="50">
        <v>6</v>
      </c>
      <c r="O122" s="21">
        <v>2.6659722222222224</v>
      </c>
      <c r="P122" s="19">
        <v>0</v>
      </c>
      <c r="Q122" s="19">
        <v>0</v>
      </c>
      <c r="R122" s="19">
        <v>0</v>
      </c>
      <c r="S122" s="20">
        <v>0</v>
      </c>
      <c r="T122" s="19">
        <v>4</v>
      </c>
      <c r="U122" s="20">
        <v>0</v>
      </c>
      <c r="V122" s="19">
        <v>0</v>
      </c>
      <c r="W122" s="19">
        <v>0</v>
      </c>
      <c r="X122" s="19">
        <v>0</v>
      </c>
      <c r="Y122" s="19">
        <v>0</v>
      </c>
      <c r="Z122" s="19">
        <v>-4</v>
      </c>
      <c r="AA122" s="19">
        <v>0</v>
      </c>
      <c r="AB122" s="51">
        <v>0.44375000000000003</v>
      </c>
      <c r="AC122" s="54">
        <v>1</v>
      </c>
      <c r="AD122" s="42">
        <v>0.66111111111111109</v>
      </c>
      <c r="AE122" s="40">
        <v>1</v>
      </c>
      <c r="AF122" s="40">
        <v>0</v>
      </c>
      <c r="AG122" s="40">
        <v>1</v>
      </c>
      <c r="AH122" s="40">
        <v>3</v>
      </c>
      <c r="AI122" s="40">
        <v>33.33</v>
      </c>
      <c r="AJ122" s="40">
        <v>1</v>
      </c>
      <c r="AK122" s="40">
        <v>1</v>
      </c>
      <c r="AL122" s="40">
        <v>0</v>
      </c>
      <c r="AM122" s="40">
        <v>0</v>
      </c>
      <c r="AN122" s="40">
        <v>-1</v>
      </c>
      <c r="AO122" s="40">
        <v>0</v>
      </c>
      <c r="AP122" s="57">
        <v>0.66111111111111109</v>
      </c>
      <c r="AQ122" s="84"/>
      <c r="AR122" s="87"/>
      <c r="AS122" s="87"/>
      <c r="AT122" s="87"/>
      <c r="AU122" s="87"/>
      <c r="AV122" s="87"/>
      <c r="AW122" s="87"/>
      <c r="AX122" s="87"/>
      <c r="AY122" s="87"/>
      <c r="AZ122" s="87"/>
      <c r="BA122" s="87"/>
      <c r="BB122" s="87"/>
      <c r="BC122" s="87"/>
      <c r="BD122" s="92"/>
    </row>
    <row r="123" spans="1:56" ht="27.6" x14ac:dyDescent="0.3">
      <c r="A123" s="24" t="s">
        <v>84</v>
      </c>
      <c r="B123" s="19" t="s">
        <v>80</v>
      </c>
      <c r="C123" s="19" t="s">
        <v>79</v>
      </c>
      <c r="D123" s="19">
        <v>8</v>
      </c>
      <c r="E123" s="19">
        <v>0</v>
      </c>
      <c r="F123" s="19">
        <v>0</v>
      </c>
      <c r="G123" s="19">
        <v>0</v>
      </c>
      <c r="H123" s="20">
        <v>0</v>
      </c>
      <c r="I123" s="49">
        <v>-4</v>
      </c>
      <c r="J123" s="59">
        <v>-0.5</v>
      </c>
      <c r="K123" s="49">
        <v>6</v>
      </c>
      <c r="L123" s="20">
        <v>0.75</v>
      </c>
      <c r="M123" s="49">
        <v>0</v>
      </c>
      <c r="N123" s="50">
        <v>7</v>
      </c>
      <c r="O123" s="21">
        <v>1.8319444444444446</v>
      </c>
      <c r="P123" s="19">
        <v>0</v>
      </c>
      <c r="Q123" s="19">
        <v>0</v>
      </c>
      <c r="R123" s="19">
        <v>0</v>
      </c>
      <c r="S123" s="20">
        <v>0</v>
      </c>
      <c r="T123" s="19">
        <v>6</v>
      </c>
      <c r="U123" s="20">
        <v>0</v>
      </c>
      <c r="V123" s="19">
        <v>0</v>
      </c>
      <c r="W123" s="19">
        <v>0</v>
      </c>
      <c r="X123" s="19">
        <v>0</v>
      </c>
      <c r="Y123" s="19">
        <v>0</v>
      </c>
      <c r="Z123" s="19">
        <v>-3</v>
      </c>
      <c r="AA123" s="19">
        <v>0</v>
      </c>
      <c r="AB123" s="51">
        <v>0.26111111111111113</v>
      </c>
      <c r="AC123" s="54">
        <v>1</v>
      </c>
      <c r="AD123" s="42">
        <v>0.56527777777777777</v>
      </c>
      <c r="AE123" s="40">
        <v>0</v>
      </c>
      <c r="AF123" s="40">
        <v>0</v>
      </c>
      <c r="AG123" s="40">
        <v>0</v>
      </c>
      <c r="AH123" s="40">
        <v>0</v>
      </c>
      <c r="AI123" s="40">
        <v>0</v>
      </c>
      <c r="AJ123" s="40">
        <v>0</v>
      </c>
      <c r="AK123" s="40">
        <v>0</v>
      </c>
      <c r="AL123" s="40">
        <v>0</v>
      </c>
      <c r="AM123" s="40">
        <v>0</v>
      </c>
      <c r="AN123" s="40">
        <v>-1</v>
      </c>
      <c r="AO123" s="40">
        <v>0</v>
      </c>
      <c r="AP123" s="57">
        <v>0.56527777777777777</v>
      </c>
      <c r="AQ123" s="84"/>
      <c r="AR123" s="87"/>
      <c r="AS123" s="87"/>
      <c r="AT123" s="87"/>
      <c r="AU123" s="87"/>
      <c r="AV123" s="87"/>
      <c r="AW123" s="87"/>
      <c r="AX123" s="87"/>
      <c r="AY123" s="87"/>
      <c r="AZ123" s="87"/>
      <c r="BA123" s="87"/>
      <c r="BB123" s="87"/>
      <c r="BC123" s="87"/>
      <c r="BD123" s="92"/>
    </row>
    <row r="124" spans="1:56" ht="27.6" x14ac:dyDescent="0.3">
      <c r="A124" s="24" t="s">
        <v>102</v>
      </c>
      <c r="B124" s="19" t="s">
        <v>80</v>
      </c>
      <c r="C124" s="19" t="s">
        <v>79</v>
      </c>
      <c r="D124" s="19">
        <v>8</v>
      </c>
      <c r="E124" s="19">
        <v>1</v>
      </c>
      <c r="F124" s="19">
        <v>1</v>
      </c>
      <c r="G124" s="19">
        <v>2</v>
      </c>
      <c r="H124" s="20">
        <v>0.25</v>
      </c>
      <c r="I124" s="49">
        <v>-7</v>
      </c>
      <c r="J124" s="59">
        <v>-0.875</v>
      </c>
      <c r="K124" s="49">
        <v>4</v>
      </c>
      <c r="L124" s="20">
        <v>0.5</v>
      </c>
      <c r="M124" s="49">
        <v>6</v>
      </c>
      <c r="N124" s="50">
        <v>8</v>
      </c>
      <c r="O124" s="21">
        <v>3.8979166666666667</v>
      </c>
      <c r="P124" s="19">
        <v>1</v>
      </c>
      <c r="Q124" s="19">
        <v>1</v>
      </c>
      <c r="R124" s="19">
        <v>2</v>
      </c>
      <c r="S124" s="20">
        <v>0.25</v>
      </c>
      <c r="T124" s="19">
        <v>4</v>
      </c>
      <c r="U124" s="20">
        <v>25</v>
      </c>
      <c r="V124" s="19">
        <v>0</v>
      </c>
      <c r="W124" s="19">
        <v>1</v>
      </c>
      <c r="X124" s="19">
        <v>0</v>
      </c>
      <c r="Y124" s="19">
        <v>0</v>
      </c>
      <c r="Z124" s="19">
        <v>-7</v>
      </c>
      <c r="AA124" s="19">
        <v>6</v>
      </c>
      <c r="AB124" s="51">
        <v>0.48680555555555555</v>
      </c>
      <c r="AQ124" s="81"/>
      <c r="AR124" s="82"/>
      <c r="AS124" s="82"/>
      <c r="AT124" s="82"/>
      <c r="AU124" s="82"/>
      <c r="AV124" s="82"/>
      <c r="AW124" s="82"/>
      <c r="AX124" s="82"/>
      <c r="AY124" s="82"/>
      <c r="AZ124" s="82"/>
      <c r="BA124" s="82"/>
      <c r="BB124" s="82"/>
      <c r="BC124" s="82"/>
      <c r="BD124" s="83"/>
    </row>
    <row r="125" spans="1:56" ht="28.2" thickBot="1" x14ac:dyDescent="0.35">
      <c r="A125" s="24" t="s">
        <v>83</v>
      </c>
      <c r="B125" s="19" t="s">
        <v>80</v>
      </c>
      <c r="C125" s="19" t="s">
        <v>79</v>
      </c>
      <c r="D125" s="19">
        <v>10</v>
      </c>
      <c r="E125" s="19">
        <v>0</v>
      </c>
      <c r="F125" s="19">
        <v>0</v>
      </c>
      <c r="G125" s="19">
        <v>0</v>
      </c>
      <c r="H125" s="20">
        <v>0</v>
      </c>
      <c r="I125" s="49">
        <v>-1</v>
      </c>
      <c r="J125" s="59">
        <v>-0.1</v>
      </c>
      <c r="K125" s="49">
        <v>2</v>
      </c>
      <c r="L125" s="20">
        <v>0.2</v>
      </c>
      <c r="M125" s="49">
        <v>30</v>
      </c>
      <c r="N125" s="50">
        <v>10</v>
      </c>
      <c r="O125" s="21">
        <v>3.1458333333333335</v>
      </c>
      <c r="P125" s="19">
        <v>0</v>
      </c>
      <c r="Q125" s="19">
        <v>0</v>
      </c>
      <c r="R125" s="19">
        <v>0</v>
      </c>
      <c r="S125" s="20">
        <v>0</v>
      </c>
      <c r="T125" s="19">
        <v>2</v>
      </c>
      <c r="U125" s="20">
        <v>0</v>
      </c>
      <c r="V125" s="19">
        <v>0</v>
      </c>
      <c r="W125" s="19">
        <v>0</v>
      </c>
      <c r="X125" s="19">
        <v>0</v>
      </c>
      <c r="Y125" s="19">
        <v>0</v>
      </c>
      <c r="Z125" s="19">
        <v>-1</v>
      </c>
      <c r="AA125" s="19">
        <v>30</v>
      </c>
      <c r="AB125" s="51">
        <v>0.31458333333333333</v>
      </c>
      <c r="AQ125" s="81"/>
      <c r="AR125" s="82"/>
      <c r="AS125" s="82"/>
      <c r="AT125" s="82"/>
      <c r="AU125" s="82"/>
      <c r="AV125" s="82"/>
      <c r="AW125" s="82"/>
      <c r="AX125" s="82"/>
      <c r="AY125" s="82"/>
      <c r="AZ125" s="82"/>
      <c r="BA125" s="82"/>
      <c r="BB125" s="82"/>
      <c r="BC125" s="82"/>
      <c r="BD125" s="83"/>
    </row>
    <row r="126" spans="1:56" ht="28.2" thickBot="1" x14ac:dyDescent="0.35">
      <c r="A126" s="24" t="s">
        <v>91</v>
      </c>
      <c r="B126" s="19" t="s">
        <v>80</v>
      </c>
      <c r="C126" s="19" t="s">
        <v>79</v>
      </c>
      <c r="D126" s="19">
        <v>12</v>
      </c>
      <c r="E126" s="19">
        <v>0</v>
      </c>
      <c r="F126" s="19">
        <v>1</v>
      </c>
      <c r="G126" s="19">
        <v>1</v>
      </c>
      <c r="H126" s="20">
        <v>8.3333333333333329E-2</v>
      </c>
      <c r="I126" s="49">
        <v>-4</v>
      </c>
      <c r="J126" s="59">
        <v>-0.33333333333333331</v>
      </c>
      <c r="K126" s="49">
        <v>5</v>
      </c>
      <c r="L126" s="20">
        <v>0.41666666666666669</v>
      </c>
      <c r="M126" s="49">
        <v>0</v>
      </c>
      <c r="N126" s="50">
        <v>10</v>
      </c>
      <c r="O126" s="21">
        <v>2.9791666666666665</v>
      </c>
      <c r="P126" s="19">
        <v>0</v>
      </c>
      <c r="Q126" s="19">
        <v>1</v>
      </c>
      <c r="R126" s="19">
        <v>1</v>
      </c>
      <c r="S126" s="20">
        <v>0.1</v>
      </c>
      <c r="T126" s="19">
        <v>4</v>
      </c>
      <c r="U126" s="20">
        <v>0</v>
      </c>
      <c r="V126" s="19">
        <v>0</v>
      </c>
      <c r="W126" s="19">
        <v>0</v>
      </c>
      <c r="X126" s="19">
        <v>0</v>
      </c>
      <c r="Y126" s="19">
        <v>0</v>
      </c>
      <c r="Z126" s="19">
        <v>-3</v>
      </c>
      <c r="AA126" s="19">
        <v>0</v>
      </c>
      <c r="AB126" s="51">
        <v>0.29791666666666666</v>
      </c>
      <c r="AC126" s="56">
        <v>2</v>
      </c>
      <c r="AD126" s="11">
        <v>1.0902777777777779</v>
      </c>
      <c r="AE126" s="10">
        <v>0</v>
      </c>
      <c r="AF126" s="10">
        <v>0</v>
      </c>
      <c r="AG126" s="10">
        <v>0</v>
      </c>
      <c r="AH126" s="10">
        <v>1</v>
      </c>
      <c r="AI126" s="10" t="s">
        <v>78</v>
      </c>
      <c r="AJ126" s="10">
        <v>0</v>
      </c>
      <c r="AK126" s="10">
        <v>0</v>
      </c>
      <c r="AL126" s="10">
        <v>0</v>
      </c>
      <c r="AM126" s="10">
        <v>0</v>
      </c>
      <c r="AN126" s="10">
        <v>-1</v>
      </c>
      <c r="AO126" s="10">
        <v>0</v>
      </c>
      <c r="AP126" s="13">
        <v>0.54513888888888895</v>
      </c>
      <c r="AQ126" s="84"/>
      <c r="AR126" s="87"/>
      <c r="AS126" s="87"/>
      <c r="AT126" s="87"/>
      <c r="AU126" s="87"/>
      <c r="AV126" s="87"/>
      <c r="AW126" s="87"/>
      <c r="AX126" s="87"/>
      <c r="AY126" s="87"/>
      <c r="AZ126" s="87"/>
      <c r="BA126" s="87"/>
      <c r="BB126" s="87"/>
      <c r="BC126" s="87"/>
      <c r="BD126" s="92"/>
    </row>
    <row r="127" spans="1:56" ht="27.6" x14ac:dyDescent="0.3">
      <c r="A127" s="24" t="s">
        <v>82</v>
      </c>
      <c r="B127" s="19" t="s">
        <v>80</v>
      </c>
      <c r="C127" s="19" t="s">
        <v>79</v>
      </c>
      <c r="D127" s="19">
        <v>25</v>
      </c>
      <c r="E127" s="19">
        <v>1</v>
      </c>
      <c r="F127" s="19">
        <v>2</v>
      </c>
      <c r="G127" s="19">
        <v>3</v>
      </c>
      <c r="H127" s="20">
        <v>0.12</v>
      </c>
      <c r="I127" s="49">
        <v>-3</v>
      </c>
      <c r="J127" s="59">
        <v>-0.12</v>
      </c>
      <c r="K127" s="49">
        <v>18</v>
      </c>
      <c r="L127" s="20">
        <v>0.72</v>
      </c>
      <c r="M127" s="49">
        <v>0</v>
      </c>
      <c r="N127" s="50">
        <v>12</v>
      </c>
      <c r="O127" s="21">
        <v>2.963888888888889</v>
      </c>
      <c r="P127" s="19">
        <v>0</v>
      </c>
      <c r="Q127" s="19">
        <v>0</v>
      </c>
      <c r="R127" s="19">
        <v>0</v>
      </c>
      <c r="S127" s="20">
        <v>0</v>
      </c>
      <c r="T127" s="19">
        <v>3</v>
      </c>
      <c r="U127" s="20">
        <v>0</v>
      </c>
      <c r="V127" s="19">
        <v>0</v>
      </c>
      <c r="W127" s="19">
        <v>0</v>
      </c>
      <c r="X127" s="19">
        <v>0</v>
      </c>
      <c r="Y127" s="19">
        <v>0</v>
      </c>
      <c r="Z127" s="19">
        <v>-5</v>
      </c>
      <c r="AA127" s="19">
        <v>0</v>
      </c>
      <c r="AB127" s="51">
        <v>0.24652777777777779</v>
      </c>
      <c r="AC127" s="56">
        <v>5</v>
      </c>
      <c r="AD127" s="11">
        <v>2.3111111111111113</v>
      </c>
      <c r="AE127" s="10">
        <v>0</v>
      </c>
      <c r="AF127" s="10">
        <v>2</v>
      </c>
      <c r="AG127" s="10">
        <v>2</v>
      </c>
      <c r="AH127" s="10">
        <v>8</v>
      </c>
      <c r="AI127" s="10" t="s">
        <v>78</v>
      </c>
      <c r="AJ127" s="10">
        <v>0</v>
      </c>
      <c r="AK127" s="10">
        <v>0</v>
      </c>
      <c r="AL127" s="10">
        <v>0</v>
      </c>
      <c r="AM127" s="10">
        <v>0</v>
      </c>
      <c r="AN127" s="10">
        <v>1</v>
      </c>
      <c r="AO127" s="10">
        <v>0</v>
      </c>
      <c r="AP127" s="13">
        <v>0.46180555555555558</v>
      </c>
      <c r="AQ127" s="76">
        <v>8</v>
      </c>
      <c r="AR127" s="77">
        <v>2.5124999999999997</v>
      </c>
      <c r="AS127" s="78">
        <v>1</v>
      </c>
      <c r="AT127" s="78">
        <v>0</v>
      </c>
      <c r="AU127" s="78">
        <v>1</v>
      </c>
      <c r="AV127" s="78">
        <v>7</v>
      </c>
      <c r="AW127" s="78" t="s">
        <v>215</v>
      </c>
      <c r="AX127" s="78">
        <v>0</v>
      </c>
      <c r="AY127" s="78">
        <v>0</v>
      </c>
      <c r="AZ127" s="78">
        <v>0</v>
      </c>
      <c r="BA127" s="78">
        <v>1</v>
      </c>
      <c r="BB127" s="78">
        <v>1</v>
      </c>
      <c r="BC127" s="78">
        <v>0</v>
      </c>
      <c r="BD127" s="79">
        <v>0.31388888888888888</v>
      </c>
    </row>
    <row r="128" spans="1:56" x14ac:dyDescent="0.3">
      <c r="D128" s="24">
        <f>SUM(D119:D127)</f>
        <v>100</v>
      </c>
      <c r="E128" s="24">
        <f t="shared" ref="E128:M128" si="12">SUM(E119:E127)</f>
        <v>6</v>
      </c>
      <c r="F128" s="24">
        <f t="shared" si="12"/>
        <v>6</v>
      </c>
      <c r="G128" s="24">
        <f t="shared" si="12"/>
        <v>12</v>
      </c>
      <c r="H128" s="116">
        <f>G128/$D$128</f>
        <v>0.12</v>
      </c>
      <c r="I128" s="24">
        <f t="shared" si="12"/>
        <v>-27</v>
      </c>
      <c r="J128" s="116">
        <f>I128/$D$128</f>
        <v>-0.27</v>
      </c>
      <c r="K128" s="24">
        <f t="shared" si="12"/>
        <v>67</v>
      </c>
      <c r="L128" s="116">
        <f>K128/$D$128</f>
        <v>0.67</v>
      </c>
      <c r="M128" s="24">
        <f t="shared" si="12"/>
        <v>50</v>
      </c>
    </row>
  </sheetData>
  <autoFilter ref="A5:BD47" xr:uid="{00000000-0009-0000-0000-000001000000}">
    <sortState xmlns:xlrd2="http://schemas.microsoft.com/office/spreadsheetml/2017/richdata2" ref="A6:BD47">
      <sortCondition ref="Z5:Z47"/>
    </sortState>
  </autoFilter>
  <hyperlinks>
    <hyperlink ref="AR5" r:id="rId1" display="http://www.hokej.cz/tipsport-extraliga/stats-center?season=2017&amp;competition=6173&amp;team=823&amp;yearFrom=&amp;stranger=0&amp;state=&amp;stats-order=t&amp;stats-direction=desc" xr:uid="{00000000-0004-0000-0100-000000000000}"/>
    <hyperlink ref="AS5" r:id="rId2" display="http://www.hokej.cz/tipsport-extraliga/stats-center?season=2017&amp;competition=6173&amp;team=823&amp;yearFrom=&amp;stranger=0&amp;state=&amp;stats-order=g&amp;stats-direction=desc" xr:uid="{00000000-0004-0000-0100-000001000000}"/>
    <hyperlink ref="AT5" r:id="rId3" display="http://www.hokej.cz/tipsport-extraliga/stats-center?season=2017&amp;competition=6173&amp;team=823&amp;yearFrom=&amp;stranger=0&amp;state=&amp;stats-order=a&amp;stats-direction=desc" xr:uid="{00000000-0004-0000-0100-000002000000}"/>
    <hyperlink ref="AU5" r:id="rId4" display="http://www.hokej.cz/tipsport-extraliga/stats-center?season=2017&amp;competition=6173&amp;team=823&amp;yearFrom=&amp;stranger=0&amp;state=&amp;stats-order=ga&amp;stats-direction=asc" xr:uid="{00000000-0004-0000-0100-000003000000}"/>
    <hyperlink ref="AV5" r:id="rId5" display="http://www.hokej.cz/tipsport-extraliga/stats-center?season=2017&amp;competition=6173&amp;team=823&amp;yearFrom=&amp;stranger=0&amp;state=&amp;stats-order=st&amp;stats-direction=desc" xr:uid="{00000000-0004-0000-0100-000004000000}"/>
    <hyperlink ref="AW5" r:id="rId6" display="http://www.hokej.cz/tipsport-extraliga/stats-center?season=2017&amp;competition=6173&amp;team=823&amp;yearFrom=&amp;stranger=0&amp;state=&amp;stats-order=shs&amp;stats-direction=desc" xr:uid="{00000000-0004-0000-0100-000005000000}"/>
    <hyperlink ref="AX5" r:id="rId7" display="http://www.hokej.cz/tipsport-extraliga/stats-center?season=2017&amp;competition=6173&amp;team=823&amp;yearFrom=&amp;stranger=0&amp;state=&amp;stats-order=gpp&amp;stats-direction=desc" xr:uid="{00000000-0004-0000-0100-000006000000}"/>
    <hyperlink ref="AY5" r:id="rId8" display="http://www.hokej.cz/tipsport-extraliga/stats-center?season=2017&amp;competition=6173&amp;team=823&amp;yearFrom=&amp;stranger=0&amp;state=&amp;stats-order=ppp&amp;stats-direction=desc" xr:uid="{00000000-0004-0000-0100-000007000000}"/>
    <hyperlink ref="AZ5" r:id="rId9" display="http://www.hokej.cz/tipsport-extraliga/stats-center?season=2017&amp;competition=6173&amp;team=823&amp;yearFrom=&amp;stranger=0&amp;state=&amp;stats-order=gsh&amp;stats-direction=desc" xr:uid="{00000000-0004-0000-0100-000008000000}"/>
    <hyperlink ref="BA5" r:id="rId10" display="http://www.hokej.cz/tipsport-extraliga/stats-center?season=2017&amp;competition=6173&amp;team=823&amp;yearFrom=&amp;stranger=0&amp;state=&amp;stats-order=gw&amp;stats-direction=desc" xr:uid="{00000000-0004-0000-0100-000009000000}"/>
    <hyperlink ref="BB5" r:id="rId11" display="http://www.hokej.cz/tipsport-extraliga/stats-center?season=2017&amp;competition=6173&amp;team=823&amp;yearFrom=&amp;stranger=0&amp;state=&amp;stats-order=pm&amp;stats-direction=desc" xr:uid="{00000000-0004-0000-0100-00000A000000}"/>
    <hyperlink ref="BC5" r:id="rId12" display="http://www.hokej.cz/tipsport-extraliga/stats-center?season=2017&amp;competition=6173&amp;team=823&amp;yearFrom=&amp;stranger=0&amp;state=&amp;stats-order=tm&amp;stats-direction=desc" xr:uid="{00000000-0004-0000-0100-00000B000000}"/>
    <hyperlink ref="BD5" r:id="rId13" display="http://www.hokej.cz/tipsport-extraliga/stats-center?season=2017&amp;competition=6173&amp;team=823&amp;yearFrom=&amp;stranger=0&amp;state=&amp;stats-order=tim&amp;stats-direction=desc" xr:uid="{00000000-0004-0000-0100-00000C000000}"/>
  </hyperlinks>
  <pageMargins left="0.7" right="0.7" top="0.78740157499999996" bottom="0.78740157499999996" header="0.3" footer="0.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V110"/>
  <sheetViews>
    <sheetView topLeftCell="A17" workbookViewId="0">
      <selection activeCell="L12" sqref="L12"/>
    </sheetView>
  </sheetViews>
  <sheetFormatPr defaultRowHeight="14.4" x14ac:dyDescent="0.3"/>
  <cols>
    <col min="1" max="1" width="4.5546875" customWidth="1"/>
    <col min="2" max="2" width="20.33203125" customWidth="1"/>
    <col min="3" max="3" width="12.44140625" style="2" customWidth="1"/>
    <col min="4" max="4" width="9.109375" style="2"/>
    <col min="5" max="5" width="15" style="2" customWidth="1"/>
    <col min="6" max="6" width="9.109375" style="2"/>
    <col min="7" max="7" width="13.5546875" style="2" customWidth="1"/>
    <col min="8" max="8" width="23.109375" style="2" customWidth="1"/>
    <col min="9" max="9" width="10.109375" style="2" customWidth="1"/>
    <col min="10" max="10" width="12.5546875" customWidth="1"/>
    <col min="11" max="11" width="38.5546875" customWidth="1"/>
    <col min="12" max="12" width="22.33203125" customWidth="1"/>
    <col min="13" max="13" width="19.88671875" customWidth="1"/>
    <col min="14" max="14" width="18.6640625" customWidth="1"/>
    <col min="15" max="15" width="12.109375" customWidth="1"/>
    <col min="16" max="16" width="13.6640625" customWidth="1"/>
    <col min="20" max="20" width="27.88671875" customWidth="1"/>
    <col min="21" max="21" width="18.33203125" customWidth="1"/>
    <col min="22" max="22" width="27.5546875" customWidth="1"/>
  </cols>
  <sheetData>
    <row r="3" spans="2:22" x14ac:dyDescent="0.3">
      <c r="B3" s="2" t="s">
        <v>785</v>
      </c>
      <c r="C3" s="2" t="s">
        <v>14</v>
      </c>
      <c r="D3" s="2" t="s">
        <v>15</v>
      </c>
      <c r="E3" s="2" t="s">
        <v>11</v>
      </c>
      <c r="F3" s="2" t="s">
        <v>12</v>
      </c>
      <c r="G3" s="2" t="s">
        <v>13</v>
      </c>
      <c r="H3" s="2" t="s">
        <v>157</v>
      </c>
      <c r="I3" s="2" t="s">
        <v>833</v>
      </c>
      <c r="K3" s="8"/>
    </row>
    <row r="4" spans="2:22" x14ac:dyDescent="0.3">
      <c r="B4" s="2">
        <v>1</v>
      </c>
      <c r="C4" s="2">
        <v>1</v>
      </c>
      <c r="D4" s="2" t="s">
        <v>6086</v>
      </c>
      <c r="E4" s="4">
        <v>43357</v>
      </c>
      <c r="F4" s="2" t="s">
        <v>18</v>
      </c>
      <c r="G4" s="2" t="s">
        <v>16</v>
      </c>
      <c r="H4" s="60">
        <v>0.16874999999999998</v>
      </c>
      <c r="I4" s="60"/>
      <c r="L4" s="2"/>
      <c r="M4" s="2"/>
      <c r="N4" s="2"/>
    </row>
    <row r="5" spans="2:22" x14ac:dyDescent="0.3">
      <c r="B5" s="2">
        <v>2</v>
      </c>
      <c r="C5" s="2">
        <v>2</v>
      </c>
      <c r="D5" s="2" t="s">
        <v>326</v>
      </c>
      <c r="E5" s="4">
        <v>43359</v>
      </c>
      <c r="F5" s="2" t="s">
        <v>19</v>
      </c>
      <c r="G5" s="2" t="s">
        <v>17</v>
      </c>
      <c r="H5" s="60">
        <v>0.20972222222222223</v>
      </c>
      <c r="I5" s="60" t="s">
        <v>834</v>
      </c>
    </row>
    <row r="6" spans="2:22" ht="15" thickBot="1" x14ac:dyDescent="0.35">
      <c r="B6" s="2">
        <v>3</v>
      </c>
      <c r="C6" s="2">
        <v>3</v>
      </c>
      <c r="D6" s="2" t="s">
        <v>327</v>
      </c>
      <c r="E6" s="4">
        <v>43364</v>
      </c>
      <c r="F6" s="2" t="s">
        <v>18</v>
      </c>
      <c r="G6" s="2" t="s">
        <v>16</v>
      </c>
      <c r="H6" s="60">
        <v>0.25138888888888888</v>
      </c>
      <c r="I6" s="60" t="s">
        <v>834</v>
      </c>
      <c r="K6" s="2"/>
      <c r="L6" s="2"/>
      <c r="M6" s="2"/>
      <c r="N6" s="4"/>
      <c r="O6" s="2"/>
    </row>
    <row r="7" spans="2:22" ht="15" thickBot="1" x14ac:dyDescent="0.35">
      <c r="B7" s="2">
        <v>4</v>
      </c>
      <c r="C7" s="2">
        <v>4</v>
      </c>
      <c r="D7" s="2" t="s">
        <v>612</v>
      </c>
      <c r="E7" s="4">
        <v>43366</v>
      </c>
      <c r="F7" s="2" t="s">
        <v>19</v>
      </c>
      <c r="G7" s="2" t="s">
        <v>17</v>
      </c>
      <c r="H7" s="60">
        <v>0.1673611111111111</v>
      </c>
      <c r="I7" s="60" t="s">
        <v>834</v>
      </c>
      <c r="K7" s="1146" t="s">
        <v>841</v>
      </c>
      <c r="L7" s="1147"/>
      <c r="M7" s="1147"/>
      <c r="N7" s="1147"/>
      <c r="O7" s="1147"/>
      <c r="P7" s="1148"/>
    </row>
    <row r="8" spans="2:22" x14ac:dyDescent="0.3">
      <c r="B8" s="2">
        <v>5</v>
      </c>
      <c r="C8" s="2">
        <v>5</v>
      </c>
      <c r="D8" s="2" t="s">
        <v>6076</v>
      </c>
      <c r="E8" s="4">
        <v>43371</v>
      </c>
      <c r="F8" s="2" t="s">
        <v>18</v>
      </c>
      <c r="G8" s="2" t="s">
        <v>16</v>
      </c>
      <c r="H8" s="60" t="s">
        <v>164</v>
      </c>
      <c r="I8" s="60" t="s">
        <v>834</v>
      </c>
      <c r="K8" s="185" t="s">
        <v>220</v>
      </c>
      <c r="L8" s="96" t="s">
        <v>14</v>
      </c>
      <c r="M8" s="96" t="s">
        <v>15</v>
      </c>
      <c r="N8" s="96" t="s">
        <v>11</v>
      </c>
      <c r="O8" s="96" t="s">
        <v>12</v>
      </c>
      <c r="P8" s="186" t="s">
        <v>1051</v>
      </c>
    </row>
    <row r="9" spans="2:22" x14ac:dyDescent="0.3">
      <c r="B9" s="2">
        <v>6</v>
      </c>
      <c r="C9" s="2">
        <v>6</v>
      </c>
      <c r="D9" s="2" t="s">
        <v>626</v>
      </c>
      <c r="E9" s="4">
        <v>43373</v>
      </c>
      <c r="F9" s="2" t="s">
        <v>19</v>
      </c>
      <c r="G9" s="2" t="s">
        <v>17</v>
      </c>
      <c r="H9" s="60">
        <v>8.4027777777777771E-2</v>
      </c>
      <c r="I9" s="60" t="s">
        <v>834</v>
      </c>
      <c r="K9" s="106" t="s">
        <v>775</v>
      </c>
      <c r="L9" s="2">
        <v>3</v>
      </c>
      <c r="M9" s="2" t="s">
        <v>327</v>
      </c>
      <c r="N9" s="4">
        <v>43364</v>
      </c>
      <c r="O9" s="2" t="s">
        <v>18</v>
      </c>
      <c r="P9" s="99" t="s">
        <v>16</v>
      </c>
      <c r="Q9" s="2"/>
    </row>
    <row r="10" spans="2:22" x14ac:dyDescent="0.3">
      <c r="B10" s="2">
        <v>7</v>
      </c>
      <c r="C10" s="2">
        <v>7</v>
      </c>
      <c r="D10" s="2" t="s">
        <v>334</v>
      </c>
      <c r="E10" s="4">
        <v>43378</v>
      </c>
      <c r="F10" s="2" t="s">
        <v>18</v>
      </c>
      <c r="G10" s="2" t="s">
        <v>17</v>
      </c>
      <c r="H10" s="60">
        <v>1.3888888888888889E-3</v>
      </c>
      <c r="I10" s="60"/>
      <c r="K10" s="106" t="s">
        <v>827</v>
      </c>
      <c r="L10" s="2">
        <v>5</v>
      </c>
      <c r="M10" s="2" t="s">
        <v>6076</v>
      </c>
      <c r="N10" s="4">
        <v>43371</v>
      </c>
      <c r="O10" s="2" t="s">
        <v>18</v>
      </c>
      <c r="P10" s="99" t="s">
        <v>16</v>
      </c>
    </row>
    <row r="11" spans="2:22" ht="15" thickBot="1" x14ac:dyDescent="0.35">
      <c r="B11" s="2">
        <v>8</v>
      </c>
      <c r="C11" s="2">
        <v>8</v>
      </c>
      <c r="D11" s="2" t="s">
        <v>1274</v>
      </c>
      <c r="E11" s="4">
        <v>43380</v>
      </c>
      <c r="F11" s="2" t="s">
        <v>19</v>
      </c>
      <c r="G11" s="2" t="s">
        <v>17</v>
      </c>
      <c r="H11" s="60">
        <v>8.4027777777777771E-2</v>
      </c>
      <c r="I11" s="60" t="s">
        <v>834</v>
      </c>
      <c r="K11" s="106" t="s">
        <v>825</v>
      </c>
      <c r="L11" s="2">
        <v>12</v>
      </c>
      <c r="M11" s="2" t="s">
        <v>331</v>
      </c>
      <c r="N11" s="4">
        <v>43394</v>
      </c>
      <c r="O11" s="2" t="s">
        <v>19</v>
      </c>
      <c r="P11" s="99" t="s">
        <v>743</v>
      </c>
    </row>
    <row r="12" spans="2:22" x14ac:dyDescent="0.3">
      <c r="B12" s="2">
        <v>9</v>
      </c>
      <c r="C12" s="2">
        <v>9</v>
      </c>
      <c r="D12" s="2" t="s">
        <v>6179</v>
      </c>
      <c r="E12" s="4">
        <v>43385</v>
      </c>
      <c r="F12" s="2" t="s">
        <v>18</v>
      </c>
      <c r="G12" s="2" t="s">
        <v>16</v>
      </c>
      <c r="H12" s="60">
        <v>4.3750000000000004E-2</v>
      </c>
      <c r="I12" s="60"/>
      <c r="K12" s="106" t="s">
        <v>826</v>
      </c>
      <c r="L12" s="2">
        <v>24</v>
      </c>
      <c r="M12" s="2" t="s">
        <v>325</v>
      </c>
      <c r="N12" s="4">
        <v>43396</v>
      </c>
      <c r="O12" s="2" t="s">
        <v>20</v>
      </c>
      <c r="P12" s="99" t="s">
        <v>16</v>
      </c>
      <c r="T12" s="95" t="s">
        <v>191</v>
      </c>
      <c r="U12" s="96" t="s">
        <v>221</v>
      </c>
      <c r="V12" s="97" t="s">
        <v>222</v>
      </c>
    </row>
    <row r="13" spans="2:22" x14ac:dyDescent="0.3">
      <c r="B13" s="2">
        <v>10</v>
      </c>
      <c r="C13" s="2">
        <v>10</v>
      </c>
      <c r="D13" s="2" t="s">
        <v>610</v>
      </c>
      <c r="E13" s="4">
        <v>43387</v>
      </c>
      <c r="F13" s="2" t="s">
        <v>19</v>
      </c>
      <c r="G13" s="2" t="s">
        <v>16</v>
      </c>
      <c r="H13" s="60">
        <v>3.472222222222222E-3</v>
      </c>
      <c r="I13" s="60"/>
      <c r="K13" s="106" t="s">
        <v>775</v>
      </c>
      <c r="L13" s="2">
        <v>27</v>
      </c>
      <c r="M13" s="2" t="s">
        <v>6086</v>
      </c>
      <c r="N13" s="4">
        <v>43453</v>
      </c>
      <c r="O13" s="2" t="s">
        <v>21</v>
      </c>
      <c r="P13" s="99" t="s">
        <v>743</v>
      </c>
      <c r="T13" s="105" t="s">
        <v>184</v>
      </c>
      <c r="U13" s="62">
        <v>7</v>
      </c>
      <c r="V13" s="98">
        <v>7</v>
      </c>
    </row>
    <row r="14" spans="2:22" x14ac:dyDescent="0.3">
      <c r="B14" s="2">
        <v>11</v>
      </c>
      <c r="C14" s="2">
        <v>11</v>
      </c>
      <c r="D14" s="2" t="s">
        <v>325</v>
      </c>
      <c r="E14" s="4">
        <v>43393</v>
      </c>
      <c r="F14" s="2" t="s">
        <v>23</v>
      </c>
      <c r="G14" s="2" t="s">
        <v>17</v>
      </c>
      <c r="H14" s="60">
        <v>1.3888888888888889E-3</v>
      </c>
      <c r="I14" s="60" t="s">
        <v>834</v>
      </c>
      <c r="K14" s="106" t="s">
        <v>775</v>
      </c>
      <c r="L14" s="2">
        <v>29</v>
      </c>
      <c r="M14" s="2" t="s">
        <v>327</v>
      </c>
      <c r="N14" s="4">
        <v>43460</v>
      </c>
      <c r="O14" s="2" t="s">
        <v>21</v>
      </c>
      <c r="P14" s="99" t="s">
        <v>16</v>
      </c>
      <c r="T14" s="105" t="s">
        <v>185</v>
      </c>
      <c r="U14" s="62">
        <v>15</v>
      </c>
      <c r="V14" s="98">
        <v>15</v>
      </c>
    </row>
    <row r="15" spans="2:22" x14ac:dyDescent="0.3">
      <c r="B15" s="2">
        <v>12</v>
      </c>
      <c r="C15" s="2">
        <v>12</v>
      </c>
      <c r="D15" s="2" t="s">
        <v>331</v>
      </c>
      <c r="E15" s="4">
        <v>43394</v>
      </c>
      <c r="F15" s="2" t="s">
        <v>19</v>
      </c>
      <c r="G15" s="2" t="s">
        <v>16</v>
      </c>
      <c r="H15" s="60">
        <v>4.4444444444444446E-2</v>
      </c>
      <c r="I15" s="60" t="s">
        <v>834</v>
      </c>
      <c r="K15" s="106" t="s">
        <v>826</v>
      </c>
      <c r="L15" s="2">
        <v>36</v>
      </c>
      <c r="M15" s="2" t="s">
        <v>610</v>
      </c>
      <c r="N15" s="4">
        <v>43483</v>
      </c>
      <c r="O15" s="2" t="s">
        <v>18</v>
      </c>
      <c r="P15" s="99" t="s">
        <v>16</v>
      </c>
      <c r="T15" s="105" t="s">
        <v>186</v>
      </c>
      <c r="U15" s="62">
        <v>9</v>
      </c>
      <c r="V15" s="98">
        <v>10</v>
      </c>
    </row>
    <row r="16" spans="2:22" x14ac:dyDescent="0.3">
      <c r="B16" s="2">
        <v>13</v>
      </c>
      <c r="C16" s="2">
        <v>24</v>
      </c>
      <c r="D16" s="2" t="s">
        <v>325</v>
      </c>
      <c r="E16" s="4">
        <v>43396</v>
      </c>
      <c r="F16" s="2" t="s">
        <v>20</v>
      </c>
      <c r="G16" s="2" t="s">
        <v>16</v>
      </c>
      <c r="H16" s="60">
        <v>8.4027777777777771E-2</v>
      </c>
      <c r="I16" s="60" t="s">
        <v>834</v>
      </c>
      <c r="K16" s="106" t="s">
        <v>826</v>
      </c>
      <c r="L16" s="2">
        <v>38</v>
      </c>
      <c r="M16" s="2" t="s">
        <v>331</v>
      </c>
      <c r="N16" s="4">
        <v>43490</v>
      </c>
      <c r="O16" s="2" t="s">
        <v>18</v>
      </c>
      <c r="P16" s="99" t="s">
        <v>743</v>
      </c>
      <c r="T16" s="105" t="s">
        <v>187</v>
      </c>
      <c r="U16" s="2">
        <v>8</v>
      </c>
      <c r="V16" s="99">
        <v>7</v>
      </c>
    </row>
    <row r="17" spans="2:22" x14ac:dyDescent="0.3">
      <c r="B17" s="2">
        <v>14</v>
      </c>
      <c r="C17" s="2">
        <v>13</v>
      </c>
      <c r="D17" s="2" t="s">
        <v>328</v>
      </c>
      <c r="E17" s="4">
        <v>43399</v>
      </c>
      <c r="F17" s="2" t="s">
        <v>18</v>
      </c>
      <c r="G17" s="2" t="s">
        <v>17</v>
      </c>
      <c r="H17" s="60">
        <v>4.1666666666666664E-2</v>
      </c>
      <c r="I17" s="60" t="s">
        <v>834</v>
      </c>
      <c r="K17" s="106" t="s">
        <v>1052</v>
      </c>
      <c r="L17" s="2">
        <v>43</v>
      </c>
      <c r="M17" s="2" t="s">
        <v>612</v>
      </c>
      <c r="N17" s="4">
        <v>43509</v>
      </c>
      <c r="O17" s="2" t="s">
        <v>21</v>
      </c>
      <c r="P17" s="99" t="s">
        <v>743</v>
      </c>
      <c r="T17" s="105" t="s">
        <v>188</v>
      </c>
      <c r="U17" s="2">
        <v>4</v>
      </c>
      <c r="V17" s="99">
        <v>6</v>
      </c>
    </row>
    <row r="18" spans="2:22" ht="15" thickBot="1" x14ac:dyDescent="0.35">
      <c r="B18" s="2">
        <v>15</v>
      </c>
      <c r="C18" s="2">
        <v>14</v>
      </c>
      <c r="D18" s="2" t="s">
        <v>6086</v>
      </c>
      <c r="E18" s="4">
        <v>43401</v>
      </c>
      <c r="F18" s="2" t="s">
        <v>19</v>
      </c>
      <c r="G18" s="2" t="s">
        <v>17</v>
      </c>
      <c r="H18" s="60">
        <v>2.0833333333333333E-3</v>
      </c>
      <c r="I18" s="60" t="s">
        <v>834</v>
      </c>
      <c r="K18" s="187" t="s">
        <v>1052</v>
      </c>
      <c r="L18" s="103">
        <v>50</v>
      </c>
      <c r="M18" s="103" t="s">
        <v>325</v>
      </c>
      <c r="N18" s="255">
        <v>43527</v>
      </c>
      <c r="O18" s="103" t="s">
        <v>19</v>
      </c>
      <c r="P18" s="104" t="s">
        <v>743</v>
      </c>
      <c r="T18" s="105" t="s">
        <v>189</v>
      </c>
      <c r="U18" s="2">
        <v>5</v>
      </c>
      <c r="V18" s="99">
        <v>3</v>
      </c>
    </row>
    <row r="19" spans="2:22" x14ac:dyDescent="0.3">
      <c r="B19" s="2">
        <v>16</v>
      </c>
      <c r="C19" s="2">
        <v>15</v>
      </c>
      <c r="D19" s="2" t="s">
        <v>326</v>
      </c>
      <c r="E19" s="4">
        <v>43403</v>
      </c>
      <c r="F19" s="2" t="s">
        <v>20</v>
      </c>
      <c r="G19" s="2" t="s">
        <v>16</v>
      </c>
      <c r="H19" s="60">
        <v>8.6805555555555566E-2</v>
      </c>
      <c r="K19" s="2" t="s">
        <v>726</v>
      </c>
      <c r="L19" s="2">
        <f>COUNT(L9:L18)</f>
        <v>10</v>
      </c>
      <c r="M19" s="2"/>
      <c r="N19" s="4"/>
      <c r="O19" s="2"/>
      <c r="T19" s="105" t="s">
        <v>190</v>
      </c>
      <c r="U19" s="2">
        <v>3</v>
      </c>
      <c r="V19" s="99">
        <v>3</v>
      </c>
    </row>
    <row r="20" spans="2:22" x14ac:dyDescent="0.3">
      <c r="B20" s="2">
        <v>17</v>
      </c>
      <c r="C20" s="2">
        <v>16</v>
      </c>
      <c r="D20" s="2" t="s">
        <v>327</v>
      </c>
      <c r="E20" s="4">
        <v>43407</v>
      </c>
      <c r="F20" s="2" t="s">
        <v>23</v>
      </c>
      <c r="G20" s="2" t="s">
        <v>17</v>
      </c>
      <c r="H20" s="60">
        <v>0.1277777777777778</v>
      </c>
      <c r="I20" s="60" t="s">
        <v>834</v>
      </c>
      <c r="K20" s="2"/>
      <c r="L20" s="2"/>
      <c r="M20" s="2"/>
      <c r="N20" s="4"/>
      <c r="O20" s="2"/>
      <c r="T20" s="105" t="s">
        <v>855</v>
      </c>
      <c r="U20" s="2">
        <v>1</v>
      </c>
      <c r="V20" s="99">
        <v>1</v>
      </c>
    </row>
    <row r="21" spans="2:22" x14ac:dyDescent="0.3">
      <c r="B21" s="2">
        <v>18</v>
      </c>
      <c r="C21" s="2">
        <v>17</v>
      </c>
      <c r="D21" s="2" t="s">
        <v>612</v>
      </c>
      <c r="E21" s="4">
        <v>43408</v>
      </c>
      <c r="F21" s="2" t="s">
        <v>19</v>
      </c>
      <c r="G21" s="2" t="s">
        <v>16</v>
      </c>
      <c r="H21" s="60" t="s">
        <v>160</v>
      </c>
      <c r="I21" s="60"/>
      <c r="L21" s="2"/>
      <c r="M21" s="2"/>
      <c r="N21" s="4"/>
      <c r="O21" s="2"/>
      <c r="T21" s="106"/>
      <c r="U21" s="2">
        <f>SUM(U13:U20)</f>
        <v>52</v>
      </c>
      <c r="V21" s="99">
        <f>SUM(V13:V20)</f>
        <v>52</v>
      </c>
    </row>
    <row r="22" spans="2:22" x14ac:dyDescent="0.3">
      <c r="B22" s="2">
        <v>19</v>
      </c>
      <c r="C22" s="2">
        <v>18</v>
      </c>
      <c r="D22" s="2" t="s">
        <v>6076</v>
      </c>
      <c r="E22" s="4">
        <v>43418</v>
      </c>
      <c r="F22" s="2" t="s">
        <v>21</v>
      </c>
      <c r="G22" s="2" t="s">
        <v>17</v>
      </c>
      <c r="H22" s="60">
        <v>0.29305555555555557</v>
      </c>
      <c r="I22" s="60" t="s">
        <v>834</v>
      </c>
      <c r="L22" s="2"/>
      <c r="M22" s="2"/>
      <c r="N22" s="4"/>
      <c r="O22" s="2"/>
      <c r="T22" s="106"/>
      <c r="V22" s="100"/>
    </row>
    <row r="23" spans="2:22" x14ac:dyDescent="0.3">
      <c r="B23" s="2">
        <v>20</v>
      </c>
      <c r="C23" s="2">
        <v>19</v>
      </c>
      <c r="D23" s="2" t="s">
        <v>626</v>
      </c>
      <c r="E23" s="4">
        <v>43420</v>
      </c>
      <c r="F23" s="2" t="s">
        <v>18</v>
      </c>
      <c r="G23" s="2" t="s">
        <v>16</v>
      </c>
      <c r="H23" s="60">
        <v>4.3750000000000004E-2</v>
      </c>
      <c r="I23" s="60"/>
      <c r="L23" s="2"/>
      <c r="M23" s="2"/>
      <c r="N23" s="4"/>
      <c r="O23" s="2"/>
      <c r="T23" s="106"/>
      <c r="V23" s="100"/>
    </row>
    <row r="24" spans="2:22" x14ac:dyDescent="0.3">
      <c r="B24" s="2">
        <v>21</v>
      </c>
      <c r="C24" s="2">
        <v>20</v>
      </c>
      <c r="D24" s="2" t="s">
        <v>334</v>
      </c>
      <c r="E24" s="4">
        <v>43421</v>
      </c>
      <c r="F24" s="2" t="s">
        <v>23</v>
      </c>
      <c r="G24" s="2" t="s">
        <v>16</v>
      </c>
      <c r="H24" s="60">
        <v>8.6111111111111124E-2</v>
      </c>
      <c r="I24" s="60"/>
      <c r="L24" s="2"/>
      <c r="M24" s="2"/>
      <c r="N24" s="4"/>
      <c r="O24" s="2"/>
      <c r="T24" s="105" t="s">
        <v>191</v>
      </c>
      <c r="U24" s="2" t="s">
        <v>221</v>
      </c>
      <c r="V24" s="101" t="s">
        <v>222</v>
      </c>
    </row>
    <row r="25" spans="2:22" x14ac:dyDescent="0.3">
      <c r="B25" s="2">
        <v>22</v>
      </c>
      <c r="C25" s="2">
        <v>21</v>
      </c>
      <c r="D25" s="2" t="s">
        <v>1274</v>
      </c>
      <c r="E25" s="4">
        <v>43427</v>
      </c>
      <c r="F25" s="2" t="s">
        <v>18</v>
      </c>
      <c r="G25" s="2" t="s">
        <v>16</v>
      </c>
      <c r="H25" s="60">
        <v>8.5416666666666655E-2</v>
      </c>
      <c r="I25" s="60"/>
      <c r="L25" s="2"/>
      <c r="M25" s="2"/>
      <c r="N25" s="4"/>
      <c r="O25" s="2"/>
      <c r="T25" s="105" t="s">
        <v>198</v>
      </c>
      <c r="U25" s="62">
        <v>2</v>
      </c>
      <c r="V25" s="98">
        <v>2</v>
      </c>
    </row>
    <row r="26" spans="2:22" x14ac:dyDescent="0.3">
      <c r="B26" s="2">
        <v>23</v>
      </c>
      <c r="C26" s="2">
        <v>22</v>
      </c>
      <c r="D26" s="2" t="s">
        <v>6179</v>
      </c>
      <c r="E26" s="4">
        <v>43429</v>
      </c>
      <c r="F26" s="2" t="s">
        <v>19</v>
      </c>
      <c r="G26" s="2" t="s">
        <v>17</v>
      </c>
      <c r="H26" s="60">
        <v>8.5416666666666655E-2</v>
      </c>
      <c r="I26" s="60" t="s">
        <v>834</v>
      </c>
      <c r="L26" s="2"/>
      <c r="M26" s="2"/>
      <c r="N26" s="4"/>
      <c r="T26" s="105" t="s">
        <v>199</v>
      </c>
      <c r="U26" s="2">
        <v>11</v>
      </c>
      <c r="V26" s="99">
        <v>11</v>
      </c>
    </row>
    <row r="27" spans="2:22" x14ac:dyDescent="0.3">
      <c r="B27" s="2">
        <v>24</v>
      </c>
      <c r="C27" s="2">
        <v>23</v>
      </c>
      <c r="D27" s="2" t="s">
        <v>610</v>
      </c>
      <c r="E27" s="4">
        <v>43434</v>
      </c>
      <c r="F27" s="2" t="s">
        <v>18</v>
      </c>
      <c r="G27" s="2" t="s">
        <v>17</v>
      </c>
      <c r="H27" s="60">
        <v>0.25138888888888888</v>
      </c>
      <c r="I27" s="60" t="s">
        <v>834</v>
      </c>
      <c r="J27" t="s">
        <v>1088</v>
      </c>
      <c r="L27" s="2"/>
      <c r="M27" s="2"/>
      <c r="N27" s="4"/>
      <c r="T27" s="105" t="s">
        <v>200</v>
      </c>
      <c r="U27" s="2">
        <v>10</v>
      </c>
      <c r="V27" s="99">
        <v>11</v>
      </c>
    </row>
    <row r="28" spans="2:22" x14ac:dyDescent="0.3">
      <c r="B28" s="2">
        <v>25</v>
      </c>
      <c r="C28" s="2">
        <v>25</v>
      </c>
      <c r="D28" s="2" t="s">
        <v>331</v>
      </c>
      <c r="E28" s="4">
        <v>43441</v>
      </c>
      <c r="F28" s="2" t="s">
        <v>18</v>
      </c>
      <c r="G28" s="2" t="s">
        <v>17</v>
      </c>
      <c r="H28" s="60" t="s">
        <v>208</v>
      </c>
      <c r="I28" s="60" t="s">
        <v>834</v>
      </c>
      <c r="K28" s="2"/>
      <c r="L28" s="2"/>
      <c r="M28" s="2"/>
      <c r="N28" s="4"/>
      <c r="O28" s="2"/>
      <c r="T28" s="105" t="s">
        <v>201</v>
      </c>
      <c r="U28" s="2">
        <v>10</v>
      </c>
      <c r="V28" s="99">
        <v>11</v>
      </c>
    </row>
    <row r="29" spans="2:22" x14ac:dyDescent="0.3">
      <c r="B29" s="2">
        <v>26</v>
      </c>
      <c r="C29" s="2">
        <v>26</v>
      </c>
      <c r="D29" s="2" t="s">
        <v>328</v>
      </c>
      <c r="E29" s="4">
        <v>43443</v>
      </c>
      <c r="F29" s="2" t="s">
        <v>19</v>
      </c>
      <c r="G29" s="2" t="s">
        <v>16</v>
      </c>
      <c r="H29" s="60">
        <v>0.125</v>
      </c>
      <c r="I29" s="60"/>
      <c r="L29" s="2"/>
      <c r="M29" s="2"/>
      <c r="N29" s="4"/>
      <c r="O29" s="2"/>
      <c r="T29" s="105" t="s">
        <v>202</v>
      </c>
      <c r="U29" s="2">
        <v>12</v>
      </c>
      <c r="V29" s="99">
        <v>12</v>
      </c>
    </row>
    <row r="30" spans="2:22" x14ac:dyDescent="0.3">
      <c r="B30" s="2">
        <v>27</v>
      </c>
      <c r="C30" s="2">
        <v>27</v>
      </c>
      <c r="D30" s="2" t="s">
        <v>6086</v>
      </c>
      <c r="E30" s="4">
        <v>43453</v>
      </c>
      <c r="F30" s="2" t="s">
        <v>21</v>
      </c>
      <c r="G30" s="2" t="s">
        <v>16</v>
      </c>
      <c r="H30" s="60">
        <v>8.6805555555555566E-2</v>
      </c>
      <c r="I30" s="60" t="s">
        <v>834</v>
      </c>
      <c r="L30" s="2"/>
      <c r="M30" s="2"/>
      <c r="N30" s="4"/>
      <c r="O30" s="2"/>
      <c r="T30" s="105" t="s">
        <v>203</v>
      </c>
      <c r="U30" s="2">
        <v>6</v>
      </c>
      <c r="V30" s="99">
        <v>4</v>
      </c>
    </row>
    <row r="31" spans="2:22" x14ac:dyDescent="0.3">
      <c r="B31" s="2">
        <v>28</v>
      </c>
      <c r="C31" s="2">
        <v>28</v>
      </c>
      <c r="D31" s="2" t="s">
        <v>326</v>
      </c>
      <c r="E31" s="4">
        <v>43455</v>
      </c>
      <c r="F31" s="2" t="s">
        <v>18</v>
      </c>
      <c r="G31" s="2" t="s">
        <v>17</v>
      </c>
      <c r="H31" s="60">
        <v>0.21041666666666667</v>
      </c>
      <c r="L31" s="2"/>
      <c r="M31" s="2"/>
      <c r="N31" s="4"/>
      <c r="O31" s="2"/>
      <c r="T31" s="105" t="s">
        <v>204</v>
      </c>
      <c r="U31" s="2">
        <v>0</v>
      </c>
      <c r="V31" s="99">
        <v>0</v>
      </c>
    </row>
    <row r="32" spans="2:22" x14ac:dyDescent="0.3">
      <c r="B32" s="2">
        <v>29</v>
      </c>
      <c r="C32" s="2">
        <v>29</v>
      </c>
      <c r="D32" s="2" t="s">
        <v>327</v>
      </c>
      <c r="E32" s="4">
        <v>43460</v>
      </c>
      <c r="F32" s="2" t="s">
        <v>21</v>
      </c>
      <c r="G32" s="2" t="s">
        <v>16</v>
      </c>
      <c r="H32" s="60">
        <v>0.12638888888888888</v>
      </c>
      <c r="I32" s="60" t="s">
        <v>834</v>
      </c>
      <c r="L32" s="2"/>
      <c r="M32" s="2"/>
      <c r="N32" s="4"/>
      <c r="O32" s="2"/>
      <c r="T32" s="105" t="s">
        <v>205</v>
      </c>
      <c r="U32" s="2">
        <v>1</v>
      </c>
      <c r="V32" s="99">
        <v>1</v>
      </c>
    </row>
    <row r="33" spans="2:22" ht="15" thickBot="1" x14ac:dyDescent="0.35">
      <c r="B33" s="2">
        <v>30</v>
      </c>
      <c r="C33" s="2">
        <v>30</v>
      </c>
      <c r="D33" s="2" t="s">
        <v>612</v>
      </c>
      <c r="E33" s="4">
        <v>43462</v>
      </c>
      <c r="F33" s="2" t="s">
        <v>18</v>
      </c>
      <c r="G33" s="2" t="s">
        <v>17</v>
      </c>
      <c r="H33" s="60">
        <v>6.9444444444444447E-4</v>
      </c>
      <c r="I33" s="60" t="s">
        <v>834</v>
      </c>
      <c r="L33" s="2"/>
      <c r="M33" s="2"/>
      <c r="N33" s="4"/>
      <c r="O33" s="2"/>
      <c r="T33" s="102"/>
      <c r="U33" s="103">
        <f>SUM(U25:U32)</f>
        <v>52</v>
      </c>
      <c r="V33" s="104">
        <f>SUM(V25:V32)</f>
        <v>52</v>
      </c>
    </row>
    <row r="34" spans="2:22" ht="15" thickBot="1" x14ac:dyDescent="0.35">
      <c r="B34" s="2">
        <v>31</v>
      </c>
      <c r="C34" s="2">
        <v>31</v>
      </c>
      <c r="D34" s="2" t="s">
        <v>6076</v>
      </c>
      <c r="E34" s="4">
        <v>43464</v>
      </c>
      <c r="F34" s="2" t="s">
        <v>19</v>
      </c>
      <c r="G34" s="2" t="s">
        <v>16</v>
      </c>
      <c r="H34" s="60">
        <v>0.12638888888888888</v>
      </c>
    </row>
    <row r="35" spans="2:22" ht="15" thickBot="1" x14ac:dyDescent="0.35">
      <c r="B35" s="2">
        <v>32</v>
      </c>
      <c r="C35" s="2">
        <v>32</v>
      </c>
      <c r="D35" s="2" t="s">
        <v>626</v>
      </c>
      <c r="E35" s="4">
        <v>43469</v>
      </c>
      <c r="F35" s="2" t="s">
        <v>18</v>
      </c>
      <c r="G35" s="2" t="s">
        <v>17</v>
      </c>
      <c r="H35" s="60">
        <v>4.4444444444444446E-2</v>
      </c>
      <c r="I35" s="60" t="s">
        <v>834</v>
      </c>
      <c r="U35" s="395" t="s">
        <v>3438</v>
      </c>
      <c r="V35" s="186" t="s">
        <v>3437</v>
      </c>
    </row>
    <row r="36" spans="2:22" ht="15" thickBot="1" x14ac:dyDescent="0.35">
      <c r="B36" s="2">
        <v>33</v>
      </c>
      <c r="C36" s="2">
        <v>33</v>
      </c>
      <c r="D36" s="2" t="s">
        <v>334</v>
      </c>
      <c r="E36" s="4">
        <v>43471</v>
      </c>
      <c r="F36" s="2" t="s">
        <v>19</v>
      </c>
      <c r="G36" s="2" t="s">
        <v>16</v>
      </c>
      <c r="H36" s="60">
        <v>4.4444444444444446E-2</v>
      </c>
      <c r="I36" s="60"/>
      <c r="K36" s="1146" t="s">
        <v>820</v>
      </c>
      <c r="L36" s="1147"/>
      <c r="M36" s="1147"/>
      <c r="N36" s="1148"/>
      <c r="O36" s="240" t="s">
        <v>315</v>
      </c>
      <c r="U36" s="396">
        <f>(SUM(V16:V20))/V21</f>
        <v>0.38461538461538464</v>
      </c>
      <c r="V36" s="394">
        <f>(V28+V29+V30+V31+V32)/V33</f>
        <v>0.53846153846153844</v>
      </c>
    </row>
    <row r="37" spans="2:22" x14ac:dyDescent="0.3">
      <c r="B37" s="2">
        <v>34</v>
      </c>
      <c r="C37" s="2">
        <v>34</v>
      </c>
      <c r="D37" s="2" t="s">
        <v>1274</v>
      </c>
      <c r="E37" s="4">
        <v>43476</v>
      </c>
      <c r="F37" s="2" t="s">
        <v>18</v>
      </c>
      <c r="G37" s="2" t="s">
        <v>17</v>
      </c>
      <c r="H37" s="60">
        <v>4.3055555555555562E-2</v>
      </c>
      <c r="I37" s="60" t="s">
        <v>834</v>
      </c>
      <c r="K37" s="247" t="s">
        <v>238</v>
      </c>
      <c r="L37" s="6" t="s">
        <v>239</v>
      </c>
      <c r="M37" s="6" t="s">
        <v>240</v>
      </c>
      <c r="N37" s="245" t="s">
        <v>241</v>
      </c>
      <c r="O37" s="121" t="s">
        <v>314</v>
      </c>
    </row>
    <row r="38" spans="2:22" x14ac:dyDescent="0.3">
      <c r="B38" s="2">
        <v>35</v>
      </c>
      <c r="C38" s="2">
        <v>35</v>
      </c>
      <c r="D38" s="2" t="s">
        <v>6179</v>
      </c>
      <c r="E38" s="4">
        <v>43478</v>
      </c>
      <c r="F38" s="2" t="s">
        <v>19</v>
      </c>
      <c r="G38" s="2" t="s">
        <v>16</v>
      </c>
      <c r="H38" s="60">
        <v>0.21041666666666667</v>
      </c>
      <c r="K38" s="105" t="s">
        <v>242</v>
      </c>
      <c r="L38" s="7" t="s">
        <v>247</v>
      </c>
      <c r="M38" s="7" t="s">
        <v>245</v>
      </c>
      <c r="N38" s="101" t="s">
        <v>244</v>
      </c>
      <c r="O38" s="107">
        <v>0.12569444444444444</v>
      </c>
    </row>
    <row r="39" spans="2:22" x14ac:dyDescent="0.3">
      <c r="B39" s="2">
        <v>36</v>
      </c>
      <c r="C39" s="2">
        <v>36</v>
      </c>
      <c r="D39" s="2" t="s">
        <v>610</v>
      </c>
      <c r="E39" s="4">
        <v>43483</v>
      </c>
      <c r="F39" s="2" t="s">
        <v>18</v>
      </c>
      <c r="G39" s="2" t="s">
        <v>16</v>
      </c>
      <c r="H39" s="60">
        <v>0.12638888888888888</v>
      </c>
      <c r="I39" s="60" t="s">
        <v>834</v>
      </c>
      <c r="K39" s="105" t="s">
        <v>246</v>
      </c>
      <c r="L39" s="7" t="s">
        <v>243</v>
      </c>
      <c r="M39" s="7" t="s">
        <v>244</v>
      </c>
      <c r="N39" s="101" t="s">
        <v>245</v>
      </c>
      <c r="O39" s="107">
        <v>0.20833333333333334</v>
      </c>
    </row>
    <row r="40" spans="2:22" x14ac:dyDescent="0.3">
      <c r="B40" s="2">
        <v>37</v>
      </c>
      <c r="C40" s="2">
        <v>37</v>
      </c>
      <c r="D40" s="2" t="s">
        <v>325</v>
      </c>
      <c r="E40" s="4">
        <v>43485</v>
      </c>
      <c r="F40" s="2" t="s">
        <v>19</v>
      </c>
      <c r="G40" s="2" t="s">
        <v>17</v>
      </c>
      <c r="H40" s="60">
        <v>4.4444444444444446E-2</v>
      </c>
      <c r="I40" s="60" t="s">
        <v>834</v>
      </c>
      <c r="K40" s="105" t="s">
        <v>248</v>
      </c>
      <c r="L40" s="7" t="s">
        <v>243</v>
      </c>
      <c r="M40" s="7" t="s">
        <v>244</v>
      </c>
      <c r="N40" s="101" t="s">
        <v>249</v>
      </c>
      <c r="O40" s="107">
        <v>0.21111111111111111</v>
      </c>
    </row>
    <row r="41" spans="2:22" x14ac:dyDescent="0.3">
      <c r="B41" s="2">
        <v>38</v>
      </c>
      <c r="C41" s="2">
        <v>38</v>
      </c>
      <c r="D41" s="2" t="s">
        <v>331</v>
      </c>
      <c r="E41" s="4">
        <v>43490</v>
      </c>
      <c r="F41" s="2" t="s">
        <v>18</v>
      </c>
      <c r="G41" s="2" t="s">
        <v>16</v>
      </c>
      <c r="H41" s="60">
        <v>4.6527777777777779E-2</v>
      </c>
      <c r="I41" s="60" t="s">
        <v>834</v>
      </c>
      <c r="K41" s="105" t="s">
        <v>250</v>
      </c>
      <c r="L41" s="7" t="s">
        <v>819</v>
      </c>
      <c r="M41" s="7" t="s">
        <v>249</v>
      </c>
      <c r="N41" s="101" t="s">
        <v>244</v>
      </c>
      <c r="O41" s="107" t="s">
        <v>171</v>
      </c>
    </row>
    <row r="42" spans="2:22" x14ac:dyDescent="0.3">
      <c r="B42" s="2">
        <v>39</v>
      </c>
      <c r="C42" s="2">
        <v>39</v>
      </c>
      <c r="D42" s="2" t="s">
        <v>328</v>
      </c>
      <c r="E42" s="4">
        <v>43492</v>
      </c>
      <c r="F42" s="2" t="s">
        <v>19</v>
      </c>
      <c r="G42" s="2" t="s">
        <v>17</v>
      </c>
      <c r="H42" s="60">
        <v>0.20902777777777778</v>
      </c>
      <c r="I42" s="60" t="s">
        <v>834</v>
      </c>
      <c r="K42" s="105" t="s">
        <v>251</v>
      </c>
      <c r="L42" s="7" t="s">
        <v>815</v>
      </c>
      <c r="M42" s="7" t="s">
        <v>252</v>
      </c>
      <c r="N42" s="101" t="s">
        <v>244</v>
      </c>
      <c r="O42" s="107">
        <v>4.3750000000000004E-2</v>
      </c>
    </row>
    <row r="43" spans="2:22" x14ac:dyDescent="0.3">
      <c r="B43" s="2">
        <v>40</v>
      </c>
      <c r="C43" s="2">
        <v>40</v>
      </c>
      <c r="D43" s="2" t="s">
        <v>6086</v>
      </c>
      <c r="E43" s="4">
        <v>43494</v>
      </c>
      <c r="F43" s="2" t="s">
        <v>20</v>
      </c>
      <c r="G43" s="2" t="s">
        <v>17</v>
      </c>
      <c r="H43" s="60">
        <v>2.7777777777777779E-3</v>
      </c>
      <c r="I43" s="60" t="s">
        <v>834</v>
      </c>
      <c r="K43" s="105" t="s">
        <v>253</v>
      </c>
      <c r="L43" s="7" t="s">
        <v>243</v>
      </c>
      <c r="M43" s="7" t="s">
        <v>244</v>
      </c>
      <c r="N43" s="101" t="s">
        <v>254</v>
      </c>
      <c r="O43" s="107">
        <v>0.20902777777777778</v>
      </c>
    </row>
    <row r="44" spans="2:22" x14ac:dyDescent="0.3">
      <c r="B44" s="2">
        <v>41</v>
      </c>
      <c r="C44" s="2">
        <v>41</v>
      </c>
      <c r="D44" s="2" t="s">
        <v>326</v>
      </c>
      <c r="E44" s="4">
        <v>43497</v>
      </c>
      <c r="F44" s="2" t="s">
        <v>18</v>
      </c>
      <c r="G44" s="2" t="s">
        <v>16</v>
      </c>
      <c r="H44" s="60" t="s">
        <v>355</v>
      </c>
      <c r="I44" s="60"/>
      <c r="K44" s="105" t="s">
        <v>255</v>
      </c>
      <c r="L44" s="7" t="s">
        <v>256</v>
      </c>
      <c r="M44" s="7" t="s">
        <v>254</v>
      </c>
      <c r="N44" s="101" t="s">
        <v>244</v>
      </c>
      <c r="O44" s="107">
        <v>4.4444444444444446E-2</v>
      </c>
    </row>
    <row r="45" spans="2:22" ht="15" thickBot="1" x14ac:dyDescent="0.35">
      <c r="B45" s="2">
        <v>42</v>
      </c>
      <c r="C45" s="2">
        <v>42</v>
      </c>
      <c r="D45" s="2" t="s">
        <v>327</v>
      </c>
      <c r="E45" s="4">
        <v>43499</v>
      </c>
      <c r="F45" s="2" t="s">
        <v>19</v>
      </c>
      <c r="G45" s="2" t="s">
        <v>17</v>
      </c>
      <c r="H45" s="60">
        <v>8.4027777777777771E-2</v>
      </c>
      <c r="I45" s="60" t="s">
        <v>834</v>
      </c>
      <c r="K45" s="248" t="s">
        <v>257</v>
      </c>
      <c r="L45" s="118" t="s">
        <v>243</v>
      </c>
      <c r="M45" s="118" t="s">
        <v>244</v>
      </c>
      <c r="N45" s="246" t="s">
        <v>258</v>
      </c>
      <c r="O45" s="122">
        <v>0.25138888888888888</v>
      </c>
    </row>
    <row r="46" spans="2:22" x14ac:dyDescent="0.3">
      <c r="B46" s="2">
        <v>43</v>
      </c>
      <c r="C46" s="2">
        <v>43</v>
      </c>
      <c r="D46" s="2" t="s">
        <v>612</v>
      </c>
      <c r="E46" s="4">
        <v>43509</v>
      </c>
      <c r="F46" s="2" t="s">
        <v>21</v>
      </c>
      <c r="G46" s="2" t="s">
        <v>16</v>
      </c>
      <c r="H46" s="60">
        <v>4.4444444444444446E-2</v>
      </c>
      <c r="I46" s="60" t="s">
        <v>834</v>
      </c>
      <c r="O46" s="180">
        <v>1.1791666666666667</v>
      </c>
      <c r="P46" s="2" t="s">
        <v>580</v>
      </c>
    </row>
    <row r="47" spans="2:22" x14ac:dyDescent="0.3">
      <c r="B47" s="2">
        <v>44</v>
      </c>
      <c r="C47" s="2">
        <v>44</v>
      </c>
      <c r="D47" s="2" t="s">
        <v>6076</v>
      </c>
      <c r="E47" s="4">
        <v>43511</v>
      </c>
      <c r="F47" s="2" t="s">
        <v>18</v>
      </c>
      <c r="G47" s="2" t="s">
        <v>17</v>
      </c>
      <c r="H47" s="60" t="s">
        <v>601</v>
      </c>
      <c r="I47" s="60" t="s">
        <v>834</v>
      </c>
      <c r="O47" s="60">
        <v>0.67222222222222217</v>
      </c>
      <c r="P47" s="2" t="s">
        <v>821</v>
      </c>
    </row>
    <row r="48" spans="2:22" x14ac:dyDescent="0.3">
      <c r="B48" s="2">
        <v>45</v>
      </c>
      <c r="C48" s="2">
        <v>45</v>
      </c>
      <c r="D48" s="2" t="s">
        <v>626</v>
      </c>
      <c r="E48" s="4">
        <v>43513</v>
      </c>
      <c r="F48" s="2" t="s">
        <v>19</v>
      </c>
      <c r="G48" s="2" t="s">
        <v>16</v>
      </c>
      <c r="H48" s="60" t="s">
        <v>601</v>
      </c>
      <c r="I48" s="60"/>
    </row>
    <row r="49" spans="2:14" x14ac:dyDescent="0.3">
      <c r="B49" s="2">
        <v>46</v>
      </c>
      <c r="C49" s="2">
        <v>46</v>
      </c>
      <c r="D49" s="2" t="s">
        <v>334</v>
      </c>
      <c r="E49" s="4">
        <v>43515</v>
      </c>
      <c r="F49" s="2" t="s">
        <v>20</v>
      </c>
      <c r="G49" s="2" t="s">
        <v>17</v>
      </c>
      <c r="H49" s="60">
        <v>3.472222222222222E-3</v>
      </c>
      <c r="I49" s="60" t="s">
        <v>834</v>
      </c>
    </row>
    <row r="50" spans="2:14" x14ac:dyDescent="0.3">
      <c r="B50" s="2">
        <v>47</v>
      </c>
      <c r="C50" s="2">
        <v>47</v>
      </c>
      <c r="D50" s="2" t="s">
        <v>1274</v>
      </c>
      <c r="E50" s="4">
        <v>43518</v>
      </c>
      <c r="F50" s="2" t="s">
        <v>18</v>
      </c>
      <c r="G50" s="2" t="s">
        <v>16</v>
      </c>
      <c r="H50" s="60">
        <v>4.4444444444444446E-2</v>
      </c>
      <c r="I50" s="60"/>
    </row>
    <row r="51" spans="2:14" x14ac:dyDescent="0.3">
      <c r="B51" s="2">
        <v>48</v>
      </c>
      <c r="C51" s="2">
        <v>48</v>
      </c>
      <c r="D51" s="2" t="s">
        <v>6179</v>
      </c>
      <c r="E51" s="4">
        <v>43520</v>
      </c>
      <c r="F51" s="2" t="s">
        <v>19</v>
      </c>
      <c r="G51" s="2" t="s">
        <v>17</v>
      </c>
      <c r="H51" s="60">
        <v>0.1277777777777778</v>
      </c>
      <c r="I51" s="60" t="s">
        <v>834</v>
      </c>
    </row>
    <row r="52" spans="2:14" x14ac:dyDescent="0.3">
      <c r="B52" s="2">
        <v>49</v>
      </c>
      <c r="C52" s="2">
        <v>49</v>
      </c>
      <c r="D52" s="2" t="s">
        <v>610</v>
      </c>
      <c r="E52" s="4">
        <v>43525</v>
      </c>
      <c r="F52" s="2" t="s">
        <v>18</v>
      </c>
      <c r="G52" s="2" t="s">
        <v>17</v>
      </c>
      <c r="H52" s="60">
        <v>0.25208333333333333</v>
      </c>
      <c r="I52" s="60" t="s">
        <v>834</v>
      </c>
    </row>
    <row r="53" spans="2:14" x14ac:dyDescent="0.3">
      <c r="B53" s="2">
        <v>50</v>
      </c>
      <c r="C53" s="2">
        <v>50</v>
      </c>
      <c r="D53" s="2" t="s">
        <v>325</v>
      </c>
      <c r="E53" s="4">
        <v>43527</v>
      </c>
      <c r="F53" s="2" t="s">
        <v>19</v>
      </c>
      <c r="G53" s="2" t="s">
        <v>16</v>
      </c>
      <c r="H53" s="60">
        <v>0.12847222222222224</v>
      </c>
      <c r="I53" s="60" t="s">
        <v>834</v>
      </c>
    </row>
    <row r="54" spans="2:14" x14ac:dyDescent="0.3">
      <c r="B54" s="2">
        <v>51</v>
      </c>
      <c r="C54" s="2">
        <v>51</v>
      </c>
      <c r="D54" s="2" t="s">
        <v>331</v>
      </c>
      <c r="E54" s="4">
        <v>43529</v>
      </c>
      <c r="F54" s="2" t="s">
        <v>20</v>
      </c>
      <c r="G54" s="2" t="s">
        <v>17</v>
      </c>
      <c r="H54" s="60">
        <v>0.20902777777777778</v>
      </c>
      <c r="I54" s="60"/>
    </row>
    <row r="55" spans="2:14" x14ac:dyDescent="0.3">
      <c r="B55" s="2">
        <v>52</v>
      </c>
      <c r="C55" s="2">
        <v>52</v>
      </c>
      <c r="D55" s="2" t="s">
        <v>328</v>
      </c>
      <c r="E55" s="4">
        <v>43532</v>
      </c>
      <c r="F55" s="2" t="s">
        <v>18</v>
      </c>
      <c r="G55" s="2" t="s">
        <v>16</v>
      </c>
      <c r="H55" s="60">
        <v>4.5138888888888888E-2</v>
      </c>
      <c r="I55" s="60"/>
    </row>
    <row r="56" spans="2:14" x14ac:dyDescent="0.3">
      <c r="B56" s="2">
        <v>53</v>
      </c>
      <c r="C56" s="2" t="s">
        <v>1090</v>
      </c>
      <c r="D56" s="2" t="s">
        <v>327</v>
      </c>
      <c r="E56" s="4">
        <v>43536</v>
      </c>
      <c r="F56" s="2" t="s">
        <v>20</v>
      </c>
      <c r="G56" s="2" t="s">
        <v>17</v>
      </c>
      <c r="H56" s="60">
        <v>0.25208333333333333</v>
      </c>
      <c r="I56" s="60"/>
    </row>
    <row r="57" spans="2:14" x14ac:dyDescent="0.3">
      <c r="B57" s="2">
        <v>54</v>
      </c>
      <c r="C57" s="2" t="s">
        <v>1091</v>
      </c>
      <c r="D57" s="2" t="s">
        <v>612</v>
      </c>
      <c r="E57" s="4">
        <v>43539</v>
      </c>
      <c r="F57" s="2" t="s">
        <v>18</v>
      </c>
      <c r="G57" s="2" t="s">
        <v>16</v>
      </c>
      <c r="H57" s="60">
        <v>0.16805555555555554</v>
      </c>
      <c r="I57" s="60"/>
    </row>
    <row r="58" spans="2:14" x14ac:dyDescent="0.3">
      <c r="B58" s="2">
        <v>55</v>
      </c>
      <c r="C58" s="2" t="s">
        <v>1092</v>
      </c>
      <c r="D58" s="2" t="s">
        <v>6076</v>
      </c>
      <c r="E58" s="4">
        <v>43541</v>
      </c>
      <c r="F58" s="2" t="s">
        <v>19</v>
      </c>
      <c r="G58" s="2" t="s">
        <v>17</v>
      </c>
      <c r="H58" s="60">
        <v>0.12916666666666668</v>
      </c>
      <c r="I58" s="60"/>
    </row>
    <row r="59" spans="2:14" x14ac:dyDescent="0.3">
      <c r="B59" s="2">
        <v>56</v>
      </c>
      <c r="C59" s="2" t="s">
        <v>1093</v>
      </c>
      <c r="D59" s="2" t="s">
        <v>6076</v>
      </c>
      <c r="E59" s="4">
        <v>43543</v>
      </c>
      <c r="F59" s="2" t="s">
        <v>20</v>
      </c>
      <c r="G59" s="2" t="s">
        <v>16</v>
      </c>
      <c r="H59" s="60" t="s">
        <v>601</v>
      </c>
      <c r="I59" s="60"/>
    </row>
    <row r="60" spans="2:14" x14ac:dyDescent="0.3">
      <c r="B60" s="2">
        <v>57</v>
      </c>
      <c r="C60" s="2" t="s">
        <v>1094</v>
      </c>
      <c r="D60" s="2" t="s">
        <v>327</v>
      </c>
      <c r="E60" s="4">
        <v>43546</v>
      </c>
      <c r="F60" s="2" t="s">
        <v>18</v>
      </c>
      <c r="G60" s="2" t="s">
        <v>16</v>
      </c>
      <c r="H60" s="60">
        <v>0.20972222222222223</v>
      </c>
      <c r="I60" s="60"/>
    </row>
    <row r="61" spans="2:14" ht="15" thickBot="1" x14ac:dyDescent="0.35">
      <c r="B61" s="2">
        <v>58</v>
      </c>
      <c r="C61" s="2" t="s">
        <v>1095</v>
      </c>
      <c r="D61" s="2" t="s">
        <v>612</v>
      </c>
      <c r="E61" s="4">
        <v>43548</v>
      </c>
      <c r="F61" s="2" t="s">
        <v>19</v>
      </c>
      <c r="G61" s="2" t="s">
        <v>17</v>
      </c>
      <c r="H61" s="60">
        <v>0.16805555555555554</v>
      </c>
    </row>
    <row r="62" spans="2:14" ht="15" thickBot="1" x14ac:dyDescent="0.35">
      <c r="B62" s="2"/>
      <c r="E62" s="295">
        <f>33/B61</f>
        <v>0.56896551724137934</v>
      </c>
      <c r="F62" s="296" t="s">
        <v>1121</v>
      </c>
      <c r="G62" s="297"/>
      <c r="H62" s="298"/>
      <c r="I62"/>
    </row>
    <row r="63" spans="2:14" ht="15" thickBot="1" x14ac:dyDescent="0.35">
      <c r="E63" s="4"/>
    </row>
    <row r="64" spans="2:14" x14ac:dyDescent="0.3">
      <c r="B64" s="1142" t="s">
        <v>808</v>
      </c>
      <c r="C64" s="1143"/>
      <c r="D64" s="1143"/>
      <c r="E64" s="1143"/>
      <c r="F64" s="1143"/>
      <c r="G64" s="1143"/>
      <c r="H64" s="1144"/>
      <c r="J64" s="260" t="s">
        <v>840</v>
      </c>
      <c r="K64" s="1145"/>
      <c r="L64" s="1143"/>
      <c r="M64" s="1143"/>
      <c r="N64" s="1144"/>
    </row>
    <row r="65" spans="2:15" ht="15" thickBot="1" x14ac:dyDescent="0.35">
      <c r="B65" s="201"/>
      <c r="C65" s="202" t="s">
        <v>16</v>
      </c>
      <c r="D65" s="202" t="s">
        <v>793</v>
      </c>
      <c r="E65" s="202" t="s">
        <v>794</v>
      </c>
      <c r="F65" s="202" t="s">
        <v>743</v>
      </c>
      <c r="G65" s="202" t="s">
        <v>796</v>
      </c>
      <c r="H65" s="203" t="s">
        <v>795</v>
      </c>
      <c r="J65" s="261"/>
      <c r="K65" s="235" t="s">
        <v>813</v>
      </c>
      <c r="L65" s="200" t="s">
        <v>814</v>
      </c>
      <c r="M65" s="200" t="s">
        <v>816</v>
      </c>
      <c r="N65" s="230" t="s">
        <v>817</v>
      </c>
    </row>
    <row r="66" spans="2:15" x14ac:dyDescent="0.3">
      <c r="B66" s="204" t="s">
        <v>792</v>
      </c>
      <c r="C66" s="205">
        <f>C67+C68</f>
        <v>7</v>
      </c>
      <c r="D66" s="205">
        <f>D67+D68</f>
        <v>1</v>
      </c>
      <c r="E66" s="205">
        <f>E67+E68</f>
        <v>0</v>
      </c>
      <c r="F66" s="205">
        <f>F67+F68</f>
        <v>5</v>
      </c>
      <c r="G66" s="205">
        <f>C66*3+D66*2+E66</f>
        <v>23</v>
      </c>
      <c r="H66" s="207">
        <v>1.3125</v>
      </c>
      <c r="I66" s="243"/>
      <c r="J66" s="231">
        <v>1</v>
      </c>
      <c r="K66" s="251" t="s">
        <v>610</v>
      </c>
      <c r="L66" s="171"/>
      <c r="M66" s="169"/>
      <c r="N66" s="231"/>
    </row>
    <row r="67" spans="2:15" x14ac:dyDescent="0.3">
      <c r="B67" s="198" t="s">
        <v>797</v>
      </c>
      <c r="C67" s="183">
        <v>4</v>
      </c>
      <c r="D67" s="183">
        <v>0</v>
      </c>
      <c r="E67" s="183">
        <v>0</v>
      </c>
      <c r="F67" s="183">
        <v>2</v>
      </c>
      <c r="G67" s="183">
        <f>C67*3+D67*2+E67</f>
        <v>12</v>
      </c>
      <c r="H67" s="229">
        <v>0.54791666666666672</v>
      </c>
      <c r="I67" s="60"/>
      <c r="J67" s="232">
        <v>2</v>
      </c>
      <c r="K67" s="252" t="s">
        <v>331</v>
      </c>
      <c r="L67" s="184"/>
      <c r="M67" s="234"/>
      <c r="N67" s="232"/>
    </row>
    <row r="68" spans="2:15" ht="15" thickBot="1" x14ac:dyDescent="0.35">
      <c r="B68" s="199" t="s">
        <v>798</v>
      </c>
      <c r="C68" s="200">
        <v>3</v>
      </c>
      <c r="D68" s="200">
        <v>1</v>
      </c>
      <c r="E68" s="200">
        <v>0</v>
      </c>
      <c r="F68" s="200">
        <v>3</v>
      </c>
      <c r="G68" s="200">
        <f>C68*3+D68*2+E68</f>
        <v>11</v>
      </c>
      <c r="H68" s="206">
        <v>0.76458333333333339</v>
      </c>
      <c r="I68" s="244"/>
      <c r="J68" s="232">
        <v>3</v>
      </c>
      <c r="K68" s="252" t="s">
        <v>1274</v>
      </c>
      <c r="L68" s="184"/>
      <c r="M68" s="234"/>
      <c r="N68" s="232"/>
    </row>
    <row r="69" spans="2:15" x14ac:dyDescent="0.3">
      <c r="B69" s="204" t="s">
        <v>799</v>
      </c>
      <c r="C69" s="205">
        <f>C70+C71</f>
        <v>4</v>
      </c>
      <c r="D69" s="205">
        <f>D70+D71</f>
        <v>1</v>
      </c>
      <c r="E69" s="205">
        <f>E70+E71</f>
        <v>1</v>
      </c>
      <c r="F69" s="205">
        <f>F70+F71</f>
        <v>7</v>
      </c>
      <c r="G69" s="205">
        <f t="shared" ref="G69:G81" si="0">C69*3+D69*2+E69</f>
        <v>15</v>
      </c>
      <c r="H69" s="207">
        <v>1.3555555555555554</v>
      </c>
      <c r="I69" s="243"/>
      <c r="J69" s="232">
        <v>4</v>
      </c>
      <c r="K69" s="252" t="s">
        <v>334</v>
      </c>
      <c r="L69" s="184"/>
      <c r="M69" s="234"/>
      <c r="N69" s="232"/>
    </row>
    <row r="70" spans="2:15" x14ac:dyDescent="0.3">
      <c r="B70" s="198" t="s">
        <v>797</v>
      </c>
      <c r="C70" s="183">
        <v>3</v>
      </c>
      <c r="D70" s="183">
        <v>0</v>
      </c>
      <c r="E70" s="183">
        <v>1</v>
      </c>
      <c r="F70" s="183">
        <v>3</v>
      </c>
      <c r="G70" s="183">
        <f t="shared" si="0"/>
        <v>10</v>
      </c>
      <c r="H70" s="229">
        <v>0.84444444444444444</v>
      </c>
      <c r="I70" s="244"/>
      <c r="J70" s="232">
        <v>5</v>
      </c>
      <c r="K70" s="252" t="s">
        <v>6179</v>
      </c>
      <c r="L70" s="184"/>
      <c r="M70" s="234"/>
      <c r="N70" s="232"/>
      <c r="O70" s="2"/>
    </row>
    <row r="71" spans="2:15" ht="15" thickBot="1" x14ac:dyDescent="0.35">
      <c r="B71" s="199" t="s">
        <v>798</v>
      </c>
      <c r="C71" s="200">
        <v>1</v>
      </c>
      <c r="D71" s="200">
        <v>1</v>
      </c>
      <c r="E71" s="200">
        <v>0</v>
      </c>
      <c r="F71" s="200">
        <v>4</v>
      </c>
      <c r="G71" s="200">
        <f t="shared" si="0"/>
        <v>5</v>
      </c>
      <c r="H71" s="249">
        <v>0.51111111111111118</v>
      </c>
      <c r="I71" s="244"/>
      <c r="J71" s="232">
        <v>6</v>
      </c>
      <c r="K71" s="252" t="s">
        <v>626</v>
      </c>
      <c r="L71" s="184"/>
      <c r="M71" s="234"/>
      <c r="N71" s="232"/>
      <c r="O71" s="2"/>
    </row>
    <row r="72" spans="2:15" x14ac:dyDescent="0.3">
      <c r="B72" s="204" t="s">
        <v>800</v>
      </c>
      <c r="C72" s="205">
        <f>C73+C74</f>
        <v>6</v>
      </c>
      <c r="D72" s="205">
        <f>D73+D74</f>
        <v>0</v>
      </c>
      <c r="E72" s="205">
        <f>E73+E74</f>
        <v>0</v>
      </c>
      <c r="F72" s="205">
        <f>F73+F74</f>
        <v>7</v>
      </c>
      <c r="G72" s="205">
        <f t="shared" si="0"/>
        <v>18</v>
      </c>
      <c r="H72" s="274">
        <v>1.3194444444444444</v>
      </c>
      <c r="I72" s="243"/>
      <c r="J72" s="232">
        <v>7</v>
      </c>
      <c r="K72" s="252" t="s">
        <v>328</v>
      </c>
      <c r="L72" s="184"/>
      <c r="M72" s="234"/>
      <c r="N72" s="232"/>
      <c r="O72" s="2"/>
    </row>
    <row r="73" spans="2:15" x14ac:dyDescent="0.3">
      <c r="B73" s="198" t="s">
        <v>797</v>
      </c>
      <c r="C73" s="183">
        <v>2</v>
      </c>
      <c r="D73" s="183">
        <v>0</v>
      </c>
      <c r="E73" s="183">
        <v>0</v>
      </c>
      <c r="F73" s="183">
        <v>4</v>
      </c>
      <c r="G73" s="183">
        <f t="shared" si="0"/>
        <v>6</v>
      </c>
      <c r="H73" s="229">
        <v>0.55208333333333337</v>
      </c>
      <c r="I73" s="244"/>
      <c r="J73" s="232">
        <v>8</v>
      </c>
      <c r="K73" s="252" t="s">
        <v>6086</v>
      </c>
      <c r="L73" s="184"/>
      <c r="M73" s="234"/>
      <c r="N73" s="232"/>
      <c r="O73" s="2"/>
    </row>
    <row r="74" spans="2:15" ht="15" thickBot="1" x14ac:dyDescent="0.35">
      <c r="B74" s="199" t="s">
        <v>798</v>
      </c>
      <c r="C74" s="200">
        <v>4</v>
      </c>
      <c r="D74" s="200">
        <v>0</v>
      </c>
      <c r="E74" s="200">
        <v>0</v>
      </c>
      <c r="F74" s="200">
        <v>3</v>
      </c>
      <c r="G74" s="200">
        <f t="shared" si="0"/>
        <v>12</v>
      </c>
      <c r="H74" s="249">
        <v>0.76736111111111116</v>
      </c>
      <c r="I74" s="244"/>
      <c r="J74" s="232">
        <v>9</v>
      </c>
      <c r="K74" s="252" t="s">
        <v>325</v>
      </c>
      <c r="L74" s="184"/>
      <c r="M74" s="234"/>
      <c r="N74" s="232"/>
      <c r="O74" s="2"/>
    </row>
    <row r="75" spans="2:15" x14ac:dyDescent="0.3">
      <c r="B75" s="204" t="s">
        <v>801</v>
      </c>
      <c r="C75" s="205">
        <f>C76+C77</f>
        <v>3</v>
      </c>
      <c r="D75" s="205">
        <f>D76+D77</f>
        <v>3</v>
      </c>
      <c r="E75" s="205">
        <f>E76+E77</f>
        <v>0</v>
      </c>
      <c r="F75" s="205">
        <f>F76+F77</f>
        <v>7</v>
      </c>
      <c r="G75" s="205">
        <f t="shared" si="0"/>
        <v>15</v>
      </c>
      <c r="H75" s="274">
        <v>1.4479166666666667</v>
      </c>
      <c r="I75" s="243"/>
      <c r="J75" s="232">
        <v>10</v>
      </c>
      <c r="K75" s="252" t="s">
        <v>326</v>
      </c>
      <c r="L75" s="184"/>
      <c r="M75" s="234"/>
      <c r="N75" s="232"/>
      <c r="O75" s="2"/>
    </row>
    <row r="76" spans="2:15" x14ac:dyDescent="0.3">
      <c r="B76" s="198" t="s">
        <v>797</v>
      </c>
      <c r="C76" s="183">
        <v>3</v>
      </c>
      <c r="D76" s="183">
        <v>1</v>
      </c>
      <c r="E76" s="183">
        <v>0</v>
      </c>
      <c r="F76" s="183">
        <v>3</v>
      </c>
      <c r="G76" s="183">
        <f t="shared" si="0"/>
        <v>11</v>
      </c>
      <c r="H76" s="229">
        <v>0.89027777777777783</v>
      </c>
      <c r="I76" s="244"/>
      <c r="J76" s="232">
        <v>11</v>
      </c>
      <c r="K76" s="253" t="s">
        <v>818</v>
      </c>
      <c r="L76" s="237"/>
      <c r="M76" s="238"/>
      <c r="N76" s="239"/>
    </row>
    <row r="77" spans="2:15" ht="15" thickBot="1" x14ac:dyDescent="0.35">
      <c r="B77" s="199" t="s">
        <v>798</v>
      </c>
      <c r="C77" s="200">
        <v>0</v>
      </c>
      <c r="D77" s="200">
        <v>2</v>
      </c>
      <c r="E77" s="200">
        <v>0</v>
      </c>
      <c r="F77" s="200">
        <v>4</v>
      </c>
      <c r="G77" s="200">
        <f t="shared" si="0"/>
        <v>4</v>
      </c>
      <c r="H77" s="249">
        <v>0.55763888888888891</v>
      </c>
      <c r="I77" s="244"/>
      <c r="J77" s="232">
        <v>12</v>
      </c>
      <c r="K77" s="252" t="s">
        <v>612</v>
      </c>
      <c r="L77" s="184"/>
      <c r="M77" s="234"/>
      <c r="N77" s="232"/>
    </row>
    <row r="78" spans="2:15" x14ac:dyDescent="0.3">
      <c r="B78" s="220" t="s">
        <v>804</v>
      </c>
      <c r="C78" s="221">
        <f t="shared" ref="C78:F80" si="1">C66+C69+C72+C75</f>
        <v>20</v>
      </c>
      <c r="D78" s="221">
        <f t="shared" si="1"/>
        <v>5</v>
      </c>
      <c r="E78" s="221">
        <f t="shared" si="1"/>
        <v>1</v>
      </c>
      <c r="F78" s="221">
        <f t="shared" si="1"/>
        <v>26</v>
      </c>
      <c r="G78" s="222">
        <f>C78*3+D78*2+E78</f>
        <v>71</v>
      </c>
      <c r="H78" s="257" t="s">
        <v>1127</v>
      </c>
      <c r="I78" s="243"/>
      <c r="J78" s="232">
        <v>13</v>
      </c>
      <c r="K78" s="252" t="s">
        <v>6076</v>
      </c>
      <c r="L78" s="184"/>
      <c r="M78" s="234"/>
      <c r="N78" s="232"/>
    </row>
    <row r="79" spans="2:15" ht="15" thickBot="1" x14ac:dyDescent="0.35">
      <c r="B79" s="223" t="s">
        <v>797</v>
      </c>
      <c r="C79" s="224">
        <f t="shared" si="1"/>
        <v>12</v>
      </c>
      <c r="D79" s="224">
        <f t="shared" si="1"/>
        <v>1</v>
      </c>
      <c r="E79" s="224">
        <f t="shared" si="1"/>
        <v>1</v>
      </c>
      <c r="F79" s="224">
        <f t="shared" si="1"/>
        <v>12</v>
      </c>
      <c r="G79" s="256">
        <f>C79*3+D79*2+E79</f>
        <v>39</v>
      </c>
      <c r="H79" s="271" t="s">
        <v>1122</v>
      </c>
      <c r="I79" s="60"/>
      <c r="J79" s="233">
        <v>14</v>
      </c>
      <c r="K79" s="254" t="s">
        <v>327</v>
      </c>
      <c r="L79" s="235"/>
      <c r="M79" s="236"/>
      <c r="N79" s="233"/>
    </row>
    <row r="80" spans="2:15" ht="15" thickBot="1" x14ac:dyDescent="0.35">
      <c r="B80" s="226" t="s">
        <v>798</v>
      </c>
      <c r="C80" s="227">
        <f t="shared" si="1"/>
        <v>8</v>
      </c>
      <c r="D80" s="227">
        <f t="shared" si="1"/>
        <v>4</v>
      </c>
      <c r="E80" s="227">
        <f t="shared" si="1"/>
        <v>0</v>
      </c>
      <c r="F80" s="227">
        <f t="shared" si="1"/>
        <v>14</v>
      </c>
      <c r="G80" s="258">
        <f>C80*3+D80*2+E80</f>
        <v>32</v>
      </c>
      <c r="H80" s="270" t="s">
        <v>1126</v>
      </c>
      <c r="I80" s="244"/>
    </row>
    <row r="81" spans="2:14" x14ac:dyDescent="0.3">
      <c r="B81" s="214" t="s">
        <v>803</v>
      </c>
      <c r="C81" s="215">
        <f>C82+C83</f>
        <v>4</v>
      </c>
      <c r="D81" s="215">
        <f>D82+D83</f>
        <v>1</v>
      </c>
      <c r="E81" s="215">
        <f>E82+E83</f>
        <v>0</v>
      </c>
      <c r="F81" s="215">
        <f>F82+F83</f>
        <v>1</v>
      </c>
      <c r="G81" s="215">
        <f t="shared" si="0"/>
        <v>14</v>
      </c>
      <c r="H81" s="299">
        <v>1.1381944444444445</v>
      </c>
      <c r="I81" s="250"/>
      <c r="K81" s="129" t="s">
        <v>811</v>
      </c>
      <c r="L81" s="2">
        <f>SUM(L66:L79)</f>
        <v>0</v>
      </c>
      <c r="M81" s="2">
        <f>SUM(M66:M79)</f>
        <v>0</v>
      </c>
      <c r="N81" s="2">
        <f>L81-M81</f>
        <v>0</v>
      </c>
    </row>
    <row r="82" spans="2:14" x14ac:dyDescent="0.3">
      <c r="B82" s="216" t="s">
        <v>797</v>
      </c>
      <c r="C82" s="217">
        <v>2</v>
      </c>
      <c r="D82" s="217">
        <v>0</v>
      </c>
      <c r="E82" s="217">
        <v>0</v>
      </c>
      <c r="F82" s="217">
        <v>1</v>
      </c>
      <c r="G82" s="217">
        <f>C82*3+D82*2+E82</f>
        <v>6</v>
      </c>
      <c r="H82" s="300">
        <v>0.5493055555555556</v>
      </c>
      <c r="I82" s="60"/>
    </row>
    <row r="83" spans="2:14" ht="15" thickBot="1" x14ac:dyDescent="0.35">
      <c r="B83" s="218" t="s">
        <v>798</v>
      </c>
      <c r="C83" s="219">
        <v>2</v>
      </c>
      <c r="D83" s="219">
        <v>1</v>
      </c>
      <c r="E83" s="219">
        <v>0</v>
      </c>
      <c r="F83" s="219">
        <v>0</v>
      </c>
      <c r="G83" s="219">
        <f>C83*3+D83*2+E83</f>
        <v>8</v>
      </c>
      <c r="H83" s="301">
        <v>0.58888888888888891</v>
      </c>
      <c r="I83" s="60"/>
    </row>
    <row r="84" spans="2:14" x14ac:dyDescent="0.3">
      <c r="B84" s="2" t="s">
        <v>811</v>
      </c>
      <c r="C84" s="8" t="s">
        <v>812</v>
      </c>
      <c r="E84" s="2">
        <f>C78+D78+E78+F78</f>
        <v>52</v>
      </c>
    </row>
    <row r="92" spans="2:14" x14ac:dyDescent="0.3">
      <c r="C92"/>
      <c r="D92"/>
      <c r="E92"/>
    </row>
    <row r="93" spans="2:14" x14ac:dyDescent="0.3">
      <c r="C93"/>
      <c r="D93"/>
      <c r="E93"/>
    </row>
    <row r="94" spans="2:14" x14ac:dyDescent="0.3">
      <c r="C94"/>
      <c r="D94"/>
      <c r="E94"/>
    </row>
    <row r="95" spans="2:14" x14ac:dyDescent="0.3">
      <c r="C95"/>
      <c r="D95"/>
      <c r="E95"/>
      <c r="F95"/>
      <c r="G95"/>
      <c r="H95"/>
      <c r="I95"/>
    </row>
    <row r="96" spans="2:14" x14ac:dyDescent="0.3">
      <c r="C96"/>
      <c r="D96"/>
      <c r="E96"/>
      <c r="F96"/>
      <c r="G96"/>
      <c r="H96"/>
      <c r="I96"/>
    </row>
    <row r="97" customFormat="1" x14ac:dyDescent="0.3"/>
    <row r="98" customFormat="1" x14ac:dyDescent="0.3"/>
    <row r="99" customFormat="1" x14ac:dyDescent="0.3"/>
    <row r="100" customFormat="1" x14ac:dyDescent="0.3"/>
    <row r="101" customFormat="1" x14ac:dyDescent="0.3"/>
    <row r="102" customFormat="1" x14ac:dyDescent="0.3"/>
    <row r="103" customFormat="1" x14ac:dyDescent="0.3"/>
    <row r="104" customFormat="1" x14ac:dyDescent="0.3"/>
    <row r="105" customFormat="1" x14ac:dyDescent="0.3"/>
    <row r="106" customFormat="1" x14ac:dyDescent="0.3"/>
    <row r="107" customFormat="1" x14ac:dyDescent="0.3"/>
    <row r="108" customFormat="1" x14ac:dyDescent="0.3"/>
    <row r="109" customFormat="1" x14ac:dyDescent="0.3"/>
    <row r="110" customFormat="1" x14ac:dyDescent="0.3"/>
  </sheetData>
  <autoFilter ref="K65:N79" xr:uid="{00000000-0009-0000-0000-000002000000}">
    <sortState xmlns:xlrd2="http://schemas.microsoft.com/office/spreadsheetml/2017/richdata2" ref="K66:N79">
      <sortCondition descending="1" ref="N65:N79"/>
    </sortState>
  </autoFilter>
  <mergeCells count="4">
    <mergeCell ref="B64:H64"/>
    <mergeCell ref="K64:N64"/>
    <mergeCell ref="K36:N36"/>
    <mergeCell ref="K7:P7"/>
  </mergeCells>
  <conditionalFormatting sqref="E62">
    <cfRule type="cellIs" dxfId="275" priority="1" operator="equal">
      <formula>"D"</formula>
    </cfRule>
  </conditionalFormatting>
  <conditionalFormatting sqref="E65 F67:F68 F70:F71 F73:F74 F76:F77 F82:F94">
    <cfRule type="cellIs" dxfId="274" priority="29" operator="equal">
      <formula>"ne"</formula>
    </cfRule>
    <cfRule type="cellIs" dxfId="273" priority="30" operator="equal">
      <formula>"pá"</formula>
    </cfRule>
  </conditionalFormatting>
  <conditionalFormatting sqref="F1:F61 F63 F84:F94 F111:F1048576">
    <cfRule type="cellIs" dxfId="272" priority="36" operator="equal">
      <formula>"so"</formula>
    </cfRule>
  </conditionalFormatting>
  <conditionalFormatting sqref="F4:F61">
    <cfRule type="cellIs" dxfId="271" priority="53" operator="equal">
      <formula>"ne"</formula>
    </cfRule>
    <cfRule type="cellIs" dxfId="270" priority="54" operator="equal">
      <formula>"pá"</formula>
    </cfRule>
  </conditionalFormatting>
  <conditionalFormatting sqref="F65">
    <cfRule type="cellIs" dxfId="269" priority="31" operator="equal">
      <formula>"D"</formula>
    </cfRule>
  </conditionalFormatting>
  <conditionalFormatting sqref="G4:G63">
    <cfRule type="cellIs" dxfId="268" priority="55" operator="equal">
      <formula>"D"</formula>
    </cfRule>
  </conditionalFormatting>
  <conditionalFormatting sqref="G66:G94">
    <cfRule type="cellIs" dxfId="267" priority="2" operator="equal">
      <formula>"D"</formula>
    </cfRule>
  </conditionalFormatting>
  <conditionalFormatting sqref="L19">
    <cfRule type="cellIs" dxfId="266" priority="46" operator="lessThan">
      <formula>10</formula>
    </cfRule>
  </conditionalFormatting>
  <conditionalFormatting sqref="N66:N79 N81">
    <cfRule type="cellIs" dxfId="265" priority="23" operator="lessThan">
      <formula>0</formula>
    </cfRule>
  </conditionalFormatting>
  <conditionalFormatting sqref="N81">
    <cfRule type="cellIs" dxfId="264" priority="22" operator="equal">
      <formula>0</formula>
    </cfRule>
  </conditionalFormatting>
  <conditionalFormatting sqref="O6 F63 F111:F206">
    <cfRule type="cellIs" dxfId="263" priority="62" operator="equal">
      <formula>"ne"</formula>
    </cfRule>
    <cfRule type="cellIs" dxfId="262" priority="63" operator="equal">
      <formula>"pá"</formula>
    </cfRule>
  </conditionalFormatting>
  <conditionalFormatting sqref="O9:O25">
    <cfRule type="cellIs" dxfId="261" priority="19" operator="equal">
      <formula>"ne"</formula>
    </cfRule>
    <cfRule type="cellIs" dxfId="260" priority="20" operator="equal">
      <formula>"pá"</formula>
    </cfRule>
  </conditionalFormatting>
  <conditionalFormatting sqref="O14">
    <cfRule type="cellIs" dxfId="259" priority="18" operator="equal">
      <formula>"so"</formula>
    </cfRule>
  </conditionalFormatting>
  <conditionalFormatting sqref="O28:O33">
    <cfRule type="cellIs" dxfId="258" priority="56" operator="equal">
      <formula>"ne"</formula>
    </cfRule>
    <cfRule type="cellIs" dxfId="257" priority="57" operator="equal">
      <formula>"pá"</formula>
    </cfRule>
  </conditionalFormatting>
  <conditionalFormatting sqref="P10:P18">
    <cfRule type="cellIs" dxfId="256" priority="21" operator="equal">
      <formula>"D"</formula>
    </cfRule>
  </conditionalFormatting>
  <conditionalFormatting sqref="P9:Q9 G111:G214">
    <cfRule type="cellIs" dxfId="255" priority="64" operator="equal">
      <formula>"D"</formula>
    </cfRule>
  </conditionalFormatting>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17"/>
  <sheetViews>
    <sheetView workbookViewId="0">
      <pane xSplit="7" ySplit="2" topLeftCell="H3" activePane="bottomRight" state="frozen"/>
      <selection activeCell="L12" sqref="L12"/>
      <selection pane="topRight" activeCell="L12" sqref="L12"/>
      <selection pane="bottomLeft" activeCell="L12" sqref="L12"/>
      <selection pane="bottomRight" activeCell="I1" sqref="I1:J1048576"/>
    </sheetView>
  </sheetViews>
  <sheetFormatPr defaultRowHeight="14.4" x14ac:dyDescent="0.3"/>
  <cols>
    <col min="1" max="1" width="14.88671875" customWidth="1"/>
    <col min="2" max="2" width="11.109375" customWidth="1"/>
    <col min="3" max="4" width="11.33203125" style="2" customWidth="1"/>
    <col min="5" max="5" width="9.44140625" style="2" customWidth="1"/>
    <col min="6" max="6" width="14.5546875" style="2" customWidth="1"/>
    <col min="7" max="8" width="22.6640625" style="1058" customWidth="1"/>
    <col min="9" max="10" width="22.6640625" style="259" customWidth="1"/>
    <col min="11" max="12" width="22.6640625" style="1058" customWidth="1"/>
    <col min="13" max="13" width="18" style="2" customWidth="1"/>
    <col min="14" max="14" width="16.44140625" style="2" customWidth="1"/>
    <col min="15" max="15" width="15.6640625" style="2" customWidth="1"/>
    <col min="16" max="16" width="18.33203125" style="168" customWidth="1"/>
    <col min="17" max="17" width="16.6640625" style="2" customWidth="1"/>
    <col min="18" max="18" width="23.88671875" style="2" customWidth="1"/>
    <col min="19" max="19" width="22.33203125" style="2" customWidth="1"/>
    <col min="20" max="20" width="17.88671875" style="2" customWidth="1"/>
    <col min="21" max="21" width="16.109375" style="2" customWidth="1"/>
    <col min="22" max="22" width="14.44140625" style="242" customWidth="1"/>
    <col min="23" max="25" width="11.109375" style="1058" customWidth="1"/>
    <col min="26" max="26" width="12.88671875" style="1058" customWidth="1"/>
    <col min="27" max="27" width="36.5546875" style="1061" customWidth="1"/>
    <col min="28" max="28" width="60" style="168" customWidth="1"/>
    <col min="29" max="29" width="57.5546875" style="2" customWidth="1"/>
    <col min="30" max="30" width="57.44140625" style="2" customWidth="1"/>
    <col min="31" max="31" width="59.88671875" style="2" customWidth="1"/>
    <col min="32" max="32" width="57.33203125" style="2" customWidth="1"/>
    <col min="33" max="36" width="55.88671875" style="2" customWidth="1"/>
    <col min="37" max="37" width="19.44140625" style="8" customWidth="1"/>
  </cols>
  <sheetData>
    <row r="1" spans="1:37" x14ac:dyDescent="0.3">
      <c r="P1" s="1149"/>
      <c r="Q1" s="1151"/>
      <c r="R1" s="1149"/>
      <c r="S1" s="1151"/>
      <c r="T1" s="1149"/>
      <c r="U1" s="1150"/>
      <c r="V1" s="1151"/>
      <c r="W1" s="1152"/>
      <c r="X1" s="1153"/>
      <c r="Y1" s="1153"/>
      <c r="Z1" s="1150"/>
      <c r="AA1" s="1150"/>
      <c r="AB1" s="1149"/>
      <c r="AC1" s="1150"/>
      <c r="AD1" s="1150"/>
      <c r="AE1" s="1150"/>
      <c r="AF1" s="1150"/>
      <c r="AG1" s="1150"/>
      <c r="AH1" s="1151"/>
    </row>
    <row r="2" spans="1:37" s="2" customFormat="1" x14ac:dyDescent="0.3">
      <c r="A2" s="1051" t="s">
        <v>1053</v>
      </c>
      <c r="B2" s="2" t="s">
        <v>785</v>
      </c>
      <c r="C2" s="2" t="s">
        <v>14</v>
      </c>
      <c r="D2" s="2" t="s">
        <v>11</v>
      </c>
      <c r="E2" s="2" t="s">
        <v>15</v>
      </c>
      <c r="F2" s="2" t="s">
        <v>13</v>
      </c>
      <c r="G2" s="987" t="s">
        <v>157</v>
      </c>
      <c r="H2" s="987" t="s">
        <v>1047</v>
      </c>
      <c r="I2" s="1089" t="s">
        <v>6063</v>
      </c>
      <c r="J2" s="1089" t="s">
        <v>6064</v>
      </c>
      <c r="K2" s="1051" t="s">
        <v>6177</v>
      </c>
      <c r="L2" s="1051" t="s">
        <v>6178</v>
      </c>
      <c r="M2" s="987" t="s">
        <v>707</v>
      </c>
      <c r="N2" s="2" t="s">
        <v>708</v>
      </c>
      <c r="O2" s="2" t="s">
        <v>759</v>
      </c>
      <c r="P2" s="1052" t="s">
        <v>6180</v>
      </c>
      <c r="Q2" s="1051" t="s">
        <v>6181</v>
      </c>
      <c r="R2" s="1052" t="s">
        <v>6182</v>
      </c>
      <c r="S2" s="1052" t="s">
        <v>6183</v>
      </c>
      <c r="T2" s="1052" t="s">
        <v>6184</v>
      </c>
      <c r="U2" s="1051" t="s">
        <v>6185</v>
      </c>
      <c r="V2" s="1051" t="s">
        <v>6186</v>
      </c>
      <c r="W2" s="1062" t="s">
        <v>6059</v>
      </c>
      <c r="X2" s="1063" t="s">
        <v>6060</v>
      </c>
      <c r="Y2" s="1063" t="s">
        <v>6061</v>
      </c>
      <c r="Z2" s="1063" t="s">
        <v>6062</v>
      </c>
      <c r="AA2" s="170" t="s">
        <v>698</v>
      </c>
      <c r="AB2" s="169" t="s">
        <v>699</v>
      </c>
      <c r="AC2" s="170" t="s">
        <v>700</v>
      </c>
      <c r="AD2" s="170" t="s">
        <v>701</v>
      </c>
      <c r="AE2" s="170" t="s">
        <v>702</v>
      </c>
      <c r="AF2" s="170" t="s">
        <v>703</v>
      </c>
      <c r="AG2" s="170" t="s">
        <v>704</v>
      </c>
      <c r="AH2" s="171" t="s">
        <v>854</v>
      </c>
      <c r="AI2" s="171" t="s">
        <v>5166</v>
      </c>
      <c r="AJ2" s="2" t="s">
        <v>3878</v>
      </c>
      <c r="AK2" s="2" t="s">
        <v>4614</v>
      </c>
    </row>
    <row r="3" spans="1:37" x14ac:dyDescent="0.3">
      <c r="A3" s="985" t="s">
        <v>6200</v>
      </c>
      <c r="B3" s="2">
        <v>1</v>
      </c>
      <c r="C3" s="2">
        <v>1</v>
      </c>
      <c r="D3" s="4">
        <v>43357</v>
      </c>
      <c r="E3" s="2" t="s">
        <v>6086</v>
      </c>
      <c r="F3" s="2" t="s">
        <v>16</v>
      </c>
      <c r="G3" s="1058" t="s">
        <v>6192</v>
      </c>
      <c r="H3" s="1058" t="s">
        <v>16</v>
      </c>
      <c r="I3" s="259">
        <v>4</v>
      </c>
      <c r="J3" s="259">
        <v>3</v>
      </c>
      <c r="K3" s="2">
        <v>4</v>
      </c>
      <c r="L3" s="2">
        <v>3</v>
      </c>
      <c r="M3" s="2">
        <v>5</v>
      </c>
      <c r="N3" s="2">
        <v>3</v>
      </c>
      <c r="O3" s="2">
        <v>3</v>
      </c>
      <c r="P3" s="168">
        <v>0</v>
      </c>
      <c r="Q3" s="2">
        <v>1</v>
      </c>
      <c r="R3" s="2">
        <v>1</v>
      </c>
      <c r="S3" s="2">
        <v>1</v>
      </c>
      <c r="T3" s="2">
        <v>4</v>
      </c>
      <c r="U3" s="2">
        <v>5</v>
      </c>
      <c r="V3" s="242">
        <v>3552</v>
      </c>
      <c r="W3" s="1058" t="s">
        <v>6118</v>
      </c>
      <c r="X3" s="1058" t="s">
        <v>6194</v>
      </c>
      <c r="Y3" s="1058" t="s">
        <v>6188</v>
      </c>
      <c r="AA3" s="1061" t="s">
        <v>746</v>
      </c>
      <c r="AB3" s="168" t="s">
        <v>994</v>
      </c>
      <c r="AC3" s="2" t="s">
        <v>753</v>
      </c>
      <c r="AD3" s="2" t="s">
        <v>754</v>
      </c>
      <c r="AE3" s="2" t="s">
        <v>755</v>
      </c>
      <c r="AK3" s="8" t="s">
        <v>1117</v>
      </c>
    </row>
    <row r="4" spans="1:37" x14ac:dyDescent="0.3">
      <c r="A4" s="985" t="str">
        <f>A3</f>
        <v>Sezóna 18/19</v>
      </c>
      <c r="B4" s="2">
        <v>2</v>
      </c>
      <c r="C4" s="2">
        <v>2</v>
      </c>
      <c r="D4" s="4">
        <v>43359</v>
      </c>
      <c r="E4" s="2" t="s">
        <v>326</v>
      </c>
      <c r="F4" s="2" t="s">
        <v>17</v>
      </c>
      <c r="G4" s="1058" t="s">
        <v>6133</v>
      </c>
      <c r="H4" s="1058" t="s">
        <v>16</v>
      </c>
      <c r="I4" s="259">
        <v>5</v>
      </c>
      <c r="J4" s="259">
        <v>2</v>
      </c>
      <c r="K4" s="2">
        <v>4</v>
      </c>
      <c r="L4" s="2">
        <v>2</v>
      </c>
      <c r="M4" s="2">
        <v>1</v>
      </c>
      <c r="N4" s="2">
        <v>3</v>
      </c>
      <c r="O4" s="2">
        <v>6</v>
      </c>
      <c r="P4" s="168">
        <v>1</v>
      </c>
      <c r="Q4" s="2">
        <v>0</v>
      </c>
      <c r="R4" s="2">
        <v>0</v>
      </c>
      <c r="S4" s="2">
        <v>2</v>
      </c>
      <c r="T4" s="2">
        <v>4</v>
      </c>
      <c r="U4" s="2">
        <v>5</v>
      </c>
      <c r="V4" s="242">
        <v>5725</v>
      </c>
      <c r="W4" s="1058" t="s">
        <v>6089</v>
      </c>
      <c r="X4" s="1058" t="s">
        <v>6187</v>
      </c>
      <c r="Y4" s="1058" t="s">
        <v>6118</v>
      </c>
      <c r="AA4" s="1061" t="s">
        <v>747</v>
      </c>
      <c r="AB4" s="168" t="s">
        <v>750</v>
      </c>
      <c r="AC4" s="2" t="s">
        <v>749</v>
      </c>
      <c r="AD4" s="2" t="s">
        <v>751</v>
      </c>
      <c r="AE4" s="2" t="s">
        <v>752</v>
      </c>
      <c r="AF4" s="2" t="s">
        <v>765</v>
      </c>
      <c r="AK4" s="181" t="s">
        <v>744</v>
      </c>
    </row>
    <row r="5" spans="1:37" x14ac:dyDescent="0.3">
      <c r="A5" s="985" t="str">
        <f t="shared" ref="A5:A60" si="0">A4</f>
        <v>Sezóna 18/19</v>
      </c>
      <c r="B5" s="2">
        <v>3</v>
      </c>
      <c r="C5" s="2">
        <v>3</v>
      </c>
      <c r="D5" s="4">
        <v>43364</v>
      </c>
      <c r="E5" s="2" t="s">
        <v>327</v>
      </c>
      <c r="F5" s="2" t="s">
        <v>16</v>
      </c>
      <c r="G5" s="1058" t="s">
        <v>6137</v>
      </c>
      <c r="H5" s="1058" t="s">
        <v>16</v>
      </c>
      <c r="I5" s="259">
        <v>6</v>
      </c>
      <c r="J5" s="259">
        <v>2</v>
      </c>
      <c r="K5" s="2">
        <v>6</v>
      </c>
      <c r="L5" s="2">
        <v>2</v>
      </c>
      <c r="M5" s="2">
        <v>1</v>
      </c>
      <c r="N5" s="2">
        <v>6</v>
      </c>
      <c r="O5" s="2">
        <v>9</v>
      </c>
      <c r="P5" s="168">
        <v>2</v>
      </c>
      <c r="Q5" s="2">
        <v>0</v>
      </c>
      <c r="R5" s="2">
        <v>0</v>
      </c>
      <c r="S5" s="2">
        <v>0</v>
      </c>
      <c r="T5" s="2">
        <v>3</v>
      </c>
      <c r="U5" s="2">
        <v>3</v>
      </c>
      <c r="V5" s="242">
        <v>7305</v>
      </c>
      <c r="W5" s="1058" t="s">
        <v>6110</v>
      </c>
      <c r="X5" s="1058" t="s">
        <v>6120</v>
      </c>
      <c r="Y5" s="1058" t="s">
        <v>6194</v>
      </c>
      <c r="AA5" s="1061" t="s">
        <v>745</v>
      </c>
      <c r="AB5" s="168" t="s">
        <v>764</v>
      </c>
      <c r="AC5" s="2" t="s">
        <v>766</v>
      </c>
      <c r="AD5" s="2" t="s">
        <v>767</v>
      </c>
      <c r="AE5" s="2" t="s">
        <v>768</v>
      </c>
      <c r="AF5" s="2" t="s">
        <v>769</v>
      </c>
      <c r="AG5" s="2" t="s">
        <v>770</v>
      </c>
      <c r="AK5" s="8" t="s">
        <v>762</v>
      </c>
    </row>
    <row r="6" spans="1:37" x14ac:dyDescent="0.3">
      <c r="A6" s="985" t="str">
        <f t="shared" si="0"/>
        <v>Sezóna 18/19</v>
      </c>
      <c r="B6" s="2">
        <v>4</v>
      </c>
      <c r="C6" s="2">
        <v>4</v>
      </c>
      <c r="D6" s="4">
        <v>43366</v>
      </c>
      <c r="E6" s="2" t="s">
        <v>612</v>
      </c>
      <c r="F6" s="2" t="s">
        <v>17</v>
      </c>
      <c r="G6" s="1058" t="s">
        <v>6148</v>
      </c>
      <c r="H6" s="1058" t="s">
        <v>16</v>
      </c>
      <c r="I6" s="259">
        <v>4</v>
      </c>
      <c r="J6" s="259">
        <v>1</v>
      </c>
      <c r="K6" s="2">
        <v>4</v>
      </c>
      <c r="L6" s="2">
        <v>1</v>
      </c>
      <c r="M6" s="2">
        <v>1</v>
      </c>
      <c r="N6" s="2">
        <v>6</v>
      </c>
      <c r="O6" s="2">
        <v>12</v>
      </c>
      <c r="P6" s="168">
        <v>2</v>
      </c>
      <c r="Q6" s="2">
        <v>0</v>
      </c>
      <c r="R6" s="2">
        <v>0</v>
      </c>
      <c r="S6" s="2">
        <v>0</v>
      </c>
      <c r="T6" s="2">
        <v>7</v>
      </c>
      <c r="U6" s="2">
        <v>5</v>
      </c>
      <c r="V6" s="242">
        <v>6011</v>
      </c>
      <c r="W6" s="1058" t="s">
        <v>6120</v>
      </c>
      <c r="X6" s="1058" t="s">
        <v>6118</v>
      </c>
      <c r="Y6" s="1058" t="s">
        <v>6120</v>
      </c>
      <c r="AA6" s="1061" t="s">
        <v>748</v>
      </c>
      <c r="AB6" s="168" t="s">
        <v>771</v>
      </c>
      <c r="AC6" s="2" t="s">
        <v>773</v>
      </c>
      <c r="AD6" s="2" t="s">
        <v>772</v>
      </c>
      <c r="AE6" s="2" t="s">
        <v>774</v>
      </c>
      <c r="AK6" s="8" t="s">
        <v>763</v>
      </c>
    </row>
    <row r="7" spans="1:37" x14ac:dyDescent="0.3">
      <c r="A7" s="985" t="str">
        <f>A6</f>
        <v>Sezóna 18/19</v>
      </c>
      <c r="B7" s="2">
        <v>5</v>
      </c>
      <c r="C7" s="2">
        <v>5</v>
      </c>
      <c r="D7" s="4">
        <v>43371</v>
      </c>
      <c r="E7" s="2" t="s">
        <v>6076</v>
      </c>
      <c r="F7" s="2" t="s">
        <v>16</v>
      </c>
      <c r="G7" s="1058" t="s">
        <v>164</v>
      </c>
      <c r="H7" s="1058" t="s">
        <v>793</v>
      </c>
      <c r="I7" s="259">
        <v>4</v>
      </c>
      <c r="J7" s="259">
        <v>3</v>
      </c>
      <c r="K7" s="2">
        <v>3</v>
      </c>
      <c r="L7" s="2">
        <v>3</v>
      </c>
      <c r="M7" s="2">
        <v>1</v>
      </c>
      <c r="N7" s="2">
        <v>8</v>
      </c>
      <c r="O7" s="2">
        <v>14</v>
      </c>
      <c r="P7" s="168">
        <v>1</v>
      </c>
      <c r="Q7" s="2">
        <v>0</v>
      </c>
      <c r="R7" s="2">
        <v>1</v>
      </c>
      <c r="S7" s="2">
        <v>1</v>
      </c>
      <c r="T7" s="2">
        <v>5</v>
      </c>
      <c r="U7" s="2">
        <v>5</v>
      </c>
      <c r="V7" s="242">
        <v>4545</v>
      </c>
      <c r="W7" s="1058" t="s">
        <v>6187</v>
      </c>
      <c r="X7" s="1058" t="s">
        <v>6171</v>
      </c>
      <c r="Y7" s="1058" t="s">
        <v>6089</v>
      </c>
      <c r="Z7" s="1058" t="s">
        <v>756</v>
      </c>
      <c r="AA7" s="1061" t="s">
        <v>757</v>
      </c>
      <c r="AB7" s="168" t="s">
        <v>778</v>
      </c>
      <c r="AC7" s="2" t="s">
        <v>779</v>
      </c>
      <c r="AD7" s="2" t="s">
        <v>780</v>
      </c>
      <c r="AE7" s="2" t="s">
        <v>781</v>
      </c>
      <c r="AK7" s="181" t="s">
        <v>760</v>
      </c>
    </row>
    <row r="8" spans="1:37" x14ac:dyDescent="0.3">
      <c r="A8" s="985" t="str">
        <f t="shared" si="0"/>
        <v>Sezóna 18/19</v>
      </c>
      <c r="B8" s="2">
        <v>6</v>
      </c>
      <c r="C8" s="2">
        <v>6</v>
      </c>
      <c r="D8" s="4">
        <v>43373</v>
      </c>
      <c r="E8" s="2" t="s">
        <v>626</v>
      </c>
      <c r="F8" s="2" t="s">
        <v>17</v>
      </c>
      <c r="G8" s="1058" t="s">
        <v>6118</v>
      </c>
      <c r="H8" s="1058" t="s">
        <v>16</v>
      </c>
      <c r="I8" s="259">
        <v>2</v>
      </c>
      <c r="J8" s="259">
        <v>1</v>
      </c>
      <c r="K8" s="2">
        <v>2</v>
      </c>
      <c r="L8" s="2">
        <v>1</v>
      </c>
      <c r="M8" s="2">
        <v>1</v>
      </c>
      <c r="N8" s="2">
        <v>8</v>
      </c>
      <c r="O8" s="2">
        <v>17</v>
      </c>
      <c r="P8" s="168">
        <v>1</v>
      </c>
      <c r="Q8" s="2">
        <v>0</v>
      </c>
      <c r="R8" s="2">
        <v>0</v>
      </c>
      <c r="S8" s="2">
        <v>0</v>
      </c>
      <c r="T8" s="2">
        <v>6</v>
      </c>
      <c r="U8" s="2">
        <v>1</v>
      </c>
      <c r="V8" s="242">
        <v>5568</v>
      </c>
      <c r="W8" s="1058" t="s">
        <v>6189</v>
      </c>
      <c r="X8" s="1058" t="s">
        <v>6120</v>
      </c>
      <c r="Y8" s="1058" t="s">
        <v>6120</v>
      </c>
      <c r="AA8" s="1061" t="s">
        <v>758</v>
      </c>
      <c r="AB8" s="168" t="s">
        <v>782</v>
      </c>
      <c r="AC8" s="2" t="s">
        <v>784</v>
      </c>
      <c r="AK8" s="8" t="s">
        <v>761</v>
      </c>
    </row>
    <row r="9" spans="1:37" x14ac:dyDescent="0.3">
      <c r="A9" s="985" t="str">
        <f t="shared" si="0"/>
        <v>Sezóna 18/19</v>
      </c>
      <c r="B9" s="2">
        <v>7</v>
      </c>
      <c r="C9" s="2">
        <v>7</v>
      </c>
      <c r="D9" s="4">
        <v>43378</v>
      </c>
      <c r="E9" s="2" t="s">
        <v>334</v>
      </c>
      <c r="F9" s="2" t="s">
        <v>17</v>
      </c>
      <c r="G9" s="1058" t="s">
        <v>6171</v>
      </c>
      <c r="H9" s="1058" t="s">
        <v>743</v>
      </c>
      <c r="I9" s="259">
        <v>0</v>
      </c>
      <c r="J9" s="259">
        <v>2</v>
      </c>
      <c r="K9" s="2">
        <v>0</v>
      </c>
      <c r="L9" s="2">
        <v>2</v>
      </c>
      <c r="M9" s="2">
        <v>2</v>
      </c>
      <c r="N9" s="2">
        <v>5</v>
      </c>
      <c r="O9" s="2">
        <v>17</v>
      </c>
      <c r="P9" s="168">
        <v>0</v>
      </c>
      <c r="Q9" s="2">
        <v>0</v>
      </c>
      <c r="R9" s="2">
        <v>0</v>
      </c>
      <c r="S9" s="2">
        <v>1</v>
      </c>
      <c r="T9" s="2">
        <v>5</v>
      </c>
      <c r="U9" s="2">
        <v>4</v>
      </c>
      <c r="V9" s="242">
        <v>5235</v>
      </c>
      <c r="W9" s="1058" t="s">
        <v>6171</v>
      </c>
      <c r="X9" s="1058" t="s">
        <v>6188</v>
      </c>
      <c r="Y9" s="1058" t="s">
        <v>6188</v>
      </c>
      <c r="AA9" s="1061" t="s">
        <v>6171</v>
      </c>
      <c r="AB9" s="168" t="s">
        <v>515</v>
      </c>
      <c r="AK9" s="8" t="s">
        <v>776</v>
      </c>
    </row>
    <row r="10" spans="1:37" x14ac:dyDescent="0.3">
      <c r="A10" s="985" t="str">
        <f t="shared" si="0"/>
        <v>Sezóna 18/19</v>
      </c>
      <c r="B10" s="2">
        <v>8</v>
      </c>
      <c r="C10" s="2">
        <v>8</v>
      </c>
      <c r="D10" s="4">
        <v>43380</v>
      </c>
      <c r="E10" s="2" t="s">
        <v>1274</v>
      </c>
      <c r="F10" s="2" t="s">
        <v>17</v>
      </c>
      <c r="G10" s="1058" t="s">
        <v>6118</v>
      </c>
      <c r="H10" s="1058" t="s">
        <v>16</v>
      </c>
      <c r="I10" s="259">
        <v>2</v>
      </c>
      <c r="J10" s="259">
        <v>1</v>
      </c>
      <c r="K10" s="2">
        <v>2</v>
      </c>
      <c r="L10" s="2">
        <v>1</v>
      </c>
      <c r="M10" s="2">
        <v>1</v>
      </c>
      <c r="N10" s="2">
        <v>5</v>
      </c>
      <c r="O10" s="2">
        <v>20</v>
      </c>
      <c r="P10" s="168">
        <v>1</v>
      </c>
      <c r="Q10" s="2">
        <v>0</v>
      </c>
      <c r="R10" s="2">
        <v>0</v>
      </c>
      <c r="S10" s="2">
        <v>0</v>
      </c>
      <c r="T10" s="2">
        <v>5</v>
      </c>
      <c r="U10" s="2">
        <v>4</v>
      </c>
      <c r="V10" s="242">
        <v>5024</v>
      </c>
      <c r="W10" s="1058" t="s">
        <v>6188</v>
      </c>
      <c r="X10" s="1058" t="s">
        <v>6187</v>
      </c>
      <c r="Y10" s="1058" t="s">
        <v>6120</v>
      </c>
      <c r="AA10" s="1061" t="s">
        <v>758</v>
      </c>
      <c r="AB10" s="168" t="s">
        <v>790</v>
      </c>
      <c r="AC10" s="2" t="s">
        <v>791</v>
      </c>
      <c r="AK10" s="8" t="s">
        <v>777</v>
      </c>
    </row>
    <row r="11" spans="1:37" x14ac:dyDescent="0.3">
      <c r="A11" s="985" t="str">
        <f t="shared" si="0"/>
        <v>Sezóna 18/19</v>
      </c>
      <c r="B11" s="2">
        <v>9</v>
      </c>
      <c r="C11" s="2">
        <v>9</v>
      </c>
      <c r="D11" s="4">
        <v>43385</v>
      </c>
      <c r="E11" s="2" t="s">
        <v>6179</v>
      </c>
      <c r="F11" s="2" t="s">
        <v>16</v>
      </c>
      <c r="G11" s="1058" t="s">
        <v>6102</v>
      </c>
      <c r="H11" s="1058" t="s">
        <v>743</v>
      </c>
      <c r="I11" s="259">
        <v>1</v>
      </c>
      <c r="J11" s="259">
        <v>3</v>
      </c>
      <c r="K11" s="2">
        <v>1</v>
      </c>
      <c r="L11" s="2">
        <v>3</v>
      </c>
      <c r="M11" s="2">
        <v>2</v>
      </c>
      <c r="N11" s="2">
        <v>5</v>
      </c>
      <c r="O11" s="2">
        <v>20</v>
      </c>
      <c r="P11" s="168">
        <v>0</v>
      </c>
      <c r="Q11" s="2">
        <v>0</v>
      </c>
      <c r="R11" s="2">
        <v>0</v>
      </c>
      <c r="S11" s="2">
        <v>1</v>
      </c>
      <c r="T11" s="2">
        <v>3</v>
      </c>
      <c r="U11" s="2">
        <v>5</v>
      </c>
      <c r="V11" s="242">
        <v>7700</v>
      </c>
      <c r="W11" s="1058" t="s">
        <v>6189</v>
      </c>
      <c r="X11" s="1058" t="s">
        <v>6189</v>
      </c>
      <c r="Y11" s="1058" t="s">
        <v>6187</v>
      </c>
      <c r="AA11" s="1061" t="s">
        <v>787</v>
      </c>
      <c r="AB11" s="168" t="s">
        <v>829</v>
      </c>
      <c r="AK11" s="8" t="s">
        <v>788</v>
      </c>
    </row>
    <row r="12" spans="1:37" x14ac:dyDescent="0.3">
      <c r="A12" s="985" t="str">
        <f t="shared" si="0"/>
        <v>Sezóna 18/19</v>
      </c>
      <c r="B12" s="2">
        <v>10</v>
      </c>
      <c r="C12" s="2">
        <v>10</v>
      </c>
      <c r="D12" s="4">
        <v>43387</v>
      </c>
      <c r="E12" s="2" t="s">
        <v>610</v>
      </c>
      <c r="F12" s="2" t="s">
        <v>16</v>
      </c>
      <c r="G12" s="1058" t="s">
        <v>6206</v>
      </c>
      <c r="H12" s="1058" t="s">
        <v>743</v>
      </c>
      <c r="I12" s="259">
        <v>0</v>
      </c>
      <c r="J12" s="259">
        <v>5</v>
      </c>
      <c r="K12" s="2">
        <v>0</v>
      </c>
      <c r="L12" s="2">
        <v>5</v>
      </c>
      <c r="M12" s="2">
        <v>4</v>
      </c>
      <c r="N12" s="2">
        <v>5</v>
      </c>
      <c r="O12" s="2">
        <v>20</v>
      </c>
      <c r="P12" s="168">
        <v>0</v>
      </c>
      <c r="Q12" s="2">
        <v>0</v>
      </c>
      <c r="R12" s="2">
        <v>0</v>
      </c>
      <c r="S12" s="2">
        <v>2</v>
      </c>
      <c r="T12" s="2">
        <v>5</v>
      </c>
      <c r="U12" s="2">
        <v>6</v>
      </c>
      <c r="V12" s="242">
        <v>6815</v>
      </c>
      <c r="W12" s="1058" t="s">
        <v>6077</v>
      </c>
      <c r="X12" s="1058" t="s">
        <v>6188</v>
      </c>
      <c r="Y12" s="1058" t="s">
        <v>6189</v>
      </c>
      <c r="AA12" s="1061" t="s">
        <v>6206</v>
      </c>
      <c r="AB12" s="168" t="s">
        <v>515</v>
      </c>
      <c r="AK12" s="8" t="s">
        <v>789</v>
      </c>
    </row>
    <row r="13" spans="1:37" x14ac:dyDescent="0.3">
      <c r="A13" s="985" t="str">
        <f t="shared" si="0"/>
        <v>Sezóna 18/19</v>
      </c>
      <c r="B13" s="2">
        <v>11</v>
      </c>
      <c r="C13" s="2">
        <v>11</v>
      </c>
      <c r="D13" s="4">
        <v>43393</v>
      </c>
      <c r="E13" s="2" t="s">
        <v>325</v>
      </c>
      <c r="F13" s="2" t="s">
        <v>17</v>
      </c>
      <c r="G13" s="1058" t="s">
        <v>6171</v>
      </c>
      <c r="H13" s="1058" t="s">
        <v>743</v>
      </c>
      <c r="I13" s="259">
        <v>0</v>
      </c>
      <c r="J13" s="259">
        <v>2</v>
      </c>
      <c r="K13" s="2">
        <v>0</v>
      </c>
      <c r="L13" s="2">
        <v>2</v>
      </c>
      <c r="M13" s="2">
        <v>5</v>
      </c>
      <c r="N13" s="2">
        <v>2</v>
      </c>
      <c r="O13" s="2">
        <v>20</v>
      </c>
      <c r="P13" s="168">
        <v>0</v>
      </c>
      <c r="Q13" s="2">
        <v>0</v>
      </c>
      <c r="R13" s="2">
        <v>0</v>
      </c>
      <c r="S13" s="2">
        <v>0</v>
      </c>
      <c r="T13" s="2">
        <v>4</v>
      </c>
      <c r="U13" s="2">
        <v>4</v>
      </c>
      <c r="V13" s="242">
        <v>5948</v>
      </c>
      <c r="W13" s="1058" t="s">
        <v>6188</v>
      </c>
      <c r="X13" s="1058" t="s">
        <v>6189</v>
      </c>
      <c r="Y13" s="1058" t="s">
        <v>6189</v>
      </c>
      <c r="AA13" s="1061" t="s">
        <v>6171</v>
      </c>
      <c r="AB13" s="168" t="s">
        <v>515</v>
      </c>
      <c r="AK13" s="8" t="s">
        <v>830</v>
      </c>
    </row>
    <row r="14" spans="1:37" x14ac:dyDescent="0.3">
      <c r="A14" s="985" t="str">
        <f t="shared" si="0"/>
        <v>Sezóna 18/19</v>
      </c>
      <c r="B14" s="2">
        <v>12</v>
      </c>
      <c r="C14" s="2">
        <v>12</v>
      </c>
      <c r="D14" s="4">
        <v>43394</v>
      </c>
      <c r="E14" s="2" t="s">
        <v>331</v>
      </c>
      <c r="F14" s="2" t="s">
        <v>16</v>
      </c>
      <c r="G14" s="1058" t="s">
        <v>6128</v>
      </c>
      <c r="H14" s="1058" t="s">
        <v>743</v>
      </c>
      <c r="I14" s="259">
        <v>1</v>
      </c>
      <c r="J14" s="259">
        <v>4</v>
      </c>
      <c r="K14" s="2">
        <v>1</v>
      </c>
      <c r="L14" s="2">
        <v>4</v>
      </c>
      <c r="M14" s="2">
        <v>6</v>
      </c>
      <c r="N14" s="2">
        <v>2</v>
      </c>
      <c r="O14" s="2">
        <v>20</v>
      </c>
      <c r="P14" s="168">
        <v>0</v>
      </c>
      <c r="Q14" s="2">
        <v>0</v>
      </c>
      <c r="R14" s="2">
        <v>2</v>
      </c>
      <c r="S14" s="2">
        <v>1</v>
      </c>
      <c r="T14" s="2">
        <v>4</v>
      </c>
      <c r="U14" s="2">
        <v>7</v>
      </c>
      <c r="V14" s="242">
        <v>6221</v>
      </c>
      <c r="W14" s="1058" t="s">
        <v>6120</v>
      </c>
      <c r="X14" s="1058" t="s">
        <v>6171</v>
      </c>
      <c r="Y14" s="1058" t="s">
        <v>6171</v>
      </c>
      <c r="AA14" s="1061" t="s">
        <v>828</v>
      </c>
      <c r="AB14" s="168" t="s">
        <v>843</v>
      </c>
      <c r="AK14" s="8" t="s">
        <v>831</v>
      </c>
    </row>
    <row r="15" spans="1:37" s="191" customFormat="1" x14ac:dyDescent="0.3">
      <c r="A15" s="985" t="str">
        <f t="shared" si="0"/>
        <v>Sezóna 18/19</v>
      </c>
      <c r="B15" s="170">
        <v>13</v>
      </c>
      <c r="C15" s="170">
        <v>24</v>
      </c>
      <c r="D15" s="4">
        <v>43396</v>
      </c>
      <c r="E15" s="170" t="s">
        <v>325</v>
      </c>
      <c r="F15" s="170" t="s">
        <v>16</v>
      </c>
      <c r="G15" s="1059" t="s">
        <v>6118</v>
      </c>
      <c r="H15" s="1059" t="s">
        <v>16</v>
      </c>
      <c r="I15" s="1091">
        <v>2</v>
      </c>
      <c r="J15" s="1091">
        <v>1</v>
      </c>
      <c r="K15" s="170">
        <v>2</v>
      </c>
      <c r="L15" s="170">
        <v>1</v>
      </c>
      <c r="M15" s="269">
        <v>5</v>
      </c>
      <c r="N15" s="269">
        <v>5</v>
      </c>
      <c r="O15" s="269">
        <v>23</v>
      </c>
      <c r="P15" s="169">
        <v>2</v>
      </c>
      <c r="Q15" s="170">
        <v>0</v>
      </c>
      <c r="R15" s="170">
        <v>0</v>
      </c>
      <c r="S15" s="170">
        <v>0</v>
      </c>
      <c r="T15" s="170">
        <v>5</v>
      </c>
      <c r="U15" s="170">
        <v>4</v>
      </c>
      <c r="V15" s="171">
        <v>8239</v>
      </c>
      <c r="W15" s="1059" t="s">
        <v>6189</v>
      </c>
      <c r="X15" s="1059" t="s">
        <v>6120</v>
      </c>
      <c r="Y15" s="1059" t="s">
        <v>6120</v>
      </c>
      <c r="Z15" s="1059"/>
      <c r="AA15" s="1064" t="s">
        <v>758</v>
      </c>
      <c r="AB15" s="169" t="s">
        <v>850</v>
      </c>
      <c r="AC15" s="170" t="s">
        <v>851</v>
      </c>
      <c r="AD15" s="170"/>
      <c r="AE15" s="170"/>
      <c r="AF15" s="170"/>
      <c r="AG15" s="170"/>
      <c r="AH15" s="170"/>
      <c r="AI15" s="170"/>
      <c r="AJ15" s="170"/>
      <c r="AK15" s="268" t="s">
        <v>832</v>
      </c>
    </row>
    <row r="16" spans="1:37" x14ac:dyDescent="0.3">
      <c r="A16" s="985" t="str">
        <f t="shared" si="0"/>
        <v>Sezóna 18/19</v>
      </c>
      <c r="B16" s="2">
        <v>14</v>
      </c>
      <c r="C16" s="2">
        <v>13</v>
      </c>
      <c r="D16" s="4">
        <v>43399</v>
      </c>
      <c r="E16" s="2" t="s">
        <v>328</v>
      </c>
      <c r="F16" s="2" t="s">
        <v>17</v>
      </c>
      <c r="G16" s="1058" t="s">
        <v>6120</v>
      </c>
      <c r="H16" s="1058" t="s">
        <v>16</v>
      </c>
      <c r="I16" s="259">
        <v>1</v>
      </c>
      <c r="J16" s="259">
        <v>0</v>
      </c>
      <c r="K16" s="2">
        <v>1</v>
      </c>
      <c r="L16" s="2">
        <v>0</v>
      </c>
      <c r="M16" s="2">
        <v>3</v>
      </c>
      <c r="N16" s="2">
        <v>5</v>
      </c>
      <c r="O16" s="2">
        <v>26</v>
      </c>
      <c r="P16" s="168">
        <v>0</v>
      </c>
      <c r="Q16" s="2">
        <v>1</v>
      </c>
      <c r="R16" s="2">
        <v>0</v>
      </c>
      <c r="S16" s="2">
        <v>0</v>
      </c>
      <c r="T16" s="2">
        <v>3</v>
      </c>
      <c r="U16" s="2">
        <v>4</v>
      </c>
      <c r="V16" s="242">
        <v>5011</v>
      </c>
      <c r="W16" s="1058" t="s">
        <v>6188</v>
      </c>
      <c r="X16" s="1058" t="s">
        <v>6120</v>
      </c>
      <c r="Y16" s="1058" t="s">
        <v>6188</v>
      </c>
      <c r="AA16" s="1061" t="s">
        <v>6120</v>
      </c>
      <c r="AB16" s="168" t="s">
        <v>842</v>
      </c>
      <c r="AK16" s="8" t="s">
        <v>844</v>
      </c>
    </row>
    <row r="17" spans="1:37" x14ac:dyDescent="0.3">
      <c r="A17" s="985" t="str">
        <f t="shared" si="0"/>
        <v>Sezóna 18/19</v>
      </c>
      <c r="B17" s="2">
        <v>15</v>
      </c>
      <c r="C17" s="2">
        <v>14</v>
      </c>
      <c r="D17" s="4">
        <v>43401</v>
      </c>
      <c r="E17" s="2" t="s">
        <v>6086</v>
      </c>
      <c r="F17" s="2" t="s">
        <v>17</v>
      </c>
      <c r="G17" s="1058" t="s">
        <v>6079</v>
      </c>
      <c r="H17" s="1058" t="s">
        <v>743</v>
      </c>
      <c r="I17" s="259">
        <v>0</v>
      </c>
      <c r="J17" s="259">
        <v>3</v>
      </c>
      <c r="K17" s="2">
        <v>0</v>
      </c>
      <c r="L17" s="2">
        <v>2</v>
      </c>
      <c r="M17" s="2">
        <v>4</v>
      </c>
      <c r="N17" s="2">
        <v>2</v>
      </c>
      <c r="O17" s="2">
        <v>26</v>
      </c>
      <c r="P17" s="168">
        <v>0</v>
      </c>
      <c r="Q17" s="2">
        <v>0</v>
      </c>
      <c r="R17" s="2">
        <v>0</v>
      </c>
      <c r="S17" s="2">
        <v>2</v>
      </c>
      <c r="T17" s="2">
        <v>4</v>
      </c>
      <c r="U17" s="2">
        <v>4</v>
      </c>
      <c r="V17" s="242">
        <v>5123</v>
      </c>
      <c r="W17" s="1058" t="s">
        <v>6189</v>
      </c>
      <c r="X17" s="1058" t="s">
        <v>6188</v>
      </c>
      <c r="Y17" s="1058" t="s">
        <v>6171</v>
      </c>
      <c r="AA17" s="1061" t="s">
        <v>6079</v>
      </c>
      <c r="AB17" s="168" t="s">
        <v>515</v>
      </c>
      <c r="AK17" s="8" t="s">
        <v>845</v>
      </c>
    </row>
    <row r="18" spans="1:37" x14ac:dyDescent="0.3">
      <c r="A18" s="985" t="str">
        <f t="shared" si="0"/>
        <v>Sezóna 18/19</v>
      </c>
      <c r="B18" s="2">
        <v>16</v>
      </c>
      <c r="C18" s="2">
        <v>15</v>
      </c>
      <c r="D18" s="4">
        <v>43403</v>
      </c>
      <c r="E18" s="2" t="s">
        <v>326</v>
      </c>
      <c r="F18" s="2" t="s">
        <v>16</v>
      </c>
      <c r="G18" s="1058" t="s">
        <v>6104</v>
      </c>
      <c r="H18" s="1058" t="s">
        <v>743</v>
      </c>
      <c r="I18" s="259">
        <v>2</v>
      </c>
      <c r="J18" s="259">
        <v>5</v>
      </c>
      <c r="K18" s="2">
        <v>2</v>
      </c>
      <c r="L18" s="2">
        <v>5</v>
      </c>
      <c r="M18" s="2">
        <v>5</v>
      </c>
      <c r="N18" s="2">
        <v>2</v>
      </c>
      <c r="O18" s="2">
        <v>26</v>
      </c>
      <c r="P18" s="168">
        <v>0</v>
      </c>
      <c r="Q18" s="2">
        <v>0</v>
      </c>
      <c r="R18" s="2">
        <v>0</v>
      </c>
      <c r="S18" s="2">
        <v>2</v>
      </c>
      <c r="T18" s="2">
        <v>3</v>
      </c>
      <c r="U18" s="2">
        <v>5</v>
      </c>
      <c r="V18" s="242">
        <v>3291</v>
      </c>
      <c r="W18" s="1058" t="s">
        <v>6189</v>
      </c>
      <c r="X18" s="1058" t="s">
        <v>6146</v>
      </c>
      <c r="Y18" s="1058" t="s">
        <v>6189</v>
      </c>
      <c r="AA18" s="1061" t="s">
        <v>846</v>
      </c>
      <c r="AB18" s="168" t="s">
        <v>860</v>
      </c>
      <c r="AC18" s="2" t="s">
        <v>861</v>
      </c>
      <c r="AK18" s="8" t="s">
        <v>859</v>
      </c>
    </row>
    <row r="19" spans="1:37" x14ac:dyDescent="0.3">
      <c r="A19" s="985" t="str">
        <f t="shared" si="0"/>
        <v>Sezóna 18/19</v>
      </c>
      <c r="B19" s="2">
        <v>17</v>
      </c>
      <c r="C19" s="2">
        <v>16</v>
      </c>
      <c r="D19" s="4">
        <v>43407</v>
      </c>
      <c r="E19" s="2" t="s">
        <v>327</v>
      </c>
      <c r="F19" s="2" t="s">
        <v>17</v>
      </c>
      <c r="G19" s="1058" t="s">
        <v>6211</v>
      </c>
      <c r="H19" s="1058" t="s">
        <v>743</v>
      </c>
      <c r="I19" s="259">
        <v>3</v>
      </c>
      <c r="J19" s="259">
        <v>4</v>
      </c>
      <c r="K19" s="2">
        <v>3</v>
      </c>
      <c r="L19" s="2">
        <v>4</v>
      </c>
      <c r="M19" s="2">
        <v>7</v>
      </c>
      <c r="N19" s="2">
        <v>-1</v>
      </c>
      <c r="O19" s="2">
        <v>26</v>
      </c>
      <c r="P19" s="168">
        <v>0</v>
      </c>
      <c r="Q19" s="2">
        <v>0</v>
      </c>
      <c r="R19" s="2">
        <v>0</v>
      </c>
      <c r="S19" s="2">
        <v>0</v>
      </c>
      <c r="T19" s="2">
        <v>6</v>
      </c>
      <c r="U19" s="2">
        <v>3</v>
      </c>
      <c r="V19" s="242">
        <v>4728</v>
      </c>
      <c r="W19" s="1058" t="s">
        <v>6189</v>
      </c>
      <c r="X19" s="1058" t="s">
        <v>6118</v>
      </c>
      <c r="Y19" s="1058" t="s">
        <v>6097</v>
      </c>
      <c r="AA19" s="1061" t="s">
        <v>848</v>
      </c>
      <c r="AB19" s="168" t="s">
        <v>862</v>
      </c>
      <c r="AC19" s="2" t="s">
        <v>863</v>
      </c>
      <c r="AD19" s="2" t="s">
        <v>864</v>
      </c>
      <c r="AK19" s="8" t="s">
        <v>852</v>
      </c>
    </row>
    <row r="20" spans="1:37" x14ac:dyDescent="0.3">
      <c r="A20" s="985" t="str">
        <f t="shared" si="0"/>
        <v>Sezóna 18/19</v>
      </c>
      <c r="B20" s="2">
        <v>18</v>
      </c>
      <c r="C20" s="2">
        <v>17</v>
      </c>
      <c r="D20" s="4">
        <v>43408</v>
      </c>
      <c r="E20" s="2" t="s">
        <v>612</v>
      </c>
      <c r="F20" s="2" t="s">
        <v>16</v>
      </c>
      <c r="G20" s="1058" t="s">
        <v>160</v>
      </c>
      <c r="H20" s="1058" t="s">
        <v>793</v>
      </c>
      <c r="I20" s="259">
        <v>2</v>
      </c>
      <c r="J20" s="259">
        <v>1</v>
      </c>
      <c r="K20" s="2">
        <v>1</v>
      </c>
      <c r="L20" s="2">
        <v>1</v>
      </c>
      <c r="M20" s="2">
        <v>7</v>
      </c>
      <c r="N20" s="2">
        <v>1</v>
      </c>
      <c r="O20" s="2">
        <v>28</v>
      </c>
      <c r="P20" s="168">
        <v>0</v>
      </c>
      <c r="Q20" s="2">
        <v>0</v>
      </c>
      <c r="R20" s="2">
        <v>0</v>
      </c>
      <c r="S20" s="2">
        <v>0</v>
      </c>
      <c r="T20" s="2">
        <v>4</v>
      </c>
      <c r="U20" s="2">
        <v>2</v>
      </c>
      <c r="V20" s="242">
        <v>5250</v>
      </c>
      <c r="W20" s="1058" t="s">
        <v>6188</v>
      </c>
      <c r="X20" s="1058" t="s">
        <v>6188</v>
      </c>
      <c r="Y20" s="1058" t="s">
        <v>6187</v>
      </c>
      <c r="Z20" s="1058" t="s">
        <v>756</v>
      </c>
      <c r="AA20" s="1061" t="s">
        <v>847</v>
      </c>
      <c r="AB20" s="168" t="s">
        <v>865</v>
      </c>
      <c r="AC20" s="2" t="s">
        <v>849</v>
      </c>
      <c r="AK20" s="8" t="s">
        <v>857</v>
      </c>
    </row>
    <row r="21" spans="1:37" x14ac:dyDescent="0.3">
      <c r="A21" s="985" t="str">
        <f t="shared" si="0"/>
        <v>Sezóna 18/19</v>
      </c>
      <c r="B21" s="2">
        <v>19</v>
      </c>
      <c r="C21" s="2">
        <v>18</v>
      </c>
      <c r="D21" s="4">
        <v>43418</v>
      </c>
      <c r="E21" s="2" t="s">
        <v>6076</v>
      </c>
      <c r="F21" s="2" t="s">
        <v>17</v>
      </c>
      <c r="G21" s="1058" t="s">
        <v>6131</v>
      </c>
      <c r="H21" s="1058" t="s">
        <v>16</v>
      </c>
      <c r="I21" s="259">
        <v>7</v>
      </c>
      <c r="J21" s="259">
        <v>2</v>
      </c>
      <c r="K21" s="2">
        <v>7</v>
      </c>
      <c r="L21" s="2">
        <v>2</v>
      </c>
      <c r="M21" s="2">
        <v>6</v>
      </c>
      <c r="N21" s="2">
        <v>1</v>
      </c>
      <c r="O21" s="2">
        <v>31</v>
      </c>
      <c r="P21" s="168">
        <v>4</v>
      </c>
      <c r="Q21" s="2">
        <v>0</v>
      </c>
      <c r="R21" s="2">
        <v>0</v>
      </c>
      <c r="S21" s="2">
        <v>1</v>
      </c>
      <c r="T21" s="2">
        <v>7</v>
      </c>
      <c r="U21" s="2">
        <v>6</v>
      </c>
      <c r="V21" s="242">
        <v>4846</v>
      </c>
      <c r="W21" s="1058" t="s">
        <v>6100</v>
      </c>
      <c r="X21" s="1058" t="s">
        <v>6118</v>
      </c>
      <c r="Y21" s="1058" t="s">
        <v>6089</v>
      </c>
      <c r="AA21" s="1061" t="s">
        <v>856</v>
      </c>
      <c r="AB21" s="168" t="s">
        <v>886</v>
      </c>
      <c r="AC21" s="2" t="s">
        <v>887</v>
      </c>
      <c r="AD21" s="2" t="s">
        <v>888</v>
      </c>
      <c r="AE21" s="2" t="s">
        <v>889</v>
      </c>
      <c r="AF21" s="2" t="s">
        <v>890</v>
      </c>
      <c r="AG21" s="2" t="s">
        <v>891</v>
      </c>
      <c r="AH21" s="2" t="s">
        <v>892</v>
      </c>
      <c r="AK21" s="8" t="s">
        <v>858</v>
      </c>
    </row>
    <row r="22" spans="1:37" x14ac:dyDescent="0.3">
      <c r="A22" s="985" t="str">
        <f t="shared" si="0"/>
        <v>Sezóna 18/19</v>
      </c>
      <c r="B22" s="2">
        <v>20</v>
      </c>
      <c r="C22" s="2">
        <v>19</v>
      </c>
      <c r="D22" s="4">
        <v>43420</v>
      </c>
      <c r="E22" s="2" t="s">
        <v>626</v>
      </c>
      <c r="F22" s="2" t="s">
        <v>16</v>
      </c>
      <c r="G22" s="1058" t="s">
        <v>6102</v>
      </c>
      <c r="H22" s="1058" t="s">
        <v>743</v>
      </c>
      <c r="I22" s="259">
        <v>1</v>
      </c>
      <c r="J22" s="259">
        <v>3</v>
      </c>
      <c r="K22" s="2">
        <v>1</v>
      </c>
      <c r="L22" s="2">
        <v>3</v>
      </c>
      <c r="M22" s="2">
        <v>7</v>
      </c>
      <c r="N22" s="2">
        <v>1</v>
      </c>
      <c r="O22" s="2">
        <v>31</v>
      </c>
      <c r="P22" s="168">
        <v>0</v>
      </c>
      <c r="Q22" s="2">
        <v>0</v>
      </c>
      <c r="R22" s="2">
        <v>0</v>
      </c>
      <c r="S22" s="2">
        <v>1</v>
      </c>
      <c r="T22" s="2">
        <v>3</v>
      </c>
      <c r="U22" s="2">
        <v>5</v>
      </c>
      <c r="V22" s="242">
        <v>4271</v>
      </c>
      <c r="W22" s="1058" t="s">
        <v>6189</v>
      </c>
      <c r="X22" s="1058" t="s">
        <v>6171</v>
      </c>
      <c r="Y22" s="1058" t="s">
        <v>6120</v>
      </c>
      <c r="AA22" s="1061" t="s">
        <v>787</v>
      </c>
      <c r="AB22" s="168" t="s">
        <v>885</v>
      </c>
      <c r="AK22" s="8" t="s">
        <v>867</v>
      </c>
    </row>
    <row r="23" spans="1:37" x14ac:dyDescent="0.3">
      <c r="A23" s="985" t="str">
        <f t="shared" si="0"/>
        <v>Sezóna 18/19</v>
      </c>
      <c r="B23" s="2">
        <v>21</v>
      </c>
      <c r="C23" s="2">
        <v>20</v>
      </c>
      <c r="D23" s="4">
        <v>43421</v>
      </c>
      <c r="E23" s="2" t="s">
        <v>334</v>
      </c>
      <c r="F23" s="2" t="s">
        <v>16</v>
      </c>
      <c r="G23" s="1058" t="s">
        <v>6082</v>
      </c>
      <c r="H23" s="1058" t="s">
        <v>743</v>
      </c>
      <c r="I23" s="259">
        <v>2</v>
      </c>
      <c r="J23" s="259">
        <v>4</v>
      </c>
      <c r="K23" s="2">
        <v>2</v>
      </c>
      <c r="L23" s="2">
        <v>4</v>
      </c>
      <c r="M23" s="2">
        <v>7</v>
      </c>
      <c r="N23" s="2">
        <v>1</v>
      </c>
      <c r="O23" s="2">
        <v>31</v>
      </c>
      <c r="P23" s="168">
        <v>1</v>
      </c>
      <c r="Q23" s="2">
        <v>0</v>
      </c>
      <c r="R23" s="2">
        <v>0</v>
      </c>
      <c r="S23" s="2">
        <v>0</v>
      </c>
      <c r="T23" s="2">
        <v>1</v>
      </c>
      <c r="U23" s="2">
        <v>2</v>
      </c>
      <c r="V23" s="242">
        <v>5017</v>
      </c>
      <c r="W23" s="1058" t="s">
        <v>6189</v>
      </c>
      <c r="X23" s="1058" t="s">
        <v>6187</v>
      </c>
      <c r="Y23" s="1058" t="s">
        <v>6097</v>
      </c>
      <c r="AA23" s="1061" t="s">
        <v>866</v>
      </c>
      <c r="AB23" s="168" t="s">
        <v>883</v>
      </c>
      <c r="AC23" s="2" t="s">
        <v>884</v>
      </c>
      <c r="AK23" s="8" t="s">
        <v>868</v>
      </c>
    </row>
    <row r="24" spans="1:37" x14ac:dyDescent="0.3">
      <c r="A24" s="985" t="str">
        <f t="shared" si="0"/>
        <v>Sezóna 18/19</v>
      </c>
      <c r="B24" s="2">
        <v>22</v>
      </c>
      <c r="C24" s="2">
        <v>21</v>
      </c>
      <c r="D24" s="4">
        <v>43427</v>
      </c>
      <c r="E24" s="2" t="s">
        <v>1274</v>
      </c>
      <c r="F24" s="2" t="s">
        <v>16</v>
      </c>
      <c r="G24" s="1058" t="s">
        <v>6146</v>
      </c>
      <c r="H24" s="1058" t="s">
        <v>743</v>
      </c>
      <c r="I24" s="259">
        <v>2</v>
      </c>
      <c r="J24" s="259">
        <v>3</v>
      </c>
      <c r="K24" s="2">
        <v>2</v>
      </c>
      <c r="L24" s="2">
        <v>3</v>
      </c>
      <c r="M24" s="2">
        <v>8</v>
      </c>
      <c r="N24" s="2">
        <v>1</v>
      </c>
      <c r="O24" s="2">
        <v>31</v>
      </c>
      <c r="P24" s="168">
        <v>0</v>
      </c>
      <c r="Q24" s="2">
        <v>0</v>
      </c>
      <c r="R24" s="2">
        <v>0</v>
      </c>
      <c r="S24" s="2">
        <v>0</v>
      </c>
      <c r="T24" s="2">
        <v>4</v>
      </c>
      <c r="U24" s="2">
        <v>3</v>
      </c>
      <c r="V24" s="242">
        <v>5022</v>
      </c>
      <c r="W24" s="1058" t="s">
        <v>6188</v>
      </c>
      <c r="X24" s="1058" t="s">
        <v>6120</v>
      </c>
      <c r="Y24" s="1058" t="s">
        <v>6102</v>
      </c>
      <c r="AA24" s="1061" t="s">
        <v>877</v>
      </c>
      <c r="AB24" s="168" t="s">
        <v>894</v>
      </c>
      <c r="AC24" s="2" t="s">
        <v>895</v>
      </c>
      <c r="AK24" s="8" t="s">
        <v>881</v>
      </c>
    </row>
    <row r="25" spans="1:37" x14ac:dyDescent="0.3">
      <c r="A25" s="985" t="str">
        <f t="shared" si="0"/>
        <v>Sezóna 18/19</v>
      </c>
      <c r="B25" s="2">
        <v>23</v>
      </c>
      <c r="C25" s="2">
        <v>22</v>
      </c>
      <c r="D25" s="4">
        <v>43429</v>
      </c>
      <c r="E25" s="2" t="s">
        <v>6179</v>
      </c>
      <c r="F25" s="2" t="s">
        <v>17</v>
      </c>
      <c r="G25" s="1058" t="s">
        <v>6146</v>
      </c>
      <c r="H25" s="1058" t="s">
        <v>743</v>
      </c>
      <c r="I25" s="259">
        <v>2</v>
      </c>
      <c r="J25" s="259">
        <v>3</v>
      </c>
      <c r="K25" s="2">
        <v>2</v>
      </c>
      <c r="L25" s="2">
        <v>3</v>
      </c>
      <c r="M25" s="2">
        <v>9</v>
      </c>
      <c r="N25" s="2">
        <v>-2</v>
      </c>
      <c r="O25" s="2">
        <v>31</v>
      </c>
      <c r="P25" s="168">
        <v>1</v>
      </c>
      <c r="Q25" s="2">
        <v>0</v>
      </c>
      <c r="R25" s="2">
        <v>0</v>
      </c>
      <c r="S25" s="2">
        <v>2</v>
      </c>
      <c r="T25" s="2">
        <v>5</v>
      </c>
      <c r="U25" s="2">
        <v>4</v>
      </c>
      <c r="V25" s="242">
        <v>5345</v>
      </c>
      <c r="W25" s="1058" t="s">
        <v>6187</v>
      </c>
      <c r="X25" s="1058" t="s">
        <v>6187</v>
      </c>
      <c r="Y25" s="1058" t="s">
        <v>6189</v>
      </c>
      <c r="AA25" s="1061" t="s">
        <v>878</v>
      </c>
      <c r="AB25" s="168" t="s">
        <v>896</v>
      </c>
      <c r="AC25" s="2" t="s">
        <v>897</v>
      </c>
      <c r="AK25" s="8" t="s">
        <v>882</v>
      </c>
    </row>
    <row r="26" spans="1:37" x14ac:dyDescent="0.3">
      <c r="A26" s="985" t="str">
        <f t="shared" si="0"/>
        <v>Sezóna 18/19</v>
      </c>
      <c r="B26" s="2">
        <v>24</v>
      </c>
      <c r="C26" s="2">
        <v>23</v>
      </c>
      <c r="D26" s="4">
        <v>43434</v>
      </c>
      <c r="E26" s="2" t="s">
        <v>610</v>
      </c>
      <c r="F26" s="2" t="s">
        <v>17</v>
      </c>
      <c r="G26" s="1058" t="s">
        <v>6137</v>
      </c>
      <c r="H26" s="1058" t="s">
        <v>16</v>
      </c>
      <c r="I26" s="259">
        <v>6</v>
      </c>
      <c r="J26" s="259">
        <v>2</v>
      </c>
      <c r="K26" s="2">
        <v>6</v>
      </c>
      <c r="L26" s="2">
        <v>2</v>
      </c>
      <c r="M26" s="2">
        <v>10</v>
      </c>
      <c r="N26" s="2">
        <v>-2</v>
      </c>
      <c r="O26" s="2">
        <v>34</v>
      </c>
      <c r="P26" s="168">
        <v>1</v>
      </c>
      <c r="Q26" s="2">
        <v>0</v>
      </c>
      <c r="R26" s="2">
        <v>0</v>
      </c>
      <c r="S26" s="2">
        <v>1</v>
      </c>
      <c r="T26" s="2">
        <v>6</v>
      </c>
      <c r="U26" s="2">
        <v>2</v>
      </c>
      <c r="V26" s="242">
        <v>4645</v>
      </c>
      <c r="W26" s="1058" t="s">
        <v>6089</v>
      </c>
      <c r="X26" s="1058" t="s">
        <v>6113</v>
      </c>
      <c r="Y26" s="1058" t="s">
        <v>6120</v>
      </c>
      <c r="AA26" s="1061" t="s">
        <v>879</v>
      </c>
      <c r="AB26" s="168" t="s">
        <v>898</v>
      </c>
      <c r="AC26" s="2" t="s">
        <v>899</v>
      </c>
      <c r="AD26" s="2" t="s">
        <v>900</v>
      </c>
      <c r="AE26" s="2" t="s">
        <v>901</v>
      </c>
      <c r="AF26" s="2" t="s">
        <v>902</v>
      </c>
      <c r="AG26" s="2" t="s">
        <v>903</v>
      </c>
      <c r="AK26" s="8" t="s">
        <v>880</v>
      </c>
    </row>
    <row r="27" spans="1:37" x14ac:dyDescent="0.3">
      <c r="A27" s="985" t="str">
        <f t="shared" si="0"/>
        <v>Sezóna 18/19</v>
      </c>
      <c r="B27" s="2">
        <v>25</v>
      </c>
      <c r="C27" s="2">
        <v>25</v>
      </c>
      <c r="D27" s="4">
        <v>43441</v>
      </c>
      <c r="E27" s="2" t="s">
        <v>331</v>
      </c>
      <c r="F27" s="2" t="s">
        <v>17</v>
      </c>
      <c r="G27" s="1058" t="s">
        <v>208</v>
      </c>
      <c r="H27" s="1058" t="s">
        <v>794</v>
      </c>
      <c r="I27" s="259">
        <v>1</v>
      </c>
      <c r="J27" s="259">
        <v>2</v>
      </c>
      <c r="K27" s="2">
        <v>1</v>
      </c>
      <c r="L27" s="2">
        <v>1</v>
      </c>
      <c r="M27" s="2">
        <v>11</v>
      </c>
      <c r="N27" s="2">
        <v>-4</v>
      </c>
      <c r="O27" s="2">
        <v>35</v>
      </c>
      <c r="P27" s="168">
        <v>0</v>
      </c>
      <c r="Q27" s="2">
        <v>1</v>
      </c>
      <c r="R27" s="2">
        <v>0</v>
      </c>
      <c r="S27" s="2">
        <v>0</v>
      </c>
      <c r="T27" s="2">
        <v>3</v>
      </c>
      <c r="U27" s="2">
        <v>4</v>
      </c>
      <c r="V27" s="242">
        <v>5534</v>
      </c>
      <c r="W27" s="1058" t="s">
        <v>6188</v>
      </c>
      <c r="X27" s="1058" t="s">
        <v>6188</v>
      </c>
      <c r="Y27" s="1058" t="s">
        <v>6187</v>
      </c>
      <c r="Z27" s="1058" t="s">
        <v>158</v>
      </c>
      <c r="AA27" s="1061" t="s">
        <v>1038</v>
      </c>
      <c r="AB27" s="168" t="s">
        <v>905</v>
      </c>
      <c r="AK27" s="8" t="s">
        <v>904</v>
      </c>
    </row>
    <row r="28" spans="1:37" s="191" customFormat="1" x14ac:dyDescent="0.3">
      <c r="A28" s="985" t="str">
        <f t="shared" si="0"/>
        <v>Sezóna 18/19</v>
      </c>
      <c r="B28" s="170">
        <v>26</v>
      </c>
      <c r="C28" s="170">
        <v>26</v>
      </c>
      <c r="D28" s="4">
        <v>43443</v>
      </c>
      <c r="E28" s="170" t="s">
        <v>328</v>
      </c>
      <c r="F28" s="170" t="s">
        <v>16</v>
      </c>
      <c r="G28" s="1059" t="s">
        <v>6110</v>
      </c>
      <c r="H28" s="1059" t="s">
        <v>16</v>
      </c>
      <c r="I28" s="1091">
        <v>3</v>
      </c>
      <c r="J28" s="1091">
        <v>0</v>
      </c>
      <c r="K28" s="170">
        <v>3</v>
      </c>
      <c r="L28" s="170">
        <v>0</v>
      </c>
      <c r="M28" s="269">
        <v>10</v>
      </c>
      <c r="N28" s="269">
        <v>-1</v>
      </c>
      <c r="O28" s="269">
        <v>38</v>
      </c>
      <c r="P28" s="169">
        <v>1</v>
      </c>
      <c r="Q28" s="170">
        <v>1</v>
      </c>
      <c r="R28" s="170">
        <v>0</v>
      </c>
      <c r="S28" s="170">
        <v>0</v>
      </c>
      <c r="T28" s="170">
        <v>3</v>
      </c>
      <c r="U28" s="170">
        <v>6</v>
      </c>
      <c r="V28" s="171">
        <v>4599</v>
      </c>
      <c r="W28" s="1059" t="s">
        <v>6089</v>
      </c>
      <c r="X28" s="1059" t="s">
        <v>6120</v>
      </c>
      <c r="Y28" s="1059" t="s">
        <v>6188</v>
      </c>
      <c r="Z28" s="1059"/>
      <c r="AA28" s="1064" t="s">
        <v>6110</v>
      </c>
      <c r="AB28" s="169" t="s">
        <v>906</v>
      </c>
      <c r="AC28" s="170" t="s">
        <v>907</v>
      </c>
      <c r="AD28" s="170" t="s">
        <v>908</v>
      </c>
      <c r="AE28" s="170"/>
      <c r="AF28" s="170"/>
      <c r="AG28" s="170"/>
      <c r="AH28" s="170"/>
      <c r="AI28" s="170"/>
      <c r="AJ28" s="170"/>
      <c r="AK28" s="268" t="s">
        <v>909</v>
      </c>
    </row>
    <row r="29" spans="1:37" x14ac:dyDescent="0.3">
      <c r="A29" s="985" t="str">
        <f t="shared" si="0"/>
        <v>Sezóna 18/19</v>
      </c>
      <c r="B29" s="2">
        <v>27</v>
      </c>
      <c r="C29" s="2">
        <v>27</v>
      </c>
      <c r="D29" s="4">
        <v>43453</v>
      </c>
      <c r="E29" s="2" t="s">
        <v>6086</v>
      </c>
      <c r="F29" s="2" t="s">
        <v>16</v>
      </c>
      <c r="G29" s="1058" t="s">
        <v>6104</v>
      </c>
      <c r="H29" s="1058" t="s">
        <v>743</v>
      </c>
      <c r="I29" s="259">
        <v>2</v>
      </c>
      <c r="J29" s="259">
        <v>5</v>
      </c>
      <c r="K29" s="2">
        <v>2</v>
      </c>
      <c r="L29" s="2">
        <v>4</v>
      </c>
      <c r="M29" s="2">
        <v>10</v>
      </c>
      <c r="N29" s="2">
        <v>-1</v>
      </c>
      <c r="O29" s="2">
        <v>38</v>
      </c>
      <c r="P29" s="168">
        <v>1</v>
      </c>
      <c r="Q29" s="2">
        <v>1</v>
      </c>
      <c r="R29" s="2">
        <v>0</v>
      </c>
      <c r="S29" s="2">
        <v>2</v>
      </c>
      <c r="T29" s="2">
        <v>3</v>
      </c>
      <c r="U29" s="2">
        <v>6</v>
      </c>
      <c r="V29" s="242">
        <v>2534</v>
      </c>
      <c r="W29" s="1058" t="s">
        <v>6171</v>
      </c>
      <c r="X29" s="1058" t="s">
        <v>6187</v>
      </c>
      <c r="Y29" s="1058" t="s">
        <v>6097</v>
      </c>
      <c r="AA29" s="1061" t="s">
        <v>976</v>
      </c>
      <c r="AB29" s="168" t="s">
        <v>980</v>
      </c>
      <c r="AC29" s="2" t="s">
        <v>981</v>
      </c>
      <c r="AK29" s="8" t="s">
        <v>909</v>
      </c>
    </row>
    <row r="30" spans="1:37" x14ac:dyDescent="0.3">
      <c r="A30" s="985" t="str">
        <f t="shared" si="0"/>
        <v>Sezóna 18/19</v>
      </c>
      <c r="B30" s="2">
        <v>28</v>
      </c>
      <c r="C30" s="2">
        <v>28</v>
      </c>
      <c r="D30" s="4">
        <v>43455</v>
      </c>
      <c r="E30" s="2" t="s">
        <v>326</v>
      </c>
      <c r="F30" s="2" t="s">
        <v>17</v>
      </c>
      <c r="G30" s="1058" t="s">
        <v>6212</v>
      </c>
      <c r="H30" s="1058" t="s">
        <v>16</v>
      </c>
      <c r="I30" s="259">
        <v>5</v>
      </c>
      <c r="J30" s="259">
        <v>3</v>
      </c>
      <c r="K30" s="2">
        <v>5</v>
      </c>
      <c r="L30" s="2">
        <v>3</v>
      </c>
      <c r="M30" s="2">
        <v>9</v>
      </c>
      <c r="N30" s="2">
        <v>-1</v>
      </c>
      <c r="O30" s="2">
        <v>41</v>
      </c>
      <c r="P30" s="168">
        <v>2</v>
      </c>
      <c r="Q30" s="2">
        <v>1</v>
      </c>
      <c r="R30" s="2">
        <v>0</v>
      </c>
      <c r="S30" s="2">
        <v>1</v>
      </c>
      <c r="T30" s="2">
        <v>6</v>
      </c>
      <c r="U30" s="2">
        <v>7</v>
      </c>
      <c r="V30" s="242">
        <v>5176</v>
      </c>
      <c r="W30" s="1058" t="s">
        <v>6194</v>
      </c>
      <c r="X30" s="1058" t="s">
        <v>6120</v>
      </c>
      <c r="Y30" s="1058" t="s">
        <v>6118</v>
      </c>
      <c r="AA30" s="1061" t="s">
        <v>978</v>
      </c>
      <c r="AB30" s="168" t="s">
        <v>982</v>
      </c>
      <c r="AC30" s="2" t="s">
        <v>987</v>
      </c>
      <c r="AD30" s="2" t="s">
        <v>988</v>
      </c>
      <c r="AE30" s="2" t="s">
        <v>989</v>
      </c>
      <c r="AF30" s="2" t="s">
        <v>990</v>
      </c>
      <c r="AK30" s="8" t="s">
        <v>977</v>
      </c>
    </row>
    <row r="31" spans="1:37" x14ac:dyDescent="0.3">
      <c r="A31" s="985" t="str">
        <f t="shared" si="0"/>
        <v>Sezóna 18/19</v>
      </c>
      <c r="B31" s="2">
        <v>29</v>
      </c>
      <c r="C31" s="2">
        <v>29</v>
      </c>
      <c r="D31" s="4">
        <v>43460</v>
      </c>
      <c r="E31" s="2" t="s">
        <v>327</v>
      </c>
      <c r="F31" s="2" t="s">
        <v>16</v>
      </c>
      <c r="G31" s="1058" t="s">
        <v>6113</v>
      </c>
      <c r="H31" s="1058" t="s">
        <v>16</v>
      </c>
      <c r="I31" s="259">
        <v>3</v>
      </c>
      <c r="J31" s="259">
        <v>2</v>
      </c>
      <c r="K31" s="2">
        <v>3</v>
      </c>
      <c r="L31" s="2">
        <v>2</v>
      </c>
      <c r="M31" s="2">
        <v>8</v>
      </c>
      <c r="N31" s="2">
        <v>2</v>
      </c>
      <c r="O31" s="2">
        <v>44</v>
      </c>
      <c r="P31" s="168">
        <v>1</v>
      </c>
      <c r="Q31" s="2">
        <v>0</v>
      </c>
      <c r="R31" s="2">
        <v>0</v>
      </c>
      <c r="S31" s="2">
        <v>1</v>
      </c>
      <c r="T31" s="2">
        <v>1</v>
      </c>
      <c r="U31" s="2">
        <v>3</v>
      </c>
      <c r="V31" s="242">
        <v>7898</v>
      </c>
      <c r="W31" s="1058" t="s">
        <v>6110</v>
      </c>
      <c r="X31" s="1058" t="s">
        <v>6188</v>
      </c>
      <c r="Y31" s="1058" t="s">
        <v>6171</v>
      </c>
      <c r="AA31" s="1061" t="s">
        <v>979</v>
      </c>
      <c r="AB31" s="168" t="s">
        <v>991</v>
      </c>
      <c r="AC31" s="2" t="s">
        <v>992</v>
      </c>
      <c r="AD31" s="2" t="s">
        <v>993</v>
      </c>
      <c r="AK31" s="8" t="s">
        <v>983</v>
      </c>
    </row>
    <row r="32" spans="1:37" x14ac:dyDescent="0.3">
      <c r="A32" s="985" t="str">
        <f t="shared" si="0"/>
        <v>Sezóna 18/19</v>
      </c>
      <c r="B32" s="2">
        <v>30</v>
      </c>
      <c r="C32" s="2">
        <v>30</v>
      </c>
      <c r="D32" s="4">
        <v>43462</v>
      </c>
      <c r="E32" s="2" t="s">
        <v>612</v>
      </c>
      <c r="F32" s="2" t="s">
        <v>17</v>
      </c>
      <c r="G32" s="1058" t="s">
        <v>6189</v>
      </c>
      <c r="H32" s="1058" t="s">
        <v>743</v>
      </c>
      <c r="I32" s="259">
        <v>0</v>
      </c>
      <c r="J32" s="259">
        <v>1</v>
      </c>
      <c r="K32" s="2">
        <v>0</v>
      </c>
      <c r="L32" s="2">
        <v>1</v>
      </c>
      <c r="M32" s="2">
        <v>9</v>
      </c>
      <c r="N32" s="2">
        <v>-1</v>
      </c>
      <c r="O32" s="2">
        <v>44</v>
      </c>
      <c r="P32" s="168">
        <v>0</v>
      </c>
      <c r="Q32" s="2">
        <v>0</v>
      </c>
      <c r="R32" s="2">
        <v>0</v>
      </c>
      <c r="S32" s="2">
        <v>0</v>
      </c>
      <c r="T32" s="2">
        <v>4</v>
      </c>
      <c r="U32" s="2">
        <v>3</v>
      </c>
      <c r="V32" s="242">
        <v>6011</v>
      </c>
      <c r="W32" s="1058" t="s">
        <v>6188</v>
      </c>
      <c r="X32" s="1058" t="s">
        <v>6188</v>
      </c>
      <c r="Y32" s="1058" t="s">
        <v>6189</v>
      </c>
      <c r="AA32" s="1061" t="s">
        <v>6189</v>
      </c>
      <c r="AB32" s="168" t="s">
        <v>515</v>
      </c>
      <c r="AK32" s="8" t="s">
        <v>983</v>
      </c>
    </row>
    <row r="33" spans="1:37" x14ac:dyDescent="0.3">
      <c r="A33" s="985" t="str">
        <f t="shared" si="0"/>
        <v>Sezóna 18/19</v>
      </c>
      <c r="B33" s="2">
        <v>31</v>
      </c>
      <c r="C33" s="2">
        <v>31</v>
      </c>
      <c r="D33" s="4">
        <v>43464</v>
      </c>
      <c r="E33" s="2" t="s">
        <v>6076</v>
      </c>
      <c r="F33" s="2" t="s">
        <v>16</v>
      </c>
      <c r="G33" s="1058" t="s">
        <v>6113</v>
      </c>
      <c r="H33" s="1058" t="s">
        <v>16</v>
      </c>
      <c r="I33" s="259">
        <v>3</v>
      </c>
      <c r="J33" s="259">
        <v>2</v>
      </c>
      <c r="K33" s="2">
        <v>3</v>
      </c>
      <c r="L33" s="2">
        <v>2</v>
      </c>
      <c r="M33" s="2">
        <v>7</v>
      </c>
      <c r="N33" s="2">
        <v>2</v>
      </c>
      <c r="O33" s="2">
        <v>47</v>
      </c>
      <c r="P33" s="168">
        <v>0</v>
      </c>
      <c r="Q33" s="2">
        <v>2</v>
      </c>
      <c r="R33" s="2">
        <v>0</v>
      </c>
      <c r="S33" s="2">
        <v>1</v>
      </c>
      <c r="T33" s="2">
        <v>3</v>
      </c>
      <c r="U33" s="2">
        <v>5</v>
      </c>
      <c r="V33" s="242">
        <v>5395</v>
      </c>
      <c r="W33" s="1058" t="s">
        <v>6188</v>
      </c>
      <c r="X33" s="1058" t="s">
        <v>6187</v>
      </c>
      <c r="Y33" s="1058" t="s">
        <v>6118</v>
      </c>
      <c r="AA33" s="1061" t="s">
        <v>986</v>
      </c>
      <c r="AB33" s="168" t="s">
        <v>1002</v>
      </c>
      <c r="AC33" s="2" t="s">
        <v>1003</v>
      </c>
      <c r="AD33" s="2" t="s">
        <v>1006</v>
      </c>
      <c r="AK33" s="8" t="s">
        <v>1004</v>
      </c>
    </row>
    <row r="34" spans="1:37" x14ac:dyDescent="0.3">
      <c r="A34" s="985" t="str">
        <f t="shared" si="0"/>
        <v>Sezóna 18/19</v>
      </c>
      <c r="B34" s="2">
        <v>32</v>
      </c>
      <c r="C34" s="2">
        <v>32</v>
      </c>
      <c r="D34" s="4">
        <v>43469</v>
      </c>
      <c r="E34" s="2" t="s">
        <v>626</v>
      </c>
      <c r="F34" s="2" t="s">
        <v>17</v>
      </c>
      <c r="G34" s="1058" t="s">
        <v>6128</v>
      </c>
      <c r="H34" s="1058" t="s">
        <v>743</v>
      </c>
      <c r="I34" s="259">
        <v>1</v>
      </c>
      <c r="J34" s="259">
        <v>4</v>
      </c>
      <c r="K34" s="2">
        <v>1</v>
      </c>
      <c r="L34" s="2">
        <v>3</v>
      </c>
      <c r="M34" s="2">
        <v>8</v>
      </c>
      <c r="N34" s="2">
        <v>-1</v>
      </c>
      <c r="O34" s="2">
        <v>47</v>
      </c>
      <c r="P34" s="168">
        <v>0</v>
      </c>
      <c r="Q34" s="2">
        <v>0</v>
      </c>
      <c r="R34" s="2">
        <v>1</v>
      </c>
      <c r="S34" s="2">
        <v>1</v>
      </c>
      <c r="T34" s="2">
        <v>5</v>
      </c>
      <c r="U34" s="2">
        <v>4</v>
      </c>
      <c r="V34" s="242">
        <v>5134</v>
      </c>
      <c r="W34" s="1058" t="s">
        <v>6188</v>
      </c>
      <c r="X34" s="1058" t="s">
        <v>6171</v>
      </c>
      <c r="Y34" s="1058" t="s">
        <v>6097</v>
      </c>
      <c r="AA34" s="1061" t="s">
        <v>996</v>
      </c>
      <c r="AB34" s="168" t="s">
        <v>1012</v>
      </c>
      <c r="AK34" s="8" t="s">
        <v>1005</v>
      </c>
    </row>
    <row r="35" spans="1:37" x14ac:dyDescent="0.3">
      <c r="A35" s="985" t="str">
        <f t="shared" si="0"/>
        <v>Sezóna 18/19</v>
      </c>
      <c r="B35" s="2">
        <v>33</v>
      </c>
      <c r="C35" s="2">
        <v>33</v>
      </c>
      <c r="D35" s="4">
        <v>43471</v>
      </c>
      <c r="E35" s="2" t="s">
        <v>334</v>
      </c>
      <c r="F35" s="2" t="s">
        <v>16</v>
      </c>
      <c r="G35" s="1058" t="s">
        <v>6128</v>
      </c>
      <c r="H35" s="1058" t="s">
        <v>743</v>
      </c>
      <c r="I35" s="259">
        <v>1</v>
      </c>
      <c r="J35" s="259">
        <v>4</v>
      </c>
      <c r="K35" s="2">
        <v>1</v>
      </c>
      <c r="L35" s="2">
        <v>4</v>
      </c>
      <c r="M35" s="2">
        <v>10</v>
      </c>
      <c r="N35" s="2">
        <v>-1</v>
      </c>
      <c r="O35" s="2">
        <v>47</v>
      </c>
      <c r="P35" s="168">
        <v>0</v>
      </c>
      <c r="Q35" s="2">
        <v>0</v>
      </c>
      <c r="R35" s="2">
        <v>0</v>
      </c>
      <c r="S35" s="2">
        <v>1</v>
      </c>
      <c r="T35" s="2">
        <v>4</v>
      </c>
      <c r="U35" s="2">
        <v>3</v>
      </c>
      <c r="V35" s="242">
        <v>4620</v>
      </c>
      <c r="W35" s="1058" t="s">
        <v>6171</v>
      </c>
      <c r="X35" s="1058" t="s">
        <v>6187</v>
      </c>
      <c r="Y35" s="1058" t="s">
        <v>6189</v>
      </c>
      <c r="AA35" s="1061" t="s">
        <v>995</v>
      </c>
      <c r="AB35" s="168" t="s">
        <v>1013</v>
      </c>
      <c r="AK35" s="8" t="s">
        <v>1007</v>
      </c>
    </row>
    <row r="36" spans="1:37" x14ac:dyDescent="0.3">
      <c r="A36" s="985" t="str">
        <f t="shared" si="0"/>
        <v>Sezóna 18/19</v>
      </c>
      <c r="B36" s="2">
        <v>34</v>
      </c>
      <c r="C36" s="2">
        <v>34</v>
      </c>
      <c r="D36" s="4">
        <v>43476</v>
      </c>
      <c r="E36" s="2" t="s">
        <v>1274</v>
      </c>
      <c r="F36" s="2" t="s">
        <v>17</v>
      </c>
      <c r="G36" s="1058" t="s">
        <v>6097</v>
      </c>
      <c r="H36" s="1058" t="s">
        <v>743</v>
      </c>
      <c r="I36" s="259">
        <v>1</v>
      </c>
      <c r="J36" s="259">
        <v>2</v>
      </c>
      <c r="K36" s="2">
        <v>1</v>
      </c>
      <c r="L36" s="2">
        <v>2</v>
      </c>
      <c r="M36" s="2">
        <v>10</v>
      </c>
      <c r="N36" s="2">
        <v>-4</v>
      </c>
      <c r="O36" s="2">
        <v>47</v>
      </c>
      <c r="P36" s="168">
        <v>0</v>
      </c>
      <c r="Q36" s="2">
        <v>0</v>
      </c>
      <c r="R36" s="2">
        <v>0</v>
      </c>
      <c r="S36" s="2">
        <v>0</v>
      </c>
      <c r="T36" s="2">
        <v>1</v>
      </c>
      <c r="U36" s="2">
        <v>3</v>
      </c>
      <c r="V36" s="242">
        <v>4623</v>
      </c>
      <c r="W36" s="1058" t="s">
        <v>6187</v>
      </c>
      <c r="X36" s="1058" t="s">
        <v>6188</v>
      </c>
      <c r="Y36" s="1058" t="s">
        <v>6189</v>
      </c>
      <c r="AA36" s="1061" t="s">
        <v>1009</v>
      </c>
      <c r="AB36" s="168" t="s">
        <v>1019</v>
      </c>
      <c r="AK36" s="8" t="s">
        <v>1010</v>
      </c>
    </row>
    <row r="37" spans="1:37" x14ac:dyDescent="0.3">
      <c r="A37" s="985" t="str">
        <f t="shared" si="0"/>
        <v>Sezóna 18/19</v>
      </c>
      <c r="B37" s="2">
        <v>35</v>
      </c>
      <c r="C37" s="2">
        <v>35</v>
      </c>
      <c r="D37" s="4">
        <v>43478</v>
      </c>
      <c r="E37" s="2" t="s">
        <v>6179</v>
      </c>
      <c r="F37" s="2" t="s">
        <v>16</v>
      </c>
      <c r="G37" s="1058" t="s">
        <v>6212</v>
      </c>
      <c r="H37" s="1058" t="s">
        <v>16</v>
      </c>
      <c r="I37" s="259">
        <v>5</v>
      </c>
      <c r="J37" s="259">
        <v>3</v>
      </c>
      <c r="K37" s="2">
        <v>4</v>
      </c>
      <c r="L37" s="2">
        <v>3</v>
      </c>
      <c r="M37" s="2">
        <v>10</v>
      </c>
      <c r="N37" s="2">
        <v>-1</v>
      </c>
      <c r="O37" s="2">
        <v>50</v>
      </c>
      <c r="P37" s="168">
        <v>0</v>
      </c>
      <c r="Q37" s="2">
        <v>1</v>
      </c>
      <c r="R37" s="2">
        <v>0</v>
      </c>
      <c r="S37" s="2">
        <v>0</v>
      </c>
      <c r="T37" s="2">
        <v>4</v>
      </c>
      <c r="U37" s="2">
        <v>6</v>
      </c>
      <c r="V37" s="242">
        <v>7700</v>
      </c>
      <c r="W37" s="1058" t="s">
        <v>6100</v>
      </c>
      <c r="X37" s="1058" t="s">
        <v>6189</v>
      </c>
      <c r="Y37" s="1058" t="s">
        <v>6118</v>
      </c>
      <c r="AA37" s="1061" t="s">
        <v>1008</v>
      </c>
      <c r="AB37" s="168" t="s">
        <v>1020</v>
      </c>
      <c r="AC37" s="2" t="s">
        <v>1021</v>
      </c>
      <c r="AD37" s="2" t="s">
        <v>1022</v>
      </c>
      <c r="AE37" s="2" t="s">
        <v>1023</v>
      </c>
      <c r="AF37" s="2" t="s">
        <v>1024</v>
      </c>
      <c r="AK37" s="8" t="s">
        <v>1011</v>
      </c>
    </row>
    <row r="38" spans="1:37" x14ac:dyDescent="0.3">
      <c r="A38" s="985" t="str">
        <f t="shared" si="0"/>
        <v>Sezóna 18/19</v>
      </c>
      <c r="B38" s="2">
        <v>36</v>
      </c>
      <c r="C38" s="2">
        <v>36</v>
      </c>
      <c r="D38" s="4">
        <v>43483</v>
      </c>
      <c r="E38" s="2" t="s">
        <v>610</v>
      </c>
      <c r="F38" s="2" t="s">
        <v>16</v>
      </c>
      <c r="G38" s="1058" t="s">
        <v>6113</v>
      </c>
      <c r="H38" s="1058" t="s">
        <v>16</v>
      </c>
      <c r="I38" s="259">
        <v>3</v>
      </c>
      <c r="J38" s="259">
        <v>2</v>
      </c>
      <c r="K38" s="2">
        <v>3</v>
      </c>
      <c r="L38" s="2">
        <v>2</v>
      </c>
      <c r="M38" s="2">
        <v>10</v>
      </c>
      <c r="N38" s="2">
        <v>2</v>
      </c>
      <c r="O38" s="2">
        <v>53</v>
      </c>
      <c r="P38" s="168">
        <v>1</v>
      </c>
      <c r="Q38" s="2">
        <v>0</v>
      </c>
      <c r="R38" s="2">
        <v>0</v>
      </c>
      <c r="S38" s="2">
        <v>1</v>
      </c>
      <c r="T38" s="2">
        <v>5</v>
      </c>
      <c r="U38" s="2">
        <v>5</v>
      </c>
      <c r="V38" s="242">
        <v>6174</v>
      </c>
      <c r="W38" s="1058" t="s">
        <v>6097</v>
      </c>
      <c r="X38" s="1058" t="s">
        <v>6120</v>
      </c>
      <c r="Y38" s="1058" t="s">
        <v>6120</v>
      </c>
      <c r="AA38" s="1061" t="s">
        <v>1018</v>
      </c>
      <c r="AB38" s="168" t="s">
        <v>1027</v>
      </c>
      <c r="AC38" s="2" t="s">
        <v>1028</v>
      </c>
      <c r="AD38" s="2" t="s">
        <v>1029</v>
      </c>
      <c r="AK38" s="8" t="s">
        <v>1017</v>
      </c>
    </row>
    <row r="39" spans="1:37" x14ac:dyDescent="0.3">
      <c r="A39" s="985" t="str">
        <f t="shared" si="0"/>
        <v>Sezóna 18/19</v>
      </c>
      <c r="B39" s="2">
        <v>37</v>
      </c>
      <c r="C39" s="2">
        <v>37</v>
      </c>
      <c r="D39" s="4">
        <v>43485</v>
      </c>
      <c r="E39" s="2" t="s">
        <v>325</v>
      </c>
      <c r="F39" s="2" t="s">
        <v>17</v>
      </c>
      <c r="G39" s="1058" t="s">
        <v>6128</v>
      </c>
      <c r="H39" s="1058" t="s">
        <v>743</v>
      </c>
      <c r="I39" s="259">
        <v>1</v>
      </c>
      <c r="J39" s="259">
        <v>4</v>
      </c>
      <c r="K39" s="2">
        <v>1</v>
      </c>
      <c r="L39" s="2">
        <v>3</v>
      </c>
      <c r="M39" s="2">
        <v>11</v>
      </c>
      <c r="N39" s="2">
        <v>-1</v>
      </c>
      <c r="O39" s="2">
        <v>53</v>
      </c>
      <c r="P39" s="168">
        <v>1</v>
      </c>
      <c r="Q39" s="2">
        <v>0</v>
      </c>
      <c r="R39" s="2">
        <v>0</v>
      </c>
      <c r="S39" s="2">
        <v>0</v>
      </c>
      <c r="T39" s="2">
        <v>4</v>
      </c>
      <c r="U39" s="2">
        <v>2</v>
      </c>
      <c r="V39" s="242">
        <v>6011</v>
      </c>
      <c r="W39" s="1058" t="s">
        <v>6171</v>
      </c>
      <c r="X39" s="1058" t="s">
        <v>6120</v>
      </c>
      <c r="Y39" s="1058" t="s">
        <v>6171</v>
      </c>
      <c r="AA39" s="1061" t="s">
        <v>995</v>
      </c>
      <c r="AB39" s="168" t="s">
        <v>1030</v>
      </c>
      <c r="AK39" s="8" t="s">
        <v>1016</v>
      </c>
    </row>
    <row r="40" spans="1:37" x14ac:dyDescent="0.3">
      <c r="A40" s="985" t="str">
        <f t="shared" si="0"/>
        <v>Sezóna 18/19</v>
      </c>
      <c r="B40" s="2">
        <v>38</v>
      </c>
      <c r="C40" s="2">
        <v>38</v>
      </c>
      <c r="D40" s="4">
        <v>43490</v>
      </c>
      <c r="E40" s="2" t="s">
        <v>331</v>
      </c>
      <c r="F40" s="2" t="s">
        <v>16</v>
      </c>
      <c r="G40" s="1058" t="s">
        <v>6213</v>
      </c>
      <c r="H40" s="1058" t="s">
        <v>743</v>
      </c>
      <c r="I40" s="259">
        <v>1</v>
      </c>
      <c r="J40" s="259">
        <v>7</v>
      </c>
      <c r="K40" s="2">
        <v>1</v>
      </c>
      <c r="L40" s="2">
        <v>7</v>
      </c>
      <c r="M40" s="2">
        <v>11</v>
      </c>
      <c r="N40" s="2">
        <v>-1</v>
      </c>
      <c r="O40" s="2">
        <v>53</v>
      </c>
      <c r="P40" s="168">
        <v>0</v>
      </c>
      <c r="Q40" s="2">
        <v>0</v>
      </c>
      <c r="R40" s="2">
        <v>1</v>
      </c>
      <c r="S40" s="2">
        <v>3</v>
      </c>
      <c r="T40" s="2">
        <v>3</v>
      </c>
      <c r="U40" s="2">
        <v>7</v>
      </c>
      <c r="V40" s="242">
        <v>5432</v>
      </c>
      <c r="W40" s="1058" t="s">
        <v>6189</v>
      </c>
      <c r="X40" s="1058" t="s">
        <v>6102</v>
      </c>
      <c r="Y40" s="1058" t="s">
        <v>6079</v>
      </c>
      <c r="AA40" s="1061" t="s">
        <v>1025</v>
      </c>
      <c r="AB40" s="168" t="s">
        <v>1036</v>
      </c>
      <c r="AK40" s="8" t="s">
        <v>1031</v>
      </c>
    </row>
    <row r="41" spans="1:37" s="191" customFormat="1" x14ac:dyDescent="0.3">
      <c r="A41" s="985" t="str">
        <f t="shared" si="0"/>
        <v>Sezóna 18/19</v>
      </c>
      <c r="B41" s="170">
        <v>39</v>
      </c>
      <c r="C41" s="170">
        <v>39</v>
      </c>
      <c r="D41" s="4">
        <v>43492</v>
      </c>
      <c r="E41" s="170" t="s">
        <v>328</v>
      </c>
      <c r="F41" s="170" t="s">
        <v>17</v>
      </c>
      <c r="G41" s="1059" t="s">
        <v>6190</v>
      </c>
      <c r="H41" s="1059" t="s">
        <v>16</v>
      </c>
      <c r="I41" s="1091">
        <v>5</v>
      </c>
      <c r="J41" s="1091">
        <v>1</v>
      </c>
      <c r="K41" s="170">
        <v>5</v>
      </c>
      <c r="L41" s="170">
        <v>1</v>
      </c>
      <c r="M41" s="269">
        <v>10</v>
      </c>
      <c r="N41" s="269">
        <v>-1</v>
      </c>
      <c r="O41" s="269">
        <v>56</v>
      </c>
      <c r="P41" s="169">
        <v>0</v>
      </c>
      <c r="Q41" s="170">
        <v>0</v>
      </c>
      <c r="R41" s="170">
        <v>0</v>
      </c>
      <c r="S41" s="170">
        <v>0</v>
      </c>
      <c r="T41" s="170">
        <v>4</v>
      </c>
      <c r="U41" s="170">
        <v>1</v>
      </c>
      <c r="V41" s="171">
        <v>4532</v>
      </c>
      <c r="W41" s="1059" t="s">
        <v>6118</v>
      </c>
      <c r="X41" s="1059" t="s">
        <v>6188</v>
      </c>
      <c r="Y41" s="1059" t="s">
        <v>6110</v>
      </c>
      <c r="Z41" s="1059"/>
      <c r="AA41" s="1064" t="s">
        <v>1026</v>
      </c>
      <c r="AB41" s="169" t="s">
        <v>1042</v>
      </c>
      <c r="AC41" s="170" t="s">
        <v>1043</v>
      </c>
      <c r="AD41" s="170" t="s">
        <v>1044</v>
      </c>
      <c r="AE41" s="170" t="s">
        <v>1045</v>
      </c>
      <c r="AF41" s="170" t="s">
        <v>1046</v>
      </c>
      <c r="AG41" s="170"/>
      <c r="AH41" s="170"/>
      <c r="AI41" s="170"/>
      <c r="AJ41" s="170"/>
      <c r="AK41" s="268" t="s">
        <v>1032</v>
      </c>
    </row>
    <row r="42" spans="1:37" x14ac:dyDescent="0.3">
      <c r="A42" s="985" t="str">
        <f t="shared" si="0"/>
        <v>Sezóna 18/19</v>
      </c>
      <c r="B42" s="2">
        <v>40</v>
      </c>
      <c r="C42" s="2">
        <v>40</v>
      </c>
      <c r="D42" s="4">
        <v>43494</v>
      </c>
      <c r="E42" s="2" t="s">
        <v>6086</v>
      </c>
      <c r="F42" s="2" t="s">
        <v>17</v>
      </c>
      <c r="G42" s="1058" t="s">
        <v>6077</v>
      </c>
      <c r="H42" s="1058" t="s">
        <v>743</v>
      </c>
      <c r="I42" s="259">
        <v>0</v>
      </c>
      <c r="J42" s="259">
        <v>4</v>
      </c>
      <c r="K42" s="2">
        <v>0</v>
      </c>
      <c r="L42" s="2">
        <v>4</v>
      </c>
      <c r="M42" s="2">
        <v>10</v>
      </c>
      <c r="N42" s="2">
        <v>-4</v>
      </c>
      <c r="O42" s="2">
        <v>56</v>
      </c>
      <c r="P42" s="168">
        <v>0</v>
      </c>
      <c r="Q42" s="2">
        <v>0</v>
      </c>
      <c r="R42" s="2">
        <v>0</v>
      </c>
      <c r="S42" s="2">
        <v>1</v>
      </c>
      <c r="T42" s="2">
        <v>5</v>
      </c>
      <c r="U42" s="2">
        <v>1</v>
      </c>
      <c r="V42" s="242">
        <v>3936</v>
      </c>
      <c r="W42" s="1058" t="s">
        <v>6188</v>
      </c>
      <c r="X42" s="1058" t="s">
        <v>6189</v>
      </c>
      <c r="Y42" s="1058" t="s">
        <v>6079</v>
      </c>
      <c r="AA42" s="1061" t="s">
        <v>6077</v>
      </c>
      <c r="AB42" s="168" t="s">
        <v>515</v>
      </c>
      <c r="AK42" s="8" t="s">
        <v>1035</v>
      </c>
    </row>
    <row r="43" spans="1:37" x14ac:dyDescent="0.3">
      <c r="A43" s="985" t="str">
        <f t="shared" si="0"/>
        <v>Sezóna 18/19</v>
      </c>
      <c r="B43" s="2">
        <v>41</v>
      </c>
      <c r="C43" s="2">
        <v>41</v>
      </c>
      <c r="D43" s="4">
        <v>43497</v>
      </c>
      <c r="E43" s="2" t="s">
        <v>326</v>
      </c>
      <c r="F43" s="2" t="s">
        <v>16</v>
      </c>
      <c r="G43" s="1058" t="s">
        <v>355</v>
      </c>
      <c r="H43" s="1058" t="s">
        <v>793</v>
      </c>
      <c r="I43" s="259">
        <v>2</v>
      </c>
      <c r="J43" s="259">
        <v>1</v>
      </c>
      <c r="K43" s="2">
        <v>1</v>
      </c>
      <c r="L43" s="2">
        <v>1</v>
      </c>
      <c r="M43" s="2">
        <v>10</v>
      </c>
      <c r="N43" s="2">
        <v>-2</v>
      </c>
      <c r="O43" s="2">
        <v>58</v>
      </c>
      <c r="P43" s="168">
        <v>0</v>
      </c>
      <c r="Q43" s="2">
        <v>1</v>
      </c>
      <c r="R43" s="2">
        <v>0</v>
      </c>
      <c r="S43" s="2">
        <v>0</v>
      </c>
      <c r="T43" s="2">
        <v>2</v>
      </c>
      <c r="U43" s="2">
        <v>2</v>
      </c>
      <c r="V43" s="242">
        <v>4002</v>
      </c>
      <c r="W43" s="1058" t="s">
        <v>6188</v>
      </c>
      <c r="X43" s="1058" t="s">
        <v>6187</v>
      </c>
      <c r="Y43" s="1058" t="s">
        <v>6188</v>
      </c>
      <c r="Z43" s="1058" t="s">
        <v>619</v>
      </c>
      <c r="AA43" s="1061" t="s">
        <v>1037</v>
      </c>
      <c r="AB43" s="168" t="s">
        <v>1050</v>
      </c>
      <c r="AC43" s="2" t="s">
        <v>1039</v>
      </c>
      <c r="AK43" s="8" t="s">
        <v>1040</v>
      </c>
    </row>
    <row r="44" spans="1:37" x14ac:dyDescent="0.3">
      <c r="A44" s="985" t="str">
        <f t="shared" si="0"/>
        <v>Sezóna 18/19</v>
      </c>
      <c r="B44" s="2">
        <v>42</v>
      </c>
      <c r="C44" s="2">
        <v>42</v>
      </c>
      <c r="D44" s="4">
        <v>43499</v>
      </c>
      <c r="E44" s="2" t="s">
        <v>327</v>
      </c>
      <c r="F44" s="2" t="s">
        <v>17</v>
      </c>
      <c r="G44" s="1058" t="s">
        <v>6118</v>
      </c>
      <c r="H44" s="1058" t="s">
        <v>16</v>
      </c>
      <c r="I44" s="259">
        <v>2</v>
      </c>
      <c r="J44" s="259">
        <v>1</v>
      </c>
      <c r="K44" s="2">
        <v>2</v>
      </c>
      <c r="L44" s="2">
        <v>1</v>
      </c>
      <c r="M44" s="2">
        <v>10</v>
      </c>
      <c r="N44" s="2">
        <v>-2</v>
      </c>
      <c r="O44" s="2">
        <v>61</v>
      </c>
      <c r="P44" s="168">
        <v>1</v>
      </c>
      <c r="Q44" s="2">
        <v>0</v>
      </c>
      <c r="R44" s="2">
        <v>0</v>
      </c>
      <c r="S44" s="2">
        <v>0</v>
      </c>
      <c r="T44" s="2">
        <v>5</v>
      </c>
      <c r="U44" s="2">
        <v>3</v>
      </c>
      <c r="V44" s="242">
        <v>4327</v>
      </c>
      <c r="W44" s="1058" t="s">
        <v>6188</v>
      </c>
      <c r="X44" s="1058" t="s">
        <v>6187</v>
      </c>
      <c r="Y44" s="1058" t="s">
        <v>6120</v>
      </c>
      <c r="AA44" s="1061" t="s">
        <v>758</v>
      </c>
      <c r="AB44" s="168" t="s">
        <v>1048</v>
      </c>
      <c r="AC44" s="2" t="s">
        <v>1049</v>
      </c>
      <c r="AK44" s="8" t="s">
        <v>1041</v>
      </c>
    </row>
    <row r="45" spans="1:37" x14ac:dyDescent="0.3">
      <c r="A45" s="985" t="str">
        <f t="shared" si="0"/>
        <v>Sezóna 18/19</v>
      </c>
      <c r="B45" s="2">
        <v>43</v>
      </c>
      <c r="C45" s="2">
        <v>43</v>
      </c>
      <c r="D45" s="4">
        <v>43509</v>
      </c>
      <c r="E45" s="2" t="s">
        <v>612</v>
      </c>
      <c r="F45" s="2" t="s">
        <v>16</v>
      </c>
      <c r="G45" s="1058" t="s">
        <v>6128</v>
      </c>
      <c r="H45" s="1058" t="s">
        <v>743</v>
      </c>
      <c r="I45" s="259">
        <v>1</v>
      </c>
      <c r="J45" s="259">
        <v>4</v>
      </c>
      <c r="K45" s="2">
        <v>1</v>
      </c>
      <c r="L45" s="2">
        <v>4</v>
      </c>
      <c r="M45" s="2">
        <v>10</v>
      </c>
      <c r="N45" s="2">
        <v>-2</v>
      </c>
      <c r="O45" s="2">
        <v>61</v>
      </c>
      <c r="P45" s="168">
        <v>0</v>
      </c>
      <c r="Q45" s="2">
        <v>0</v>
      </c>
      <c r="R45" s="2">
        <v>0</v>
      </c>
      <c r="S45" s="2">
        <v>2</v>
      </c>
      <c r="T45" s="2">
        <v>7</v>
      </c>
      <c r="U45" s="2">
        <v>5</v>
      </c>
      <c r="V45" s="242">
        <v>5125</v>
      </c>
      <c r="W45" s="1058" t="s">
        <v>6189</v>
      </c>
      <c r="X45" s="1058" t="s">
        <v>6171</v>
      </c>
      <c r="Y45" s="1058" t="s">
        <v>6187</v>
      </c>
      <c r="AA45" s="1061" t="s">
        <v>996</v>
      </c>
      <c r="AB45" s="168" t="s">
        <v>1101</v>
      </c>
      <c r="AK45" s="8" t="s">
        <v>1083</v>
      </c>
    </row>
    <row r="46" spans="1:37" x14ac:dyDescent="0.3">
      <c r="A46" s="985" t="str">
        <f t="shared" si="0"/>
        <v>Sezóna 18/19</v>
      </c>
      <c r="B46" s="2">
        <v>44</v>
      </c>
      <c r="C46" s="2">
        <v>44</v>
      </c>
      <c r="D46" s="4">
        <v>43511</v>
      </c>
      <c r="E46" s="2" t="s">
        <v>6076</v>
      </c>
      <c r="F46" s="2" t="s">
        <v>17</v>
      </c>
      <c r="G46" s="1058" t="s">
        <v>601</v>
      </c>
      <c r="H46" s="1058" t="s">
        <v>793</v>
      </c>
      <c r="I46" s="259">
        <v>5</v>
      </c>
      <c r="J46" s="259">
        <v>4</v>
      </c>
      <c r="K46" s="2">
        <v>4</v>
      </c>
      <c r="L46" s="2">
        <v>4</v>
      </c>
      <c r="M46" s="2">
        <v>10</v>
      </c>
      <c r="N46" s="2">
        <v>-3</v>
      </c>
      <c r="O46" s="2">
        <v>63</v>
      </c>
      <c r="P46" s="168">
        <v>1</v>
      </c>
      <c r="Q46" s="2">
        <v>1</v>
      </c>
      <c r="R46" s="2">
        <v>0</v>
      </c>
      <c r="S46" s="2">
        <v>0</v>
      </c>
      <c r="T46" s="2">
        <v>4</v>
      </c>
      <c r="U46" s="2">
        <v>7</v>
      </c>
      <c r="V46" s="242">
        <v>4456</v>
      </c>
      <c r="W46" s="1058" t="s">
        <v>6120</v>
      </c>
      <c r="X46" s="1058" t="s">
        <v>6146</v>
      </c>
      <c r="Y46" s="1058" t="s">
        <v>6187</v>
      </c>
      <c r="Z46" s="1058" t="s">
        <v>756</v>
      </c>
      <c r="AA46" s="1061" t="s">
        <v>1085</v>
      </c>
      <c r="AB46" s="168" t="s">
        <v>1102</v>
      </c>
      <c r="AC46" s="2" t="s">
        <v>1103</v>
      </c>
      <c r="AD46" s="2" t="s">
        <v>1104</v>
      </c>
      <c r="AE46" s="2" t="s">
        <v>1105</v>
      </c>
      <c r="AF46" s="2" t="s">
        <v>1106</v>
      </c>
      <c r="AK46" s="8" t="s">
        <v>1086</v>
      </c>
    </row>
    <row r="47" spans="1:37" x14ac:dyDescent="0.3">
      <c r="A47" s="985" t="str">
        <f t="shared" si="0"/>
        <v>Sezóna 18/19</v>
      </c>
      <c r="B47" s="2">
        <v>45</v>
      </c>
      <c r="C47" s="2">
        <v>45</v>
      </c>
      <c r="D47" s="4">
        <v>43513</v>
      </c>
      <c r="E47" s="2" t="s">
        <v>626</v>
      </c>
      <c r="F47" s="2" t="s">
        <v>16</v>
      </c>
      <c r="G47" s="1058" t="s">
        <v>601</v>
      </c>
      <c r="H47" s="1058" t="s">
        <v>793</v>
      </c>
      <c r="I47" s="259">
        <v>5</v>
      </c>
      <c r="J47" s="259">
        <v>4</v>
      </c>
      <c r="K47" s="2">
        <v>4</v>
      </c>
      <c r="L47" s="2">
        <v>4</v>
      </c>
      <c r="M47" s="2">
        <v>10</v>
      </c>
      <c r="N47" s="2">
        <v>-1</v>
      </c>
      <c r="O47" s="2">
        <v>65</v>
      </c>
      <c r="P47" s="168">
        <v>2</v>
      </c>
      <c r="Q47" s="2">
        <v>0</v>
      </c>
      <c r="R47" s="2">
        <v>0</v>
      </c>
      <c r="S47" s="2">
        <v>2</v>
      </c>
      <c r="T47" s="2">
        <v>3</v>
      </c>
      <c r="U47" s="2">
        <v>4</v>
      </c>
      <c r="V47" s="242">
        <v>4177</v>
      </c>
      <c r="W47" s="1058" t="s">
        <v>6189</v>
      </c>
      <c r="X47" s="1058" t="s">
        <v>6113</v>
      </c>
      <c r="Y47" s="1058" t="s">
        <v>6187</v>
      </c>
      <c r="Z47" s="1058" t="s">
        <v>756</v>
      </c>
      <c r="AA47" s="1061" t="s">
        <v>1084</v>
      </c>
      <c r="AB47" s="168" t="s">
        <v>1107</v>
      </c>
      <c r="AC47" s="2" t="s">
        <v>1108</v>
      </c>
      <c r="AD47" s="2" t="s">
        <v>1109</v>
      </c>
      <c r="AE47" s="2" t="s">
        <v>1110</v>
      </c>
      <c r="AF47" s="2" t="s">
        <v>1111</v>
      </c>
      <c r="AK47" s="8" t="s">
        <v>1087</v>
      </c>
    </row>
    <row r="48" spans="1:37" x14ac:dyDescent="0.3">
      <c r="A48" s="985" t="str">
        <f t="shared" si="0"/>
        <v>Sezóna 18/19</v>
      </c>
      <c r="B48" s="2">
        <v>46</v>
      </c>
      <c r="C48" s="2">
        <v>46</v>
      </c>
      <c r="D48" s="4">
        <v>43515</v>
      </c>
      <c r="E48" s="2" t="s">
        <v>334</v>
      </c>
      <c r="F48" s="2" t="s">
        <v>17</v>
      </c>
      <c r="G48" s="1058" t="s">
        <v>6206</v>
      </c>
      <c r="H48" s="1058" t="s">
        <v>743</v>
      </c>
      <c r="I48" s="259">
        <v>0</v>
      </c>
      <c r="J48" s="259">
        <v>5</v>
      </c>
      <c r="K48" s="2">
        <v>0</v>
      </c>
      <c r="L48" s="2">
        <v>5</v>
      </c>
      <c r="M48" s="2">
        <v>11</v>
      </c>
      <c r="N48" s="2">
        <v>-4</v>
      </c>
      <c r="O48" s="2">
        <v>65</v>
      </c>
      <c r="P48" s="168">
        <v>0</v>
      </c>
      <c r="Q48" s="2">
        <v>0</v>
      </c>
      <c r="R48" s="2">
        <v>0</v>
      </c>
      <c r="S48" s="2">
        <v>0</v>
      </c>
      <c r="T48" s="2">
        <v>4</v>
      </c>
      <c r="U48" s="2">
        <v>3</v>
      </c>
      <c r="V48" s="242">
        <v>3167</v>
      </c>
      <c r="W48" s="1058" t="s">
        <v>6079</v>
      </c>
      <c r="X48" s="1058" t="s">
        <v>6189</v>
      </c>
      <c r="Y48" s="1058" t="s">
        <v>6189</v>
      </c>
      <c r="AA48" s="1061" t="s">
        <v>6206</v>
      </c>
      <c r="AB48" s="168" t="s">
        <v>515</v>
      </c>
      <c r="AK48" s="8" t="s">
        <v>1089</v>
      </c>
    </row>
    <row r="49" spans="1:37" x14ac:dyDescent="0.3">
      <c r="A49" s="985" t="str">
        <f t="shared" si="0"/>
        <v>Sezóna 18/19</v>
      </c>
      <c r="B49" s="2">
        <v>47</v>
      </c>
      <c r="C49" s="2">
        <v>47</v>
      </c>
      <c r="D49" s="4">
        <v>43518</v>
      </c>
      <c r="E49" s="2" t="s">
        <v>1274</v>
      </c>
      <c r="F49" s="2" t="s">
        <v>16</v>
      </c>
      <c r="G49" s="1058" t="s">
        <v>6128</v>
      </c>
      <c r="H49" s="1058" t="s">
        <v>743</v>
      </c>
      <c r="I49" s="259">
        <v>1</v>
      </c>
      <c r="J49" s="259">
        <v>4</v>
      </c>
      <c r="K49" s="2">
        <v>1</v>
      </c>
      <c r="L49" s="2">
        <v>4</v>
      </c>
      <c r="M49" s="2">
        <v>11</v>
      </c>
      <c r="N49" s="2">
        <v>-4</v>
      </c>
      <c r="O49" s="2">
        <v>65</v>
      </c>
      <c r="P49" s="168">
        <v>1</v>
      </c>
      <c r="Q49" s="2">
        <v>0</v>
      </c>
      <c r="R49" s="2">
        <v>0</v>
      </c>
      <c r="S49" s="2">
        <v>1</v>
      </c>
      <c r="T49" s="2">
        <v>6</v>
      </c>
      <c r="U49" s="2">
        <v>5</v>
      </c>
      <c r="V49" s="242">
        <v>5237</v>
      </c>
      <c r="W49" s="1058" t="s">
        <v>6079</v>
      </c>
      <c r="X49" s="1058" t="s">
        <v>6187</v>
      </c>
      <c r="Y49" s="1058" t="s">
        <v>6188</v>
      </c>
      <c r="AA49" s="1061" t="s">
        <v>1096</v>
      </c>
      <c r="AB49" s="168" t="s">
        <v>1112</v>
      </c>
      <c r="AK49" s="8" t="s">
        <v>1098</v>
      </c>
    </row>
    <row r="50" spans="1:37" x14ac:dyDescent="0.3">
      <c r="A50" s="985" t="str">
        <f t="shared" si="0"/>
        <v>Sezóna 18/19</v>
      </c>
      <c r="B50" s="2">
        <v>48</v>
      </c>
      <c r="C50" s="2">
        <v>48</v>
      </c>
      <c r="D50" s="4">
        <v>43520</v>
      </c>
      <c r="E50" s="2" t="s">
        <v>6179</v>
      </c>
      <c r="F50" s="2" t="s">
        <v>17</v>
      </c>
      <c r="G50" s="1058" t="s">
        <v>6211</v>
      </c>
      <c r="H50" s="1058" t="s">
        <v>743</v>
      </c>
      <c r="I50" s="259">
        <v>3</v>
      </c>
      <c r="J50" s="259">
        <v>4</v>
      </c>
      <c r="K50" s="2">
        <v>3</v>
      </c>
      <c r="L50" s="2">
        <v>4</v>
      </c>
      <c r="M50" s="2">
        <v>11</v>
      </c>
      <c r="N50" s="2">
        <v>-7</v>
      </c>
      <c r="O50" s="2">
        <v>65</v>
      </c>
      <c r="P50" s="168">
        <v>0</v>
      </c>
      <c r="Q50" s="2">
        <v>0</v>
      </c>
      <c r="R50" s="2">
        <v>0</v>
      </c>
      <c r="S50" s="2">
        <v>0</v>
      </c>
      <c r="T50" s="2">
        <v>2</v>
      </c>
      <c r="U50" s="2">
        <v>1</v>
      </c>
      <c r="V50" s="242">
        <v>3021</v>
      </c>
      <c r="W50" s="1058" t="s">
        <v>6189</v>
      </c>
      <c r="X50" s="1058" t="s">
        <v>6187</v>
      </c>
      <c r="Y50" s="1058" t="s">
        <v>6194</v>
      </c>
      <c r="AA50" s="1061" t="s">
        <v>1097</v>
      </c>
      <c r="AB50" s="168" t="s">
        <v>1113</v>
      </c>
      <c r="AC50" s="2" t="s">
        <v>1114</v>
      </c>
      <c r="AD50" s="2" t="s">
        <v>1115</v>
      </c>
      <c r="AK50" s="8" t="s">
        <v>1116</v>
      </c>
    </row>
    <row r="51" spans="1:37" x14ac:dyDescent="0.3">
      <c r="A51" s="985" t="str">
        <f t="shared" si="0"/>
        <v>Sezóna 18/19</v>
      </c>
      <c r="B51" s="2">
        <v>49</v>
      </c>
      <c r="C51" s="2">
        <v>49</v>
      </c>
      <c r="D51" s="4">
        <v>43525</v>
      </c>
      <c r="E51" s="2" t="s">
        <v>610</v>
      </c>
      <c r="F51" s="2" t="s">
        <v>17</v>
      </c>
      <c r="G51" s="1058" t="s">
        <v>6209</v>
      </c>
      <c r="H51" s="1058" t="s">
        <v>16</v>
      </c>
      <c r="I51" s="259">
        <v>6</v>
      </c>
      <c r="J51" s="259">
        <v>3</v>
      </c>
      <c r="K51" s="2">
        <v>6</v>
      </c>
      <c r="L51" s="2">
        <v>3</v>
      </c>
      <c r="M51" s="2">
        <v>11</v>
      </c>
      <c r="N51" s="2">
        <v>-7</v>
      </c>
      <c r="O51" s="2">
        <v>68</v>
      </c>
      <c r="P51" s="168">
        <v>2</v>
      </c>
      <c r="Q51" s="2">
        <v>0</v>
      </c>
      <c r="R51" s="2">
        <v>0</v>
      </c>
      <c r="S51" s="2">
        <v>0</v>
      </c>
      <c r="T51" s="2">
        <v>5</v>
      </c>
      <c r="U51" s="2">
        <v>3</v>
      </c>
      <c r="V51" s="242">
        <v>4587</v>
      </c>
      <c r="W51" s="1058" t="s">
        <v>6097</v>
      </c>
      <c r="X51" s="1058" t="s">
        <v>6100</v>
      </c>
      <c r="Y51" s="1058" t="s">
        <v>6089</v>
      </c>
      <c r="AA51" s="1061" t="s">
        <v>1099</v>
      </c>
      <c r="AB51" s="168" t="s">
        <v>1130</v>
      </c>
      <c r="AC51" s="2" t="s">
        <v>1131</v>
      </c>
      <c r="AD51" s="2" t="s">
        <v>1132</v>
      </c>
      <c r="AE51" s="2" t="s">
        <v>1133</v>
      </c>
      <c r="AF51" s="2" t="s">
        <v>1134</v>
      </c>
      <c r="AG51" s="2" t="s">
        <v>1135</v>
      </c>
      <c r="AK51" s="8" t="s">
        <v>1141</v>
      </c>
    </row>
    <row r="52" spans="1:37" x14ac:dyDescent="0.3">
      <c r="A52" s="985" t="str">
        <f t="shared" si="0"/>
        <v>Sezóna 18/19</v>
      </c>
      <c r="B52" s="2">
        <v>50</v>
      </c>
      <c r="C52" s="2">
        <v>50</v>
      </c>
      <c r="D52" s="4">
        <v>43527</v>
      </c>
      <c r="E52" s="2" t="s">
        <v>325</v>
      </c>
      <c r="F52" s="2" t="s">
        <v>16</v>
      </c>
      <c r="G52" s="1058" t="s">
        <v>6204</v>
      </c>
      <c r="H52" s="1058" t="s">
        <v>743</v>
      </c>
      <c r="I52" s="259">
        <v>3</v>
      </c>
      <c r="J52" s="259">
        <v>5</v>
      </c>
      <c r="K52" s="2">
        <v>3</v>
      </c>
      <c r="L52" s="2">
        <v>5</v>
      </c>
      <c r="M52" s="2">
        <v>11</v>
      </c>
      <c r="N52" s="2">
        <v>-7</v>
      </c>
      <c r="O52" s="2">
        <v>68</v>
      </c>
      <c r="P52" s="168">
        <v>0</v>
      </c>
      <c r="Q52" s="2">
        <v>0</v>
      </c>
      <c r="R52" s="2">
        <v>1</v>
      </c>
      <c r="S52" s="2">
        <v>0</v>
      </c>
      <c r="T52" s="2">
        <v>5</v>
      </c>
      <c r="U52" s="2">
        <v>5</v>
      </c>
      <c r="V52" s="242">
        <v>11143</v>
      </c>
      <c r="W52" s="1058" t="s">
        <v>6171</v>
      </c>
      <c r="X52" s="1058" t="s">
        <v>6194</v>
      </c>
      <c r="Y52" s="1058" t="s">
        <v>6187</v>
      </c>
      <c r="AA52" s="1061" t="s">
        <v>1100</v>
      </c>
      <c r="AB52" s="168" t="s">
        <v>1136</v>
      </c>
      <c r="AC52" s="2" t="s">
        <v>1137</v>
      </c>
      <c r="AD52" s="2" t="s">
        <v>1138</v>
      </c>
      <c r="AK52" s="8" t="s">
        <v>1118</v>
      </c>
    </row>
    <row r="53" spans="1:37" x14ac:dyDescent="0.3">
      <c r="A53" s="985" t="str">
        <f t="shared" si="0"/>
        <v>Sezóna 18/19</v>
      </c>
      <c r="B53" s="2">
        <v>51</v>
      </c>
      <c r="C53" s="2">
        <v>51</v>
      </c>
      <c r="D53" s="4">
        <v>43529</v>
      </c>
      <c r="E53" s="2" t="s">
        <v>331</v>
      </c>
      <c r="F53" s="2" t="s">
        <v>17</v>
      </c>
      <c r="G53" s="1058" t="s">
        <v>6190</v>
      </c>
      <c r="H53" s="1058" t="s">
        <v>16</v>
      </c>
      <c r="I53" s="259">
        <v>5</v>
      </c>
      <c r="J53" s="259">
        <v>1</v>
      </c>
      <c r="K53" s="2">
        <v>5</v>
      </c>
      <c r="L53" s="2">
        <v>1</v>
      </c>
      <c r="M53" s="2">
        <v>11</v>
      </c>
      <c r="N53" s="2">
        <v>-7</v>
      </c>
      <c r="O53" s="2">
        <v>71</v>
      </c>
      <c r="P53" s="168">
        <v>0</v>
      </c>
      <c r="Q53" s="2">
        <v>0</v>
      </c>
      <c r="R53" s="2">
        <v>0</v>
      </c>
      <c r="S53" s="2">
        <v>0</v>
      </c>
      <c r="T53" s="2">
        <v>4</v>
      </c>
      <c r="U53" s="2">
        <v>6</v>
      </c>
      <c r="V53" s="242">
        <v>3879</v>
      </c>
      <c r="W53" s="1058" t="s">
        <v>6089</v>
      </c>
      <c r="X53" s="1058" t="s">
        <v>6120</v>
      </c>
      <c r="Y53" s="1058" t="s">
        <v>6118</v>
      </c>
      <c r="AA53" s="1061" t="s">
        <v>1123</v>
      </c>
      <c r="AB53" s="168" t="s">
        <v>1159</v>
      </c>
      <c r="AC53" s="2" t="s">
        <v>1160</v>
      </c>
      <c r="AD53" s="2" t="s">
        <v>1161</v>
      </c>
      <c r="AE53" s="2" t="s">
        <v>1162</v>
      </c>
      <c r="AF53" s="2" t="s">
        <v>1163</v>
      </c>
      <c r="AK53" s="8" t="s">
        <v>1124</v>
      </c>
    </row>
    <row r="54" spans="1:37" ht="15" thickBot="1" x14ac:dyDescent="0.35">
      <c r="A54" s="985" t="str">
        <f t="shared" si="0"/>
        <v>Sezóna 18/19</v>
      </c>
      <c r="B54" s="2">
        <v>52</v>
      </c>
      <c r="C54" s="2">
        <v>52</v>
      </c>
      <c r="D54" s="4">
        <v>43532</v>
      </c>
      <c r="E54" s="2" t="s">
        <v>328</v>
      </c>
      <c r="F54" s="2" t="s">
        <v>16</v>
      </c>
      <c r="G54" s="1058" t="s">
        <v>6084</v>
      </c>
      <c r="H54" s="1058" t="s">
        <v>743</v>
      </c>
      <c r="I54" s="259">
        <v>1</v>
      </c>
      <c r="J54" s="259">
        <v>5</v>
      </c>
      <c r="K54" s="2">
        <v>1</v>
      </c>
      <c r="L54" s="2">
        <v>4</v>
      </c>
      <c r="M54" s="2">
        <v>11</v>
      </c>
      <c r="N54" s="2">
        <v>-7</v>
      </c>
      <c r="O54" s="2">
        <v>71</v>
      </c>
      <c r="P54" s="168">
        <v>0</v>
      </c>
      <c r="Q54" s="2">
        <v>0</v>
      </c>
      <c r="R54" s="2">
        <v>0</v>
      </c>
      <c r="S54" s="2">
        <v>1</v>
      </c>
      <c r="T54" s="2">
        <v>5</v>
      </c>
      <c r="U54" s="2">
        <v>6</v>
      </c>
      <c r="V54" s="242">
        <v>4509</v>
      </c>
      <c r="W54" s="1058" t="s">
        <v>6120</v>
      </c>
      <c r="X54" s="1058" t="s">
        <v>6189</v>
      </c>
      <c r="Y54" s="1058" t="s">
        <v>6077</v>
      </c>
      <c r="AA54" s="1061" t="s">
        <v>1129</v>
      </c>
      <c r="AB54" s="168" t="s">
        <v>1158</v>
      </c>
      <c r="AK54" s="8" t="s">
        <v>1128</v>
      </c>
    </row>
    <row r="55" spans="1:37" s="309" customFormat="1" ht="15" thickBot="1" x14ac:dyDescent="0.35">
      <c r="A55" s="985" t="str">
        <f t="shared" si="0"/>
        <v>Sezóna 18/19</v>
      </c>
      <c r="B55" s="185">
        <v>53</v>
      </c>
      <c r="C55" s="96" t="s">
        <v>6317</v>
      </c>
      <c r="D55" s="4">
        <v>43536</v>
      </c>
      <c r="E55" s="96" t="s">
        <v>327</v>
      </c>
      <c r="F55" s="96" t="s">
        <v>17</v>
      </c>
      <c r="G55" s="1065" t="s">
        <v>6209</v>
      </c>
      <c r="H55" s="1065" t="s">
        <v>16</v>
      </c>
      <c r="I55" s="1140">
        <v>6</v>
      </c>
      <c r="J55" s="1140">
        <v>3</v>
      </c>
      <c r="K55" s="96">
        <v>6</v>
      </c>
      <c r="L55" s="96">
        <v>3</v>
      </c>
      <c r="M55" s="96">
        <v>11</v>
      </c>
      <c r="N55" s="96">
        <v>-7</v>
      </c>
      <c r="O55" s="96">
        <v>74</v>
      </c>
      <c r="P55" s="306">
        <v>1</v>
      </c>
      <c r="Q55" s="96">
        <v>0</v>
      </c>
      <c r="R55" s="96">
        <v>0</v>
      </c>
      <c r="S55" s="96">
        <v>1</v>
      </c>
      <c r="T55" s="96">
        <v>6</v>
      </c>
      <c r="U55" s="96">
        <v>5</v>
      </c>
      <c r="V55" s="307">
        <v>1476</v>
      </c>
      <c r="W55" s="1065" t="s">
        <v>6187</v>
      </c>
      <c r="X55" s="1065" t="s">
        <v>6187</v>
      </c>
      <c r="Y55" s="1065" t="s">
        <v>6148</v>
      </c>
      <c r="Z55" s="1065"/>
      <c r="AA55" s="1066" t="s">
        <v>1139</v>
      </c>
      <c r="AB55" s="306" t="s">
        <v>1195</v>
      </c>
      <c r="AC55" s="96" t="s">
        <v>1196</v>
      </c>
      <c r="AD55" s="96" t="s">
        <v>1197</v>
      </c>
      <c r="AE55" s="96" t="s">
        <v>1198</v>
      </c>
      <c r="AF55" s="96" t="s">
        <v>1199</v>
      </c>
      <c r="AG55" s="96" t="s">
        <v>1200</v>
      </c>
      <c r="AH55" s="96"/>
      <c r="AI55" s="96"/>
      <c r="AJ55" s="96"/>
      <c r="AK55" s="308" t="s">
        <v>1140</v>
      </c>
    </row>
    <row r="56" spans="1:37" ht="15" thickBot="1" x14ac:dyDescent="0.35">
      <c r="A56" s="985" t="str">
        <f t="shared" si="0"/>
        <v>Sezóna 18/19</v>
      </c>
      <c r="B56" s="106">
        <v>54</v>
      </c>
      <c r="C56" s="96" t="s">
        <v>6317</v>
      </c>
      <c r="D56" s="4">
        <v>43539</v>
      </c>
      <c r="E56" s="2" t="s">
        <v>612</v>
      </c>
      <c r="F56" s="2" t="s">
        <v>16</v>
      </c>
      <c r="G56" s="1058" t="s">
        <v>6073</v>
      </c>
      <c r="H56" s="1058" t="s">
        <v>16</v>
      </c>
      <c r="I56" s="259">
        <v>4</v>
      </c>
      <c r="J56" s="259">
        <v>2</v>
      </c>
      <c r="K56" s="2">
        <v>4</v>
      </c>
      <c r="L56" s="2">
        <v>2</v>
      </c>
      <c r="M56" s="2">
        <v>11</v>
      </c>
      <c r="N56" s="2">
        <v>-4</v>
      </c>
      <c r="O56" s="2">
        <v>77</v>
      </c>
      <c r="P56" s="168">
        <v>1</v>
      </c>
      <c r="Q56" s="2">
        <v>1</v>
      </c>
      <c r="R56" s="2">
        <v>0</v>
      </c>
      <c r="S56" s="2">
        <v>0</v>
      </c>
      <c r="T56" s="2">
        <v>4</v>
      </c>
      <c r="U56" s="2">
        <v>3</v>
      </c>
      <c r="V56" s="242">
        <v>3833</v>
      </c>
      <c r="W56" s="1058" t="s">
        <v>6089</v>
      </c>
      <c r="X56" s="1058" t="s">
        <v>6118</v>
      </c>
      <c r="Y56" s="1058" t="s">
        <v>6189</v>
      </c>
      <c r="AA56" s="1061" t="s">
        <v>1155</v>
      </c>
      <c r="AB56" s="168" t="s">
        <v>1201</v>
      </c>
      <c r="AC56" s="2" t="s">
        <v>1202</v>
      </c>
      <c r="AD56" s="2" t="s">
        <v>1203</v>
      </c>
      <c r="AE56" s="2" t="s">
        <v>1204</v>
      </c>
      <c r="AK56" s="8" t="s">
        <v>1156</v>
      </c>
    </row>
    <row r="57" spans="1:37" ht="15" thickBot="1" x14ac:dyDescent="0.35">
      <c r="A57" s="985" t="str">
        <f t="shared" si="0"/>
        <v>Sezóna 18/19</v>
      </c>
      <c r="B57" s="106">
        <v>55</v>
      </c>
      <c r="C57" s="96" t="s">
        <v>6317</v>
      </c>
      <c r="D57" s="4">
        <v>43541</v>
      </c>
      <c r="E57" s="2" t="s">
        <v>6076</v>
      </c>
      <c r="F57" s="2" t="s">
        <v>17</v>
      </c>
      <c r="G57" s="1058" t="s">
        <v>6092</v>
      </c>
      <c r="H57" s="1058" t="s">
        <v>743</v>
      </c>
      <c r="I57" s="259">
        <v>3</v>
      </c>
      <c r="J57" s="259">
        <v>6</v>
      </c>
      <c r="K57" s="2">
        <v>3</v>
      </c>
      <c r="L57" s="2">
        <v>6</v>
      </c>
      <c r="M57" s="2">
        <v>11</v>
      </c>
      <c r="N57" s="2">
        <v>-7</v>
      </c>
      <c r="O57" s="2">
        <v>77</v>
      </c>
      <c r="P57" s="168">
        <v>0</v>
      </c>
      <c r="Q57" s="2">
        <v>0</v>
      </c>
      <c r="R57" s="2">
        <v>0</v>
      </c>
      <c r="S57" s="2">
        <v>0</v>
      </c>
      <c r="T57" s="2">
        <v>2</v>
      </c>
      <c r="U57" s="2">
        <v>1</v>
      </c>
      <c r="V57" s="242">
        <v>1375</v>
      </c>
      <c r="W57" s="1058" t="s">
        <v>6188</v>
      </c>
      <c r="X57" s="1058" t="s">
        <v>6146</v>
      </c>
      <c r="Y57" s="1058" t="s">
        <v>6102</v>
      </c>
      <c r="AA57" s="1061" t="s">
        <v>1154</v>
      </c>
      <c r="AB57" s="168" t="s">
        <v>1205</v>
      </c>
      <c r="AC57" s="2" t="s">
        <v>1206</v>
      </c>
      <c r="AD57" s="2" t="s">
        <v>1207</v>
      </c>
      <c r="AK57" s="8" t="s">
        <v>1157</v>
      </c>
    </row>
    <row r="58" spans="1:37" ht="15" thickBot="1" x14ac:dyDescent="0.35">
      <c r="A58" s="985" t="str">
        <f t="shared" si="0"/>
        <v>Sezóna 18/19</v>
      </c>
      <c r="B58" s="106">
        <v>56</v>
      </c>
      <c r="C58" s="96" t="s">
        <v>6317</v>
      </c>
      <c r="D58" s="4">
        <v>43543</v>
      </c>
      <c r="E58" s="2" t="s">
        <v>6076</v>
      </c>
      <c r="F58" s="2" t="s">
        <v>16</v>
      </c>
      <c r="G58" s="1058" t="s">
        <v>601</v>
      </c>
      <c r="H58" s="1058" t="s">
        <v>793</v>
      </c>
      <c r="I58" s="259">
        <v>5</v>
      </c>
      <c r="J58" s="259">
        <v>4</v>
      </c>
      <c r="K58" s="2">
        <v>4</v>
      </c>
      <c r="L58" s="2">
        <v>4</v>
      </c>
      <c r="M58" s="2">
        <v>11</v>
      </c>
      <c r="N58" s="2">
        <v>-5</v>
      </c>
      <c r="O58" s="2">
        <v>79</v>
      </c>
      <c r="P58" s="168">
        <v>0</v>
      </c>
      <c r="Q58" s="2">
        <v>0</v>
      </c>
      <c r="R58" s="2">
        <v>0</v>
      </c>
      <c r="S58" s="2">
        <v>2</v>
      </c>
      <c r="T58" s="2">
        <v>0</v>
      </c>
      <c r="U58" s="2">
        <v>5</v>
      </c>
      <c r="V58" s="242">
        <v>3074</v>
      </c>
      <c r="W58" s="1058" t="s">
        <v>6120</v>
      </c>
      <c r="X58" s="1058" t="s">
        <v>6118</v>
      </c>
      <c r="Y58" s="1058" t="s">
        <v>6102</v>
      </c>
      <c r="Z58" s="1058" t="s">
        <v>756</v>
      </c>
      <c r="AA58" s="1061" t="s">
        <v>1183</v>
      </c>
      <c r="AB58" s="168" t="s">
        <v>1208</v>
      </c>
      <c r="AC58" s="2" t="s">
        <v>1209</v>
      </c>
      <c r="AD58" s="2" t="s">
        <v>1210</v>
      </c>
      <c r="AE58" s="2" t="s">
        <v>1211</v>
      </c>
      <c r="AF58" s="2" t="s">
        <v>1212</v>
      </c>
      <c r="AK58" s="8" t="s">
        <v>1184</v>
      </c>
    </row>
    <row r="59" spans="1:37" ht="15" thickBot="1" x14ac:dyDescent="0.35">
      <c r="A59" s="985" t="str">
        <f t="shared" si="0"/>
        <v>Sezóna 18/19</v>
      </c>
      <c r="B59" s="106">
        <v>57</v>
      </c>
      <c r="C59" s="96" t="s">
        <v>6317</v>
      </c>
      <c r="D59" s="4">
        <v>43546</v>
      </c>
      <c r="E59" s="2" t="s">
        <v>327</v>
      </c>
      <c r="F59" s="2" t="s">
        <v>16</v>
      </c>
      <c r="G59" s="1058" t="s">
        <v>6133</v>
      </c>
      <c r="H59" s="1058" t="s">
        <v>16</v>
      </c>
      <c r="I59" s="259">
        <v>5</v>
      </c>
      <c r="J59" s="259">
        <v>2</v>
      </c>
      <c r="K59" s="2">
        <v>5</v>
      </c>
      <c r="L59" s="2">
        <v>2</v>
      </c>
      <c r="M59" s="2">
        <v>11</v>
      </c>
      <c r="N59" s="2">
        <v>-2</v>
      </c>
      <c r="O59" s="2">
        <v>82</v>
      </c>
      <c r="P59" s="168">
        <v>3</v>
      </c>
      <c r="Q59" s="2">
        <v>0</v>
      </c>
      <c r="R59" s="2">
        <v>0</v>
      </c>
      <c r="S59" s="2">
        <v>0</v>
      </c>
      <c r="T59" s="2">
        <v>9</v>
      </c>
      <c r="U59" s="2">
        <v>3</v>
      </c>
      <c r="V59" s="242">
        <v>2683</v>
      </c>
      <c r="W59" s="1058" t="s">
        <v>6089</v>
      </c>
      <c r="X59" s="1058" t="s">
        <v>6089</v>
      </c>
      <c r="Y59" s="1058" t="s">
        <v>6097</v>
      </c>
      <c r="AA59" s="1061" t="s">
        <v>1186</v>
      </c>
      <c r="AB59" s="168" t="s">
        <v>1213</v>
      </c>
      <c r="AC59" s="2" t="s">
        <v>1220</v>
      </c>
      <c r="AD59" s="2" t="s">
        <v>1214</v>
      </c>
      <c r="AE59" s="2" t="s">
        <v>1215</v>
      </c>
      <c r="AF59" s="2" t="s">
        <v>1216</v>
      </c>
      <c r="AK59" s="8" t="s">
        <v>1187</v>
      </c>
    </row>
    <row r="60" spans="1:37" s="313" customFormat="1" ht="15" thickBot="1" x14ac:dyDescent="0.35">
      <c r="A60" s="985" t="str">
        <f t="shared" si="0"/>
        <v>Sezóna 18/19</v>
      </c>
      <c r="B60" s="187">
        <v>58</v>
      </c>
      <c r="C60" s="96" t="s">
        <v>6317</v>
      </c>
      <c r="D60" s="4">
        <v>43548</v>
      </c>
      <c r="E60" s="103" t="s">
        <v>612</v>
      </c>
      <c r="F60" s="103" t="s">
        <v>17</v>
      </c>
      <c r="G60" s="1067" t="s">
        <v>6073</v>
      </c>
      <c r="H60" s="1067" t="s">
        <v>16</v>
      </c>
      <c r="I60" s="1141">
        <v>4</v>
      </c>
      <c r="J60" s="1141">
        <v>2</v>
      </c>
      <c r="K60" s="103">
        <v>4</v>
      </c>
      <c r="L60" s="103">
        <v>2</v>
      </c>
      <c r="M60" s="103">
        <v>11</v>
      </c>
      <c r="N60" s="103">
        <v>-2</v>
      </c>
      <c r="O60" s="103">
        <v>85</v>
      </c>
      <c r="P60" s="302">
        <v>0</v>
      </c>
      <c r="Q60" s="103">
        <v>0</v>
      </c>
      <c r="R60" s="103">
        <v>0</v>
      </c>
      <c r="S60" s="103">
        <v>0</v>
      </c>
      <c r="T60" s="103">
        <v>2</v>
      </c>
      <c r="U60" s="103">
        <v>1</v>
      </c>
      <c r="V60" s="311">
        <v>3075</v>
      </c>
      <c r="W60" s="1067" t="s">
        <v>6189</v>
      </c>
      <c r="X60" s="1067" t="s">
        <v>6100</v>
      </c>
      <c r="Y60" s="1067" t="s">
        <v>6120</v>
      </c>
      <c r="Z60" s="1067"/>
      <c r="AA60" s="1068" t="s">
        <v>1185</v>
      </c>
      <c r="AB60" s="302" t="s">
        <v>1217</v>
      </c>
      <c r="AC60" s="103" t="s">
        <v>1218</v>
      </c>
      <c r="AD60" s="103" t="s">
        <v>1219</v>
      </c>
      <c r="AE60" s="103"/>
      <c r="AF60" s="103"/>
      <c r="AG60" s="103"/>
      <c r="AH60" s="103"/>
      <c r="AI60" s="103"/>
      <c r="AJ60" s="103"/>
      <c r="AK60" s="312" t="s">
        <v>1188</v>
      </c>
    </row>
    <row r="61" spans="1:37" x14ac:dyDescent="0.3">
      <c r="A61" s="1087" t="s">
        <v>817</v>
      </c>
      <c r="B61" s="106"/>
      <c r="G61" s="2"/>
      <c r="H61" s="2"/>
      <c r="K61" s="2"/>
      <c r="L61" s="2"/>
      <c r="W61" s="2" t="s">
        <v>6323</v>
      </c>
      <c r="X61" s="2" t="s">
        <v>6324</v>
      </c>
      <c r="Y61" s="2" t="s">
        <v>6325</v>
      </c>
      <c r="Z61" s="2" t="s">
        <v>6326</v>
      </c>
      <c r="AA61" s="8"/>
      <c r="AK61" s="8">
        <f>SUBTOTAL(103,Zapasy20182019[Sestava])</f>
        <v>58</v>
      </c>
    </row>
    <row r="62" spans="1:37" x14ac:dyDescent="0.3">
      <c r="M62" s="60"/>
      <c r="N62" s="60"/>
      <c r="O62" s="60"/>
    </row>
    <row r="63" spans="1:37" x14ac:dyDescent="0.3">
      <c r="M63" s="60"/>
      <c r="N63" s="60"/>
      <c r="O63" s="60"/>
    </row>
    <row r="64" spans="1:37" x14ac:dyDescent="0.3">
      <c r="M64" s="60"/>
      <c r="N64" s="60"/>
      <c r="O64" s="60"/>
    </row>
    <row r="65" spans="13:15" x14ac:dyDescent="0.3">
      <c r="M65" s="60"/>
      <c r="N65" s="60"/>
      <c r="O65" s="60"/>
    </row>
    <row r="67" spans="13:15" x14ac:dyDescent="0.3">
      <c r="M67" s="60"/>
      <c r="N67" s="60"/>
      <c r="O67" s="60"/>
    </row>
    <row r="68" spans="13:15" x14ac:dyDescent="0.3">
      <c r="M68" s="60"/>
      <c r="N68" s="60"/>
      <c r="O68" s="60"/>
    </row>
    <row r="69" spans="13:15" x14ac:dyDescent="0.3">
      <c r="M69" s="60"/>
      <c r="N69" s="60"/>
      <c r="O69" s="60"/>
    </row>
    <row r="71" spans="13:15" x14ac:dyDescent="0.3">
      <c r="M71" s="60"/>
      <c r="N71" s="60"/>
      <c r="O71" s="60"/>
    </row>
    <row r="73" spans="13:15" x14ac:dyDescent="0.3">
      <c r="M73" s="60"/>
      <c r="N73" s="60"/>
      <c r="O73" s="60"/>
    </row>
    <row r="102" spans="1:1" ht="15" thickBot="1" x14ac:dyDescent="0.35">
      <c r="A102" s="201"/>
    </row>
    <row r="103" spans="1:1" x14ac:dyDescent="0.3">
      <c r="A103" s="204" t="s">
        <v>792</v>
      </c>
    </row>
    <row r="104" spans="1:1" x14ac:dyDescent="0.3">
      <c r="A104" s="198" t="s">
        <v>797</v>
      </c>
    </row>
    <row r="105" spans="1:1" ht="15" thickBot="1" x14ac:dyDescent="0.35">
      <c r="A105" s="199" t="s">
        <v>798</v>
      </c>
    </row>
    <row r="106" spans="1:1" x14ac:dyDescent="0.3">
      <c r="A106" s="594" t="s">
        <v>799</v>
      </c>
    </row>
    <row r="107" spans="1:1" x14ac:dyDescent="0.3">
      <c r="A107" s="198" t="s">
        <v>797</v>
      </c>
    </row>
    <row r="108" spans="1:1" ht="15" thickBot="1" x14ac:dyDescent="0.35">
      <c r="A108" s="199" t="s">
        <v>798</v>
      </c>
    </row>
    <row r="109" spans="1:1" x14ac:dyDescent="0.3">
      <c r="A109" s="594" t="s">
        <v>800</v>
      </c>
    </row>
    <row r="110" spans="1:1" x14ac:dyDescent="0.3">
      <c r="A110" s="198" t="s">
        <v>797</v>
      </c>
    </row>
    <row r="111" spans="1:1" ht="15" thickBot="1" x14ac:dyDescent="0.35">
      <c r="A111" s="199" t="s">
        <v>798</v>
      </c>
    </row>
    <row r="112" spans="1:1" x14ac:dyDescent="0.3">
      <c r="A112" s="204" t="s">
        <v>801</v>
      </c>
    </row>
    <row r="113" spans="1:1" x14ac:dyDescent="0.3">
      <c r="A113" s="198" t="s">
        <v>797</v>
      </c>
    </row>
    <row r="114" spans="1:1" ht="15" thickBot="1" x14ac:dyDescent="0.35">
      <c r="A114" s="592" t="s">
        <v>798</v>
      </c>
    </row>
    <row r="115" spans="1:1" x14ac:dyDescent="0.3">
      <c r="A115" s="220" t="s">
        <v>804</v>
      </c>
    </row>
    <row r="116" spans="1:1" x14ac:dyDescent="0.3">
      <c r="A116" s="223" t="s">
        <v>797</v>
      </c>
    </row>
    <row r="117" spans="1:1" ht="15" thickBot="1" x14ac:dyDescent="0.35">
      <c r="A117" s="226" t="s">
        <v>798</v>
      </c>
    </row>
  </sheetData>
  <mergeCells count="5">
    <mergeCell ref="AB1:AH1"/>
    <mergeCell ref="P1:Q1"/>
    <mergeCell ref="R1:S1"/>
    <mergeCell ref="T1:V1"/>
    <mergeCell ref="W1:AA1"/>
  </mergeCells>
  <phoneticPr fontId="79" type="noConversion"/>
  <conditionalFormatting sqref="F3:F60 F62:F208">
    <cfRule type="cellIs" dxfId="254" priority="1" operator="equal">
      <formula>"D"</formula>
    </cfRule>
  </conditionalFormatting>
  <pageMargins left="0.7" right="0.7" top="0.78740157499999996" bottom="0.78740157499999996"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U50"/>
  <sheetViews>
    <sheetView workbookViewId="0">
      <pane xSplit="1" ySplit="5" topLeftCell="B6" activePane="bottomRight" state="frozen"/>
      <selection activeCell="L12" sqref="L12"/>
      <selection pane="topRight" activeCell="L12" sqref="L12"/>
      <selection pane="bottomLeft" activeCell="L12" sqref="L12"/>
      <selection pane="bottomRight" activeCell="L12" sqref="L12"/>
    </sheetView>
  </sheetViews>
  <sheetFormatPr defaultColWidth="9.109375" defaultRowHeight="14.4" x14ac:dyDescent="0.3"/>
  <cols>
    <col min="1" max="1" width="21.109375" style="2" customWidth="1"/>
    <col min="2" max="2" width="14.5546875" style="2" customWidth="1"/>
    <col min="3" max="3" width="14.33203125" style="2" customWidth="1"/>
    <col min="4" max="4" width="18.109375" style="2" customWidth="1"/>
    <col min="5" max="5" width="20.44140625" style="2" customWidth="1"/>
    <col min="6" max="6" width="16.88671875" style="2" customWidth="1"/>
    <col min="7" max="7" width="16" style="2" customWidth="1"/>
    <col min="8" max="8" width="15.109375" style="2" customWidth="1"/>
    <col min="9" max="11" width="19.109375" style="2" customWidth="1"/>
    <col min="12" max="12" width="17.33203125" style="2" customWidth="1"/>
    <col min="13" max="13" width="13.33203125" style="2" customWidth="1"/>
    <col min="14" max="14" width="13.109375" style="2" customWidth="1"/>
    <col min="15" max="15" width="18.5546875" style="2" customWidth="1"/>
    <col min="16" max="16" width="14.44140625" style="2" customWidth="1"/>
    <col min="17" max="17" width="15" style="2" customWidth="1"/>
    <col min="18" max="25" width="9.109375" style="2"/>
    <col min="26" max="26" width="12.33203125" style="2" customWidth="1"/>
    <col min="27" max="29" width="17.44140625" style="2" customWidth="1"/>
    <col min="30" max="31" width="9.109375" style="2"/>
    <col min="32" max="32" width="11.33203125" style="2" customWidth="1"/>
    <col min="33" max="41" width="9.109375" style="2"/>
    <col min="42" max="44" width="13.88671875" style="2" customWidth="1"/>
    <col min="45" max="16384" width="9.109375" style="2"/>
  </cols>
  <sheetData>
    <row r="1" spans="1:73" s="24" customFormat="1" x14ac:dyDescent="0.3">
      <c r="P1" s="25"/>
      <c r="Q1" s="26"/>
      <c r="R1" s="26"/>
      <c r="S1" s="26"/>
      <c r="T1" s="26"/>
      <c r="U1" s="26"/>
      <c r="V1" s="26"/>
      <c r="W1" s="26"/>
      <c r="X1" s="26"/>
      <c r="Y1" s="26"/>
      <c r="Z1" s="26"/>
      <c r="AA1" s="26"/>
      <c r="AB1" s="26"/>
      <c r="AC1" s="26"/>
      <c r="AD1" s="26"/>
      <c r="AE1" s="27"/>
      <c r="AF1" s="52"/>
      <c r="AG1" s="28"/>
      <c r="AH1" s="28"/>
      <c r="AI1" s="28"/>
      <c r="AJ1" s="28"/>
      <c r="AK1" s="28"/>
      <c r="AL1" s="28"/>
      <c r="AM1" s="28"/>
      <c r="AN1" s="28"/>
      <c r="AO1" s="28"/>
      <c r="AP1" s="28"/>
      <c r="AQ1" s="28"/>
      <c r="AR1" s="28"/>
      <c r="AS1" s="28"/>
      <c r="AT1" s="29"/>
      <c r="AU1" s="2"/>
      <c r="AV1" s="2"/>
      <c r="AW1" s="2"/>
      <c r="AX1" s="2"/>
      <c r="AY1" s="2"/>
      <c r="AZ1" s="2"/>
      <c r="BA1" s="2"/>
      <c r="BB1" s="2"/>
      <c r="BC1" s="2"/>
      <c r="BD1" s="2"/>
      <c r="BE1" s="2"/>
      <c r="BF1" s="2"/>
      <c r="BG1" s="2"/>
      <c r="BH1" s="2"/>
    </row>
    <row r="2" spans="1:73" s="33" customFormat="1" ht="23.4" x14ac:dyDescent="0.3">
      <c r="A2" s="30"/>
      <c r="B2" s="30"/>
      <c r="C2" s="30" t="s">
        <v>151</v>
      </c>
      <c r="D2" s="30" t="s">
        <v>152</v>
      </c>
      <c r="E2" s="30"/>
      <c r="F2" s="30" t="s">
        <v>1165</v>
      </c>
      <c r="G2" s="30"/>
      <c r="H2" s="30"/>
      <c r="I2" s="30"/>
      <c r="J2" s="30"/>
      <c r="K2" s="30"/>
      <c r="L2" s="30"/>
      <c r="M2" s="30"/>
      <c r="N2" s="30"/>
      <c r="O2" s="30"/>
      <c r="P2" s="32"/>
      <c r="R2" s="33" t="s">
        <v>143</v>
      </c>
      <c r="AE2" s="34"/>
      <c r="AF2" s="347" t="s">
        <v>142</v>
      </c>
      <c r="AG2" s="35"/>
      <c r="AH2" s="35"/>
      <c r="AI2" s="35"/>
      <c r="AJ2" s="35"/>
      <c r="AK2" s="35"/>
      <c r="AL2" s="35"/>
      <c r="AM2" s="35"/>
      <c r="AN2" s="35"/>
      <c r="AO2" s="35"/>
      <c r="AP2" s="35"/>
      <c r="AQ2" s="35"/>
      <c r="AR2" s="35"/>
      <c r="AS2" s="35"/>
      <c r="AT2" s="36"/>
      <c r="AU2" s="2"/>
      <c r="AV2" s="2"/>
      <c r="AW2" s="2"/>
      <c r="AX2" s="2"/>
      <c r="AY2" s="2"/>
      <c r="AZ2" s="2"/>
      <c r="BA2" s="2"/>
      <c r="BB2" s="2"/>
      <c r="BC2" s="2"/>
      <c r="BD2" s="2"/>
      <c r="BE2" s="2"/>
      <c r="BF2" s="2"/>
      <c r="BG2" s="2"/>
      <c r="BH2" s="2"/>
      <c r="BI2" s="37"/>
      <c r="BJ2" s="37"/>
      <c r="BK2" s="37"/>
      <c r="BL2" s="37"/>
      <c r="BM2" s="37"/>
      <c r="BN2" s="37"/>
      <c r="BO2" s="37"/>
      <c r="BP2" s="37"/>
      <c r="BQ2" s="37"/>
      <c r="BR2" s="37"/>
      <c r="BS2" s="37"/>
      <c r="BT2" s="37"/>
      <c r="BU2" s="37"/>
    </row>
    <row r="3" spans="1:73" s="24" customFormat="1" x14ac:dyDescent="0.3">
      <c r="P3" s="38"/>
      <c r="Y3" s="24" t="s">
        <v>3630</v>
      </c>
      <c r="AE3" s="39"/>
      <c r="AF3" s="54"/>
      <c r="AG3" s="40"/>
      <c r="AH3" s="40"/>
      <c r="AI3" s="40"/>
      <c r="AJ3" s="40"/>
      <c r="AK3" s="40"/>
      <c r="AL3" s="40"/>
      <c r="AM3" s="40"/>
      <c r="AN3" s="40"/>
      <c r="AO3" s="40"/>
      <c r="AP3" s="40"/>
      <c r="AQ3" s="40"/>
      <c r="AR3" s="40"/>
      <c r="AS3" s="40"/>
      <c r="AT3" s="41"/>
      <c r="AU3" s="2"/>
      <c r="AV3" s="2"/>
      <c r="AW3" s="2"/>
      <c r="AX3" s="2"/>
      <c r="AY3" s="2"/>
      <c r="AZ3" s="2"/>
      <c r="BA3" s="2"/>
      <c r="BB3" s="2"/>
      <c r="BC3" s="2"/>
      <c r="BD3" s="2"/>
      <c r="BE3" s="2"/>
      <c r="BF3" s="2"/>
      <c r="BG3" s="2"/>
      <c r="BH3" s="2"/>
    </row>
    <row r="4" spans="1:73" s="24" customFormat="1" ht="15" thickBot="1" x14ac:dyDescent="0.35">
      <c r="P4" s="38"/>
      <c r="X4" s="24" t="s">
        <v>3629</v>
      </c>
      <c r="Z4" s="24" t="s">
        <v>3628</v>
      </c>
      <c r="AE4" s="39"/>
      <c r="AF4" s="54"/>
      <c r="AG4" s="40"/>
      <c r="AH4" s="40"/>
      <c r="AI4" s="40"/>
      <c r="AJ4" s="40"/>
      <c r="AK4" s="40"/>
      <c r="AL4" s="40"/>
      <c r="AM4" s="40"/>
      <c r="AN4" s="40"/>
      <c r="AO4" s="40"/>
      <c r="AP4" s="40"/>
      <c r="AQ4" s="40"/>
      <c r="AR4" s="40"/>
      <c r="AS4" s="40"/>
      <c r="AT4" s="41"/>
      <c r="AU4" s="2"/>
      <c r="AV4" s="2"/>
      <c r="AW4" s="2"/>
      <c r="AX4" s="2"/>
      <c r="AY4" s="2"/>
      <c r="AZ4" s="2"/>
      <c r="BA4" s="2"/>
      <c r="BB4" s="2"/>
      <c r="BC4" s="2"/>
      <c r="BD4" s="2"/>
      <c r="BE4" s="2"/>
      <c r="BF4" s="2"/>
      <c r="BG4" s="2"/>
      <c r="BH4" s="2"/>
    </row>
    <row r="5" spans="1:73" s="24" customFormat="1" ht="15" thickBot="1" x14ac:dyDescent="0.35">
      <c r="A5" s="14" t="s">
        <v>141</v>
      </c>
      <c r="B5" s="15" t="s">
        <v>140</v>
      </c>
      <c r="C5" s="16" t="s">
        <v>139</v>
      </c>
      <c r="D5" s="16" t="s">
        <v>1164</v>
      </c>
      <c r="E5" s="16" t="s">
        <v>147</v>
      </c>
      <c r="F5" s="16" t="s">
        <v>148</v>
      </c>
      <c r="G5" s="16" t="s">
        <v>149</v>
      </c>
      <c r="H5" s="16" t="s">
        <v>150</v>
      </c>
      <c r="I5" s="16" t="s">
        <v>1182</v>
      </c>
      <c r="J5" s="16" t="s">
        <v>1228</v>
      </c>
      <c r="K5" s="16" t="s">
        <v>1229</v>
      </c>
      <c r="L5" s="16" t="s">
        <v>156</v>
      </c>
      <c r="M5" s="16" t="s">
        <v>218</v>
      </c>
      <c r="N5" s="16" t="s">
        <v>219</v>
      </c>
      <c r="O5" s="16" t="s">
        <v>155</v>
      </c>
      <c r="P5" s="17" t="s">
        <v>145</v>
      </c>
      <c r="Q5" s="26" t="s">
        <v>138</v>
      </c>
      <c r="R5" s="26" t="s">
        <v>137</v>
      </c>
      <c r="S5" s="26" t="s">
        <v>136</v>
      </c>
      <c r="T5" s="26" t="s">
        <v>135</v>
      </c>
      <c r="U5" s="26" t="s">
        <v>308</v>
      </c>
      <c r="V5" s="26" t="s">
        <v>134</v>
      </c>
      <c r="W5" s="26" t="s">
        <v>133</v>
      </c>
      <c r="X5" s="26" t="s">
        <v>132</v>
      </c>
      <c r="Y5" s="26" t="s">
        <v>130</v>
      </c>
      <c r="Z5" s="26" t="s">
        <v>129</v>
      </c>
      <c r="AA5" s="26" t="s">
        <v>128</v>
      </c>
      <c r="AB5" s="26" t="s">
        <v>1180</v>
      </c>
      <c r="AC5" s="26" t="s">
        <v>1181</v>
      </c>
      <c r="AD5" s="26" t="s">
        <v>127</v>
      </c>
      <c r="AE5" s="27" t="s">
        <v>126</v>
      </c>
      <c r="AF5" s="55" t="s">
        <v>146</v>
      </c>
      <c r="AG5" s="28" t="s">
        <v>138</v>
      </c>
      <c r="AH5" s="28" t="s">
        <v>137</v>
      </c>
      <c r="AI5" s="28" t="s">
        <v>136</v>
      </c>
      <c r="AJ5" s="28" t="s">
        <v>135</v>
      </c>
      <c r="AK5" s="28" t="s">
        <v>134</v>
      </c>
      <c r="AL5" s="28" t="s">
        <v>133</v>
      </c>
      <c r="AM5" s="28" t="s">
        <v>132</v>
      </c>
      <c r="AN5" s="28" t="s">
        <v>130</v>
      </c>
      <c r="AO5" s="28" t="s">
        <v>129</v>
      </c>
      <c r="AP5" s="28" t="s">
        <v>128</v>
      </c>
      <c r="AQ5" s="28" t="s">
        <v>1180</v>
      </c>
      <c r="AR5" s="28" t="s">
        <v>1181</v>
      </c>
      <c r="AS5" s="28" t="s">
        <v>127</v>
      </c>
      <c r="AT5" s="29" t="s">
        <v>126</v>
      </c>
      <c r="AU5" s="2"/>
      <c r="AV5" s="2"/>
      <c r="AW5" s="2"/>
      <c r="AX5" s="2"/>
      <c r="AY5" s="2"/>
      <c r="AZ5" s="2"/>
      <c r="BA5" s="2"/>
      <c r="BB5" s="2"/>
      <c r="BC5" s="2"/>
      <c r="BD5" s="2"/>
      <c r="BE5" s="2"/>
      <c r="BF5" s="2"/>
      <c r="BG5" s="2"/>
      <c r="BH5" s="2"/>
    </row>
    <row r="6" spans="1:73" ht="29.4" thickBot="1" x14ac:dyDescent="0.35">
      <c r="A6" s="294" t="s">
        <v>870</v>
      </c>
      <c r="B6" s="348" t="s">
        <v>80</v>
      </c>
      <c r="C6" s="333" t="s">
        <v>88</v>
      </c>
      <c r="D6" s="294">
        <f t="shared" ref="D6:D50" si="0">P6+AF6</f>
        <v>57</v>
      </c>
      <c r="E6" s="294">
        <f t="shared" ref="E6:E50" si="1">R6+AH6</f>
        <v>9</v>
      </c>
      <c r="F6" s="294">
        <f t="shared" ref="F6:F50" si="2">S6+AI6</f>
        <v>15</v>
      </c>
      <c r="G6" s="294">
        <f t="shared" ref="G6:G50" si="3">T6+AJ6</f>
        <v>24</v>
      </c>
      <c r="H6" s="341">
        <f t="shared" ref="H6:H50" si="4">G6/D6</f>
        <v>0.42105263157894735</v>
      </c>
      <c r="I6" s="294">
        <f t="shared" ref="I6:I50" si="5">AA6+AP6</f>
        <v>3</v>
      </c>
      <c r="J6" s="294">
        <f t="shared" ref="J6:J50" si="6">AB6+AQ6</f>
        <v>48</v>
      </c>
      <c r="K6" s="294">
        <f t="shared" ref="K6:K50" si="7">AC6+AR6</f>
        <v>45</v>
      </c>
      <c r="L6" s="341">
        <f t="shared" ref="L6:L50" si="8">I6/D6</f>
        <v>5.2631578947368418E-2</v>
      </c>
      <c r="M6" s="294">
        <f t="shared" ref="M6:M50" si="9">V6+AK6</f>
        <v>144</v>
      </c>
      <c r="N6" s="341">
        <f t="shared" ref="N6:N50" si="10">M6/D6</f>
        <v>2.5263157894736841</v>
      </c>
      <c r="O6" s="294">
        <f t="shared" ref="O6:O50" si="11">AD6+AS6</f>
        <v>28</v>
      </c>
      <c r="P6" s="333">
        <v>52</v>
      </c>
      <c r="Q6" s="334">
        <v>49.330555555555556</v>
      </c>
      <c r="R6" s="351">
        <v>7</v>
      </c>
      <c r="S6" s="333">
        <v>11</v>
      </c>
      <c r="T6" s="340">
        <v>18</v>
      </c>
      <c r="U6" s="341">
        <v>0.34615384615384615</v>
      </c>
      <c r="V6" s="339">
        <v>133</v>
      </c>
      <c r="W6" s="339">
        <v>8</v>
      </c>
      <c r="X6" s="339">
        <v>3</v>
      </c>
      <c r="Y6" s="339">
        <v>0</v>
      </c>
      <c r="Z6" s="339">
        <v>4</v>
      </c>
      <c r="AA6" s="333">
        <v>-3</v>
      </c>
      <c r="AB6" s="333">
        <v>37</v>
      </c>
      <c r="AC6" s="333">
        <v>40</v>
      </c>
      <c r="AD6" s="333">
        <v>28</v>
      </c>
      <c r="AE6" s="335">
        <v>0.94861111111111107</v>
      </c>
      <c r="AF6" s="339">
        <v>5</v>
      </c>
      <c r="AG6" s="352">
        <v>4.6090277777777775</v>
      </c>
      <c r="AH6" s="351">
        <v>2</v>
      </c>
      <c r="AI6" s="333">
        <v>4</v>
      </c>
      <c r="AJ6" s="333">
        <v>6</v>
      </c>
      <c r="AK6" s="339">
        <v>11</v>
      </c>
      <c r="AL6" s="339">
        <v>22</v>
      </c>
      <c r="AM6" s="339">
        <v>0</v>
      </c>
      <c r="AN6" s="339">
        <v>0</v>
      </c>
      <c r="AO6" s="339">
        <v>0</v>
      </c>
      <c r="AP6" s="333">
        <v>6</v>
      </c>
      <c r="AQ6" s="333">
        <v>11</v>
      </c>
      <c r="AR6" s="333">
        <v>5</v>
      </c>
      <c r="AS6" s="333">
        <v>0</v>
      </c>
      <c r="AT6" s="335">
        <v>0.92152777777777783</v>
      </c>
    </row>
    <row r="7" spans="1:73" ht="29.4" thickBot="1" x14ac:dyDescent="0.35">
      <c r="A7" s="294" t="s">
        <v>100</v>
      </c>
      <c r="B7" s="348" t="s">
        <v>80</v>
      </c>
      <c r="C7" s="333" t="s">
        <v>79</v>
      </c>
      <c r="D7" s="294">
        <f t="shared" si="0"/>
        <v>56</v>
      </c>
      <c r="E7" s="294">
        <f t="shared" si="1"/>
        <v>10</v>
      </c>
      <c r="F7" s="294">
        <f t="shared" si="2"/>
        <v>11</v>
      </c>
      <c r="G7" s="294">
        <f t="shared" si="3"/>
        <v>21</v>
      </c>
      <c r="H7" s="341">
        <f t="shared" si="4"/>
        <v>0.375</v>
      </c>
      <c r="I7" s="294">
        <f t="shared" si="5"/>
        <v>-14</v>
      </c>
      <c r="J7" s="294">
        <f t="shared" si="6"/>
        <v>19</v>
      </c>
      <c r="K7" s="294">
        <f t="shared" si="7"/>
        <v>33</v>
      </c>
      <c r="L7" s="341">
        <f t="shared" si="8"/>
        <v>-0.25</v>
      </c>
      <c r="M7" s="294">
        <f t="shared" si="9"/>
        <v>94</v>
      </c>
      <c r="N7" s="341">
        <f t="shared" si="10"/>
        <v>1.6785714285714286</v>
      </c>
      <c r="O7" s="294">
        <f t="shared" si="11"/>
        <v>16</v>
      </c>
      <c r="P7" s="333">
        <v>50</v>
      </c>
      <c r="Q7" s="334">
        <v>27.963194444444444</v>
      </c>
      <c r="R7" s="351">
        <v>7</v>
      </c>
      <c r="S7" s="333">
        <v>9</v>
      </c>
      <c r="T7" s="340">
        <v>16</v>
      </c>
      <c r="U7" s="341">
        <v>0.32</v>
      </c>
      <c r="V7" s="339">
        <v>78</v>
      </c>
      <c r="W7" s="339">
        <v>12</v>
      </c>
      <c r="X7" s="339">
        <v>1</v>
      </c>
      <c r="Y7" s="339">
        <v>1</v>
      </c>
      <c r="Z7" s="339">
        <v>2</v>
      </c>
      <c r="AA7" s="333">
        <v>-14</v>
      </c>
      <c r="AB7" s="333">
        <v>15</v>
      </c>
      <c r="AC7" s="333">
        <v>29</v>
      </c>
      <c r="AD7" s="333">
        <v>16</v>
      </c>
      <c r="AE7" s="335">
        <v>0.55902777777777779</v>
      </c>
      <c r="AF7" s="339">
        <v>6</v>
      </c>
      <c r="AG7" s="352">
        <v>3.8590277777777775</v>
      </c>
      <c r="AH7" s="351">
        <v>3</v>
      </c>
      <c r="AI7" s="333">
        <v>2</v>
      </c>
      <c r="AJ7" s="333">
        <v>5</v>
      </c>
      <c r="AK7" s="339">
        <v>16</v>
      </c>
      <c r="AL7" s="339">
        <v>21</v>
      </c>
      <c r="AM7" s="339">
        <v>2</v>
      </c>
      <c r="AN7" s="339">
        <v>0</v>
      </c>
      <c r="AO7" s="339">
        <v>0</v>
      </c>
      <c r="AP7" s="333">
        <v>0</v>
      </c>
      <c r="AQ7" s="333">
        <v>4</v>
      </c>
      <c r="AR7" s="333">
        <v>4</v>
      </c>
      <c r="AS7" s="333">
        <v>0</v>
      </c>
      <c r="AT7" s="335">
        <v>0.6430555555555556</v>
      </c>
    </row>
    <row r="8" spans="1:73" ht="29.4" thickBot="1" x14ac:dyDescent="0.35">
      <c r="A8" s="294" t="s">
        <v>115</v>
      </c>
      <c r="B8" s="348" t="s">
        <v>80</v>
      </c>
      <c r="C8" s="333" t="s">
        <v>79</v>
      </c>
      <c r="D8" s="294">
        <f t="shared" si="0"/>
        <v>56</v>
      </c>
      <c r="E8" s="294">
        <f t="shared" si="1"/>
        <v>7</v>
      </c>
      <c r="F8" s="294">
        <f t="shared" si="2"/>
        <v>7</v>
      </c>
      <c r="G8" s="294">
        <f t="shared" si="3"/>
        <v>14</v>
      </c>
      <c r="H8" s="341">
        <f t="shared" si="4"/>
        <v>0.25</v>
      </c>
      <c r="I8" s="294">
        <f t="shared" si="5"/>
        <v>-1</v>
      </c>
      <c r="J8" s="294">
        <f t="shared" si="6"/>
        <v>22</v>
      </c>
      <c r="K8" s="294">
        <f t="shared" si="7"/>
        <v>23</v>
      </c>
      <c r="L8" s="341">
        <f t="shared" si="8"/>
        <v>-1.7857142857142856E-2</v>
      </c>
      <c r="M8" s="294">
        <f t="shared" si="9"/>
        <v>101</v>
      </c>
      <c r="N8" s="341">
        <f t="shared" si="10"/>
        <v>1.8035714285714286</v>
      </c>
      <c r="O8" s="294">
        <f t="shared" si="11"/>
        <v>70</v>
      </c>
      <c r="P8" s="333">
        <v>51</v>
      </c>
      <c r="Q8" s="334">
        <v>26.704166666666666</v>
      </c>
      <c r="R8" s="351">
        <v>7</v>
      </c>
      <c r="S8" s="333">
        <v>6</v>
      </c>
      <c r="T8" s="340">
        <v>13</v>
      </c>
      <c r="U8" s="341">
        <v>0.25490196078431371</v>
      </c>
      <c r="V8" s="339">
        <v>95</v>
      </c>
      <c r="W8" s="339">
        <v>10</v>
      </c>
      <c r="X8" s="339">
        <v>1</v>
      </c>
      <c r="Y8" s="339">
        <v>1</v>
      </c>
      <c r="Z8" s="339">
        <v>1</v>
      </c>
      <c r="AA8" s="333">
        <v>-2</v>
      </c>
      <c r="AB8" s="333">
        <v>19</v>
      </c>
      <c r="AC8" s="333">
        <v>21</v>
      </c>
      <c r="AD8" s="333">
        <v>64</v>
      </c>
      <c r="AE8" s="335">
        <v>0.52361111111111114</v>
      </c>
      <c r="AF8" s="339">
        <v>5</v>
      </c>
      <c r="AG8" s="352">
        <v>2.9256944444444444</v>
      </c>
      <c r="AH8" s="351">
        <v>0</v>
      </c>
      <c r="AI8" s="333">
        <v>1</v>
      </c>
      <c r="AJ8" s="333">
        <v>1</v>
      </c>
      <c r="AK8" s="339">
        <v>6</v>
      </c>
      <c r="AL8" s="339">
        <v>0</v>
      </c>
      <c r="AM8" s="339">
        <v>0</v>
      </c>
      <c r="AN8" s="339">
        <v>0</v>
      </c>
      <c r="AO8" s="339">
        <v>0</v>
      </c>
      <c r="AP8" s="333">
        <v>1</v>
      </c>
      <c r="AQ8" s="333">
        <v>3</v>
      </c>
      <c r="AR8" s="333">
        <v>2</v>
      </c>
      <c r="AS8" s="333">
        <v>6</v>
      </c>
      <c r="AT8" s="335">
        <v>0.58472222222222225</v>
      </c>
    </row>
    <row r="9" spans="1:73" ht="29.4" thickBot="1" x14ac:dyDescent="0.35">
      <c r="A9" s="294" t="s">
        <v>869</v>
      </c>
      <c r="B9" s="348" t="s">
        <v>80</v>
      </c>
      <c r="C9" s="333" t="s">
        <v>79</v>
      </c>
      <c r="D9" s="294">
        <f t="shared" si="0"/>
        <v>55</v>
      </c>
      <c r="E9" s="294">
        <f t="shared" si="1"/>
        <v>10</v>
      </c>
      <c r="F9" s="294">
        <f t="shared" si="2"/>
        <v>23</v>
      </c>
      <c r="G9" s="294">
        <f t="shared" si="3"/>
        <v>33</v>
      </c>
      <c r="H9" s="341">
        <f t="shared" si="4"/>
        <v>0.6</v>
      </c>
      <c r="I9" s="294">
        <f t="shared" si="5"/>
        <v>-19</v>
      </c>
      <c r="J9" s="294">
        <f t="shared" si="6"/>
        <v>26</v>
      </c>
      <c r="K9" s="294">
        <f t="shared" si="7"/>
        <v>45</v>
      </c>
      <c r="L9" s="341">
        <f t="shared" si="8"/>
        <v>-0.34545454545454546</v>
      </c>
      <c r="M9" s="294">
        <f t="shared" si="9"/>
        <v>171</v>
      </c>
      <c r="N9" s="341">
        <f t="shared" si="10"/>
        <v>3.1090909090909089</v>
      </c>
      <c r="O9" s="294">
        <f t="shared" si="11"/>
        <v>40</v>
      </c>
      <c r="P9" s="333">
        <v>52</v>
      </c>
      <c r="Q9" s="334">
        <v>39.08958333333333</v>
      </c>
      <c r="R9" s="351">
        <v>8</v>
      </c>
      <c r="S9" s="333">
        <v>21</v>
      </c>
      <c r="T9" s="340">
        <v>29</v>
      </c>
      <c r="U9" s="341">
        <v>0.55769230769230771</v>
      </c>
      <c r="V9" s="339">
        <v>163</v>
      </c>
      <c r="W9" s="339">
        <v>6</v>
      </c>
      <c r="X9" s="339">
        <v>2</v>
      </c>
      <c r="Y9" s="339">
        <v>0</v>
      </c>
      <c r="Z9" s="339">
        <v>0</v>
      </c>
      <c r="AA9" s="333">
        <v>-16</v>
      </c>
      <c r="AB9" s="333">
        <v>24</v>
      </c>
      <c r="AC9" s="333">
        <v>40</v>
      </c>
      <c r="AD9" s="333">
        <v>40</v>
      </c>
      <c r="AE9" s="335">
        <v>0.75138888888888899</v>
      </c>
      <c r="AF9" s="339">
        <v>3</v>
      </c>
      <c r="AG9" s="352">
        <v>2.2013888888888888</v>
      </c>
      <c r="AH9" s="351">
        <v>2</v>
      </c>
      <c r="AI9" s="333">
        <v>2</v>
      </c>
      <c r="AJ9" s="333">
        <v>4</v>
      </c>
      <c r="AK9" s="339">
        <v>8</v>
      </c>
      <c r="AL9" s="339">
        <v>50</v>
      </c>
      <c r="AM9" s="339">
        <v>1</v>
      </c>
      <c r="AN9" s="339">
        <v>0</v>
      </c>
      <c r="AO9" s="339">
        <v>1</v>
      </c>
      <c r="AP9" s="333">
        <v>-3</v>
      </c>
      <c r="AQ9" s="333">
        <v>2</v>
      </c>
      <c r="AR9" s="333">
        <v>5</v>
      </c>
      <c r="AS9" s="333">
        <v>0</v>
      </c>
      <c r="AT9" s="335">
        <v>0.73333333333333339</v>
      </c>
    </row>
    <row r="10" spans="1:73" ht="29.4" thickBot="1" x14ac:dyDescent="0.35">
      <c r="A10" s="294" t="s">
        <v>122</v>
      </c>
      <c r="B10" s="348" t="s">
        <v>80</v>
      </c>
      <c r="C10" s="333" t="s">
        <v>79</v>
      </c>
      <c r="D10" s="294">
        <f t="shared" si="0"/>
        <v>54</v>
      </c>
      <c r="E10" s="294">
        <f t="shared" si="1"/>
        <v>15</v>
      </c>
      <c r="F10" s="294">
        <f t="shared" si="2"/>
        <v>13</v>
      </c>
      <c r="G10" s="294">
        <f t="shared" si="3"/>
        <v>28</v>
      </c>
      <c r="H10" s="341">
        <f t="shared" si="4"/>
        <v>0.51851851851851849</v>
      </c>
      <c r="I10" s="294">
        <f t="shared" si="5"/>
        <v>-3</v>
      </c>
      <c r="J10" s="294">
        <f t="shared" si="6"/>
        <v>33</v>
      </c>
      <c r="K10" s="294">
        <f t="shared" si="7"/>
        <v>36</v>
      </c>
      <c r="L10" s="341">
        <f t="shared" si="8"/>
        <v>-5.5555555555555552E-2</v>
      </c>
      <c r="M10" s="294">
        <f t="shared" si="9"/>
        <v>216</v>
      </c>
      <c r="N10" s="341">
        <f t="shared" si="10"/>
        <v>4</v>
      </c>
      <c r="O10" s="294">
        <f t="shared" si="11"/>
        <v>36</v>
      </c>
      <c r="P10" s="333">
        <v>52</v>
      </c>
      <c r="Q10" s="334">
        <v>40.986805555555556</v>
      </c>
      <c r="R10" s="351">
        <v>14</v>
      </c>
      <c r="S10" s="333">
        <v>13</v>
      </c>
      <c r="T10" s="340">
        <v>27</v>
      </c>
      <c r="U10" s="341">
        <v>0.51923076923076927</v>
      </c>
      <c r="V10" s="339">
        <v>212</v>
      </c>
      <c r="W10" s="339">
        <v>9</v>
      </c>
      <c r="X10" s="339">
        <v>2</v>
      </c>
      <c r="Y10" s="339">
        <v>2</v>
      </c>
      <c r="Z10" s="339">
        <v>5</v>
      </c>
      <c r="AA10" s="333">
        <v>-2</v>
      </c>
      <c r="AB10" s="333">
        <v>32</v>
      </c>
      <c r="AC10" s="333">
        <v>34</v>
      </c>
      <c r="AD10" s="333">
        <v>36</v>
      </c>
      <c r="AE10" s="335">
        <v>0.78819444444444453</v>
      </c>
      <c r="AF10" s="339">
        <v>2</v>
      </c>
      <c r="AG10" s="352">
        <v>1.4875</v>
      </c>
      <c r="AH10" s="351">
        <v>1</v>
      </c>
      <c r="AI10" s="333">
        <v>0</v>
      </c>
      <c r="AJ10" s="333">
        <v>1</v>
      </c>
      <c r="AK10" s="339">
        <v>4</v>
      </c>
      <c r="AL10" s="339">
        <v>25</v>
      </c>
      <c r="AM10" s="339">
        <v>0</v>
      </c>
      <c r="AN10" s="339">
        <v>0</v>
      </c>
      <c r="AO10" s="339">
        <v>0</v>
      </c>
      <c r="AP10" s="333">
        <v>-1</v>
      </c>
      <c r="AQ10" s="333">
        <v>1</v>
      </c>
      <c r="AR10" s="333">
        <v>2</v>
      </c>
      <c r="AS10" s="333">
        <v>0</v>
      </c>
      <c r="AT10" s="335">
        <v>0.74375000000000002</v>
      </c>
    </row>
    <row r="11" spans="1:73" ht="29.4" thickBot="1" x14ac:dyDescent="0.35">
      <c r="A11" s="294" t="s">
        <v>111</v>
      </c>
      <c r="B11" s="348" t="s">
        <v>80</v>
      </c>
      <c r="C11" s="333" t="s">
        <v>79</v>
      </c>
      <c r="D11" s="294">
        <f t="shared" si="0"/>
        <v>51</v>
      </c>
      <c r="E11" s="294">
        <f t="shared" si="1"/>
        <v>9</v>
      </c>
      <c r="F11" s="294">
        <f t="shared" si="2"/>
        <v>10</v>
      </c>
      <c r="G11" s="294">
        <f t="shared" si="3"/>
        <v>19</v>
      </c>
      <c r="H11" s="341">
        <f t="shared" si="4"/>
        <v>0.37254901960784315</v>
      </c>
      <c r="I11" s="294">
        <f t="shared" si="5"/>
        <v>-10</v>
      </c>
      <c r="J11" s="294">
        <f t="shared" si="6"/>
        <v>25</v>
      </c>
      <c r="K11" s="294">
        <f t="shared" si="7"/>
        <v>35</v>
      </c>
      <c r="L11" s="341">
        <f t="shared" si="8"/>
        <v>-0.19607843137254902</v>
      </c>
      <c r="M11" s="294">
        <f t="shared" si="9"/>
        <v>94</v>
      </c>
      <c r="N11" s="341">
        <f t="shared" si="10"/>
        <v>1.8431372549019607</v>
      </c>
      <c r="O11" s="294">
        <f t="shared" si="11"/>
        <v>79</v>
      </c>
      <c r="P11" s="333">
        <v>49</v>
      </c>
      <c r="Q11" s="334">
        <v>37.22013888888889</v>
      </c>
      <c r="R11" s="351">
        <v>9</v>
      </c>
      <c r="S11" s="333">
        <v>9</v>
      </c>
      <c r="T11" s="340">
        <v>18</v>
      </c>
      <c r="U11" s="341">
        <v>0.36734693877551022</v>
      </c>
      <c r="V11" s="339">
        <v>91</v>
      </c>
      <c r="W11" s="339">
        <v>14</v>
      </c>
      <c r="X11" s="339">
        <v>2</v>
      </c>
      <c r="Y11" s="339">
        <v>0</v>
      </c>
      <c r="Z11" s="339">
        <v>1</v>
      </c>
      <c r="AA11" s="333">
        <v>-9</v>
      </c>
      <c r="AB11" s="333">
        <v>23</v>
      </c>
      <c r="AC11" s="333">
        <v>32</v>
      </c>
      <c r="AD11" s="333">
        <v>79</v>
      </c>
      <c r="AE11" s="335">
        <v>0.75902777777777775</v>
      </c>
      <c r="AF11" s="342">
        <v>2</v>
      </c>
      <c r="AG11" s="352">
        <v>1.4472222222222222</v>
      </c>
      <c r="AH11" s="351">
        <v>0</v>
      </c>
      <c r="AI11" s="333">
        <v>1</v>
      </c>
      <c r="AJ11" s="333">
        <v>1</v>
      </c>
      <c r="AK11" s="339">
        <v>3</v>
      </c>
      <c r="AL11" s="339">
        <v>0</v>
      </c>
      <c r="AM11" s="339">
        <v>0</v>
      </c>
      <c r="AN11" s="339">
        <v>0</v>
      </c>
      <c r="AO11" s="339">
        <v>0</v>
      </c>
      <c r="AP11" s="333">
        <v>-1</v>
      </c>
      <c r="AQ11" s="333">
        <v>2</v>
      </c>
      <c r="AR11" s="333">
        <v>3</v>
      </c>
      <c r="AS11" s="333">
        <v>0</v>
      </c>
      <c r="AT11" s="335">
        <v>0.72361111111111109</v>
      </c>
    </row>
    <row r="12" spans="1:73" ht="29.4" thickBot="1" x14ac:dyDescent="0.35">
      <c r="A12" s="294" t="s">
        <v>124</v>
      </c>
      <c r="B12" s="348" t="s">
        <v>80</v>
      </c>
      <c r="C12" s="333" t="s">
        <v>79</v>
      </c>
      <c r="D12" s="294">
        <f t="shared" si="0"/>
        <v>49</v>
      </c>
      <c r="E12" s="294">
        <f t="shared" si="1"/>
        <v>14</v>
      </c>
      <c r="F12" s="294">
        <f t="shared" si="2"/>
        <v>26</v>
      </c>
      <c r="G12" s="294">
        <f t="shared" si="3"/>
        <v>40</v>
      </c>
      <c r="H12" s="341">
        <f t="shared" si="4"/>
        <v>0.81632653061224492</v>
      </c>
      <c r="I12" s="294">
        <f t="shared" si="5"/>
        <v>10</v>
      </c>
      <c r="J12" s="294">
        <f t="shared" si="6"/>
        <v>38</v>
      </c>
      <c r="K12" s="294">
        <f t="shared" si="7"/>
        <v>28</v>
      </c>
      <c r="L12" s="341">
        <f t="shared" si="8"/>
        <v>0.20408163265306123</v>
      </c>
      <c r="M12" s="294">
        <f t="shared" si="9"/>
        <v>166</v>
      </c>
      <c r="N12" s="341">
        <f t="shared" si="10"/>
        <v>3.3877551020408165</v>
      </c>
      <c r="O12" s="294">
        <f t="shared" si="11"/>
        <v>18</v>
      </c>
      <c r="P12" s="333">
        <v>47</v>
      </c>
      <c r="Q12" s="334">
        <v>35.908333333333331</v>
      </c>
      <c r="R12" s="351">
        <v>13</v>
      </c>
      <c r="S12" s="333">
        <v>21</v>
      </c>
      <c r="T12" s="340">
        <v>34</v>
      </c>
      <c r="U12" s="341">
        <v>0.72340425531914898</v>
      </c>
      <c r="V12" s="339">
        <v>164</v>
      </c>
      <c r="W12" s="339">
        <v>10</v>
      </c>
      <c r="X12" s="339">
        <v>5</v>
      </c>
      <c r="Y12" s="339">
        <v>1</v>
      </c>
      <c r="Z12" s="339">
        <v>1</v>
      </c>
      <c r="AA12" s="333">
        <v>4</v>
      </c>
      <c r="AB12" s="333">
        <v>32</v>
      </c>
      <c r="AC12" s="333">
        <v>28</v>
      </c>
      <c r="AD12" s="333">
        <v>16</v>
      </c>
      <c r="AE12" s="335">
        <v>0.76388888888888884</v>
      </c>
      <c r="AF12" s="342">
        <v>2</v>
      </c>
      <c r="AG12" s="352">
        <v>1.2659722222222223</v>
      </c>
      <c r="AH12" s="351">
        <v>1</v>
      </c>
      <c r="AI12" s="333">
        <v>5</v>
      </c>
      <c r="AJ12" s="333">
        <v>6</v>
      </c>
      <c r="AK12" s="339">
        <v>2</v>
      </c>
      <c r="AL12" s="339">
        <v>50</v>
      </c>
      <c r="AM12" s="339">
        <v>0</v>
      </c>
      <c r="AN12" s="339">
        <v>0</v>
      </c>
      <c r="AO12" s="339">
        <v>1</v>
      </c>
      <c r="AP12" s="333">
        <v>6</v>
      </c>
      <c r="AQ12" s="333">
        <v>6</v>
      </c>
      <c r="AR12" s="333">
        <v>0</v>
      </c>
      <c r="AS12" s="333">
        <v>2</v>
      </c>
      <c r="AT12" s="335">
        <v>0.63263888888888886</v>
      </c>
    </row>
    <row r="13" spans="1:73" ht="29.4" thickBot="1" x14ac:dyDescent="0.35">
      <c r="A13" s="294" t="s">
        <v>107</v>
      </c>
      <c r="B13" s="348" t="s">
        <v>80</v>
      </c>
      <c r="C13" s="333" t="s">
        <v>88</v>
      </c>
      <c r="D13" s="294">
        <f t="shared" si="0"/>
        <v>49</v>
      </c>
      <c r="E13" s="294">
        <f t="shared" si="1"/>
        <v>2</v>
      </c>
      <c r="F13" s="294">
        <f t="shared" si="2"/>
        <v>6</v>
      </c>
      <c r="G13" s="294">
        <f t="shared" si="3"/>
        <v>8</v>
      </c>
      <c r="H13" s="341">
        <f t="shared" si="4"/>
        <v>0.16326530612244897</v>
      </c>
      <c r="I13" s="294">
        <f t="shared" si="5"/>
        <v>10</v>
      </c>
      <c r="J13" s="294">
        <f t="shared" si="6"/>
        <v>39</v>
      </c>
      <c r="K13" s="294">
        <f t="shared" si="7"/>
        <v>29</v>
      </c>
      <c r="L13" s="341">
        <f t="shared" si="8"/>
        <v>0.20408163265306123</v>
      </c>
      <c r="M13" s="294">
        <f t="shared" si="9"/>
        <v>69</v>
      </c>
      <c r="N13" s="341">
        <f t="shared" si="10"/>
        <v>1.4081632653061225</v>
      </c>
      <c r="O13" s="294">
        <f t="shared" si="11"/>
        <v>30</v>
      </c>
      <c r="P13" s="333">
        <v>43</v>
      </c>
      <c r="Q13" s="334">
        <v>28.445833333333336</v>
      </c>
      <c r="R13" s="351">
        <v>2</v>
      </c>
      <c r="S13" s="333">
        <v>4</v>
      </c>
      <c r="T13" s="340">
        <v>6</v>
      </c>
      <c r="U13" s="341">
        <v>0.13953488372093023</v>
      </c>
      <c r="V13" s="339">
        <v>62</v>
      </c>
      <c r="W13" s="339">
        <v>5</v>
      </c>
      <c r="X13" s="339">
        <v>0</v>
      </c>
      <c r="Y13" s="339">
        <v>0</v>
      </c>
      <c r="Z13" s="339">
        <v>1</v>
      </c>
      <c r="AA13" s="333">
        <v>4</v>
      </c>
      <c r="AB13" s="333">
        <v>28</v>
      </c>
      <c r="AC13" s="333">
        <v>24</v>
      </c>
      <c r="AD13" s="333">
        <v>30</v>
      </c>
      <c r="AE13" s="335">
        <v>0.66111111111111109</v>
      </c>
      <c r="AF13" s="342">
        <v>6</v>
      </c>
      <c r="AG13" s="352">
        <v>5.103472222222222</v>
      </c>
      <c r="AH13" s="351">
        <v>0</v>
      </c>
      <c r="AI13" s="333">
        <v>2</v>
      </c>
      <c r="AJ13" s="333">
        <v>2</v>
      </c>
      <c r="AK13" s="339">
        <v>7</v>
      </c>
      <c r="AL13" s="339">
        <v>0</v>
      </c>
      <c r="AM13" s="339">
        <v>0</v>
      </c>
      <c r="AN13" s="339">
        <v>0</v>
      </c>
      <c r="AO13" s="339">
        <v>0</v>
      </c>
      <c r="AP13" s="333">
        <v>6</v>
      </c>
      <c r="AQ13" s="333">
        <v>11</v>
      </c>
      <c r="AR13" s="333">
        <v>5</v>
      </c>
      <c r="AS13" s="333">
        <v>0</v>
      </c>
      <c r="AT13" s="335">
        <v>0.85</v>
      </c>
    </row>
    <row r="14" spans="1:73" ht="29.4" thickBot="1" x14ac:dyDescent="0.35">
      <c r="A14" s="294" t="s">
        <v>112</v>
      </c>
      <c r="B14" s="348" t="s">
        <v>80</v>
      </c>
      <c r="C14" s="333" t="s">
        <v>79</v>
      </c>
      <c r="D14" s="294">
        <f t="shared" si="0"/>
        <v>47</v>
      </c>
      <c r="E14" s="294">
        <f t="shared" si="1"/>
        <v>14</v>
      </c>
      <c r="F14" s="294">
        <f t="shared" si="2"/>
        <v>5</v>
      </c>
      <c r="G14" s="294">
        <f t="shared" si="3"/>
        <v>19</v>
      </c>
      <c r="H14" s="341">
        <f t="shared" si="4"/>
        <v>0.40425531914893614</v>
      </c>
      <c r="I14" s="294">
        <f t="shared" si="5"/>
        <v>-4</v>
      </c>
      <c r="J14" s="294">
        <f t="shared" si="6"/>
        <v>21</v>
      </c>
      <c r="K14" s="294">
        <f t="shared" si="7"/>
        <v>25</v>
      </c>
      <c r="L14" s="341">
        <f t="shared" si="8"/>
        <v>-8.5106382978723402E-2</v>
      </c>
      <c r="M14" s="294">
        <f t="shared" si="9"/>
        <v>100</v>
      </c>
      <c r="N14" s="341">
        <f t="shared" si="10"/>
        <v>2.1276595744680851</v>
      </c>
      <c r="O14" s="294">
        <f t="shared" si="11"/>
        <v>16</v>
      </c>
      <c r="P14" s="333">
        <v>42</v>
      </c>
      <c r="Q14" s="334">
        <v>25.506944444444443</v>
      </c>
      <c r="R14" s="351">
        <v>14</v>
      </c>
      <c r="S14" s="333">
        <v>5</v>
      </c>
      <c r="T14" s="340">
        <v>19</v>
      </c>
      <c r="U14" s="341">
        <v>0.45238095238095238</v>
      </c>
      <c r="V14" s="339">
        <v>93</v>
      </c>
      <c r="W14" s="339">
        <v>19</v>
      </c>
      <c r="X14" s="339">
        <v>4</v>
      </c>
      <c r="Y14" s="339">
        <v>0</v>
      </c>
      <c r="Z14" s="339">
        <v>2</v>
      </c>
      <c r="AA14" s="333">
        <v>-1</v>
      </c>
      <c r="AB14" s="333">
        <v>19</v>
      </c>
      <c r="AC14" s="333">
        <v>20</v>
      </c>
      <c r="AD14" s="333">
        <v>16</v>
      </c>
      <c r="AE14" s="335">
        <v>0.6069444444444444</v>
      </c>
      <c r="AF14" s="342">
        <v>5</v>
      </c>
      <c r="AG14" s="352">
        <v>3.7847222222222219</v>
      </c>
      <c r="AH14" s="351">
        <v>0</v>
      </c>
      <c r="AI14" s="333">
        <v>0</v>
      </c>
      <c r="AJ14" s="333">
        <v>0</v>
      </c>
      <c r="AK14" s="339">
        <v>7</v>
      </c>
      <c r="AL14" s="339">
        <v>0</v>
      </c>
      <c r="AM14" s="339">
        <v>0</v>
      </c>
      <c r="AN14" s="339">
        <v>0</v>
      </c>
      <c r="AO14" s="339">
        <v>0</v>
      </c>
      <c r="AP14" s="333">
        <v>-3</v>
      </c>
      <c r="AQ14" s="333">
        <v>2</v>
      </c>
      <c r="AR14" s="333">
        <v>5</v>
      </c>
      <c r="AS14" s="333">
        <v>0</v>
      </c>
      <c r="AT14" s="335">
        <v>0.75694444444444453</v>
      </c>
    </row>
    <row r="15" spans="1:73" ht="29.4" thickBot="1" x14ac:dyDescent="0.35">
      <c r="A15" s="294" t="s">
        <v>117</v>
      </c>
      <c r="B15" s="348" t="s">
        <v>80</v>
      </c>
      <c r="C15" s="333" t="s">
        <v>79</v>
      </c>
      <c r="D15" s="294">
        <f t="shared" si="0"/>
        <v>44</v>
      </c>
      <c r="E15" s="294">
        <f t="shared" si="1"/>
        <v>11</v>
      </c>
      <c r="F15" s="294">
        <f t="shared" si="2"/>
        <v>13</v>
      </c>
      <c r="G15" s="294">
        <f t="shared" si="3"/>
        <v>24</v>
      </c>
      <c r="H15" s="341">
        <f t="shared" si="4"/>
        <v>0.54545454545454541</v>
      </c>
      <c r="I15" s="294">
        <f t="shared" si="5"/>
        <v>3</v>
      </c>
      <c r="J15" s="294">
        <f t="shared" si="6"/>
        <v>31</v>
      </c>
      <c r="K15" s="294">
        <f t="shared" si="7"/>
        <v>28</v>
      </c>
      <c r="L15" s="341">
        <f t="shared" si="8"/>
        <v>6.8181818181818177E-2</v>
      </c>
      <c r="M15" s="294">
        <f t="shared" si="9"/>
        <v>116</v>
      </c>
      <c r="N15" s="341">
        <f t="shared" si="10"/>
        <v>2.6363636363636362</v>
      </c>
      <c r="O15" s="294">
        <f t="shared" si="11"/>
        <v>34</v>
      </c>
      <c r="P15" s="333">
        <v>44</v>
      </c>
      <c r="Q15" s="334">
        <v>32.921527777777776</v>
      </c>
      <c r="R15" s="351">
        <v>11</v>
      </c>
      <c r="S15" s="333">
        <v>13</v>
      </c>
      <c r="T15" s="340">
        <v>24</v>
      </c>
      <c r="U15" s="341">
        <v>0.54545454545454541</v>
      </c>
      <c r="V15" s="339">
        <v>116</v>
      </c>
      <c r="W15" s="339">
        <v>13</v>
      </c>
      <c r="X15" s="339">
        <v>4</v>
      </c>
      <c r="Y15" s="339">
        <v>0</v>
      </c>
      <c r="Z15" s="339">
        <v>2</v>
      </c>
      <c r="AA15" s="333">
        <v>3</v>
      </c>
      <c r="AB15" s="333">
        <v>31</v>
      </c>
      <c r="AC15" s="333">
        <v>28</v>
      </c>
      <c r="AD15" s="333">
        <v>34</v>
      </c>
      <c r="AE15" s="335">
        <v>0.74791666666666667</v>
      </c>
      <c r="AG15" s="346"/>
      <c r="AH15" s="346"/>
      <c r="AI15" s="349"/>
      <c r="AJ15" s="349"/>
      <c r="AK15" s="346"/>
      <c r="AL15" s="346"/>
      <c r="AM15" s="346"/>
      <c r="AN15" s="346"/>
      <c r="AO15" s="346"/>
      <c r="AP15" s="349"/>
      <c r="AQ15" s="349"/>
      <c r="AR15" s="349"/>
      <c r="AS15" s="349"/>
      <c r="AT15" s="349"/>
    </row>
    <row r="16" spans="1:73" ht="29.4" thickBot="1" x14ac:dyDescent="0.35">
      <c r="A16" s="294" t="s">
        <v>1170</v>
      </c>
      <c r="B16" s="348" t="s">
        <v>80</v>
      </c>
      <c r="C16" s="333" t="s">
        <v>79</v>
      </c>
      <c r="D16" s="294">
        <f t="shared" si="0"/>
        <v>37</v>
      </c>
      <c r="E16" s="294">
        <f t="shared" si="1"/>
        <v>8</v>
      </c>
      <c r="F16" s="294">
        <f t="shared" si="2"/>
        <v>8</v>
      </c>
      <c r="G16" s="294">
        <f t="shared" si="3"/>
        <v>16</v>
      </c>
      <c r="H16" s="341">
        <f t="shared" si="4"/>
        <v>0.43243243243243246</v>
      </c>
      <c r="I16" s="294">
        <f t="shared" si="5"/>
        <v>4</v>
      </c>
      <c r="J16" s="294">
        <f t="shared" si="6"/>
        <v>19</v>
      </c>
      <c r="K16" s="294">
        <f t="shared" si="7"/>
        <v>15</v>
      </c>
      <c r="L16" s="341">
        <f t="shared" si="8"/>
        <v>0.10810810810810811</v>
      </c>
      <c r="M16" s="294">
        <f t="shared" si="9"/>
        <v>82</v>
      </c>
      <c r="N16" s="341">
        <f t="shared" si="10"/>
        <v>2.2162162162162162</v>
      </c>
      <c r="O16" s="294">
        <f t="shared" si="11"/>
        <v>2</v>
      </c>
      <c r="P16" s="333">
        <v>31</v>
      </c>
      <c r="Q16" s="334">
        <v>14.083333333333334</v>
      </c>
      <c r="R16" s="351">
        <v>3</v>
      </c>
      <c r="S16" s="333">
        <v>4</v>
      </c>
      <c r="T16" s="340">
        <v>7</v>
      </c>
      <c r="U16" s="341">
        <v>0.22580645161290322</v>
      </c>
      <c r="V16" s="339">
        <v>58</v>
      </c>
      <c r="W16" s="339">
        <v>7</v>
      </c>
      <c r="X16" s="339">
        <v>0</v>
      </c>
      <c r="Y16" s="339">
        <v>0</v>
      </c>
      <c r="Z16" s="339">
        <v>0</v>
      </c>
      <c r="AA16" s="333">
        <v>0</v>
      </c>
      <c r="AB16" s="333">
        <v>11</v>
      </c>
      <c r="AC16" s="333">
        <v>11</v>
      </c>
      <c r="AD16" s="333">
        <v>2</v>
      </c>
      <c r="AE16" s="335">
        <v>0.45416666666666666</v>
      </c>
      <c r="AF16" s="342">
        <v>6</v>
      </c>
      <c r="AG16" s="352">
        <v>4.7270833333333337</v>
      </c>
      <c r="AH16" s="351">
        <v>5</v>
      </c>
      <c r="AI16" s="333">
        <v>4</v>
      </c>
      <c r="AJ16" s="333">
        <v>9</v>
      </c>
      <c r="AK16" s="339">
        <v>24</v>
      </c>
      <c r="AL16" s="339">
        <v>23</v>
      </c>
      <c r="AM16" s="339">
        <v>1</v>
      </c>
      <c r="AN16" s="339">
        <v>0</v>
      </c>
      <c r="AO16" s="339">
        <v>2</v>
      </c>
      <c r="AP16" s="333">
        <v>4</v>
      </c>
      <c r="AQ16" s="333">
        <v>8</v>
      </c>
      <c r="AR16" s="333">
        <v>4</v>
      </c>
      <c r="AS16" s="333">
        <v>0</v>
      </c>
      <c r="AT16" s="335">
        <v>0.78749999999999998</v>
      </c>
    </row>
    <row r="17" spans="1:46" ht="29.4" thickBot="1" x14ac:dyDescent="0.35">
      <c r="A17" s="294" t="s">
        <v>105</v>
      </c>
      <c r="B17" s="348" t="s">
        <v>80</v>
      </c>
      <c r="C17" s="333" t="s">
        <v>88</v>
      </c>
      <c r="D17" s="294">
        <f t="shared" si="0"/>
        <v>37</v>
      </c>
      <c r="E17" s="294">
        <f t="shared" si="1"/>
        <v>0</v>
      </c>
      <c r="F17" s="294">
        <f t="shared" si="2"/>
        <v>2</v>
      </c>
      <c r="G17" s="294">
        <f t="shared" si="3"/>
        <v>2</v>
      </c>
      <c r="H17" s="341">
        <f t="shared" si="4"/>
        <v>5.4054054054054057E-2</v>
      </c>
      <c r="I17" s="294">
        <f t="shared" si="5"/>
        <v>-6</v>
      </c>
      <c r="J17" s="294">
        <f t="shared" si="6"/>
        <v>17</v>
      </c>
      <c r="K17" s="294">
        <f t="shared" si="7"/>
        <v>23</v>
      </c>
      <c r="L17" s="341">
        <f t="shared" si="8"/>
        <v>-0.16216216216216217</v>
      </c>
      <c r="M17" s="294">
        <f t="shared" si="9"/>
        <v>83</v>
      </c>
      <c r="N17" s="341">
        <f t="shared" si="10"/>
        <v>2.2432432432432434</v>
      </c>
      <c r="O17" s="294">
        <f t="shared" si="11"/>
        <v>60</v>
      </c>
      <c r="P17" s="333">
        <v>37</v>
      </c>
      <c r="Q17" s="334">
        <v>30.774305555555557</v>
      </c>
      <c r="R17" s="351">
        <v>0</v>
      </c>
      <c r="S17" s="333">
        <v>2</v>
      </c>
      <c r="T17" s="340">
        <v>2</v>
      </c>
      <c r="U17" s="341">
        <v>5.4054054054054057E-2</v>
      </c>
      <c r="V17" s="339">
        <v>83</v>
      </c>
      <c r="W17" s="339">
        <v>0</v>
      </c>
      <c r="X17" s="339">
        <v>0</v>
      </c>
      <c r="Y17" s="339">
        <v>0</v>
      </c>
      <c r="Z17" s="339">
        <v>0</v>
      </c>
      <c r="AA17" s="333">
        <v>-6</v>
      </c>
      <c r="AB17" s="333">
        <v>17</v>
      </c>
      <c r="AC17" s="333">
        <v>23</v>
      </c>
      <c r="AD17" s="333">
        <v>60</v>
      </c>
      <c r="AE17" s="335">
        <v>0.83124999999999993</v>
      </c>
      <c r="AG17" s="346"/>
      <c r="AH17" s="346"/>
      <c r="AI17" s="349"/>
      <c r="AJ17" s="349"/>
      <c r="AK17" s="346"/>
      <c r="AL17" s="346"/>
      <c r="AM17" s="346"/>
      <c r="AN17" s="346"/>
      <c r="AO17" s="346"/>
      <c r="AP17" s="349"/>
      <c r="AQ17" s="349"/>
      <c r="AR17" s="349"/>
      <c r="AS17" s="349"/>
      <c r="AT17" s="349"/>
    </row>
    <row r="18" spans="1:46" ht="29.4" thickBot="1" x14ac:dyDescent="0.35">
      <c r="A18" s="294" t="s">
        <v>108</v>
      </c>
      <c r="B18" s="348" t="s">
        <v>80</v>
      </c>
      <c r="C18" s="333" t="s">
        <v>79</v>
      </c>
      <c r="D18" s="294">
        <f t="shared" si="0"/>
        <v>35</v>
      </c>
      <c r="E18" s="294">
        <f t="shared" si="1"/>
        <v>6</v>
      </c>
      <c r="F18" s="294">
        <f t="shared" si="2"/>
        <v>11</v>
      </c>
      <c r="G18" s="294">
        <f t="shared" si="3"/>
        <v>17</v>
      </c>
      <c r="H18" s="341">
        <f t="shared" si="4"/>
        <v>0.48571428571428571</v>
      </c>
      <c r="I18" s="294">
        <f t="shared" si="5"/>
        <v>0</v>
      </c>
      <c r="J18" s="294">
        <f t="shared" si="6"/>
        <v>19</v>
      </c>
      <c r="K18" s="294">
        <f t="shared" si="7"/>
        <v>19</v>
      </c>
      <c r="L18" s="341">
        <f t="shared" si="8"/>
        <v>0</v>
      </c>
      <c r="M18" s="294">
        <f t="shared" si="9"/>
        <v>53</v>
      </c>
      <c r="N18" s="341">
        <f t="shared" si="10"/>
        <v>1.5142857142857142</v>
      </c>
      <c r="O18" s="294">
        <f t="shared" si="11"/>
        <v>6</v>
      </c>
      <c r="P18" s="333">
        <v>35</v>
      </c>
      <c r="Q18" s="334">
        <v>26.552083333333332</v>
      </c>
      <c r="R18" s="351">
        <v>6</v>
      </c>
      <c r="S18" s="333">
        <v>11</v>
      </c>
      <c r="T18" s="340">
        <v>17</v>
      </c>
      <c r="U18" s="341">
        <v>0.48571428571428571</v>
      </c>
      <c r="V18" s="339">
        <v>53</v>
      </c>
      <c r="W18" s="339">
        <v>15</v>
      </c>
      <c r="X18" s="339">
        <v>1</v>
      </c>
      <c r="Y18" s="339">
        <v>2</v>
      </c>
      <c r="Z18" s="339">
        <v>1</v>
      </c>
      <c r="AA18" s="333">
        <v>0</v>
      </c>
      <c r="AB18" s="333">
        <v>19</v>
      </c>
      <c r="AC18" s="333">
        <v>19</v>
      </c>
      <c r="AD18" s="333">
        <v>6</v>
      </c>
      <c r="AE18" s="335">
        <v>0.7583333333333333</v>
      </c>
      <c r="AG18" s="346"/>
      <c r="AH18" s="346"/>
      <c r="AI18" s="349"/>
      <c r="AJ18" s="349"/>
      <c r="AK18" s="346"/>
      <c r="AL18" s="346"/>
      <c r="AM18" s="346"/>
      <c r="AN18" s="346"/>
      <c r="AO18" s="346"/>
      <c r="AP18" s="349"/>
      <c r="AQ18" s="349"/>
      <c r="AR18" s="349"/>
      <c r="AS18" s="349"/>
      <c r="AT18" s="349"/>
    </row>
    <row r="19" spans="1:46" ht="29.4" thickBot="1" x14ac:dyDescent="0.35">
      <c r="A19" s="294" t="s">
        <v>1166</v>
      </c>
      <c r="B19" s="348" t="s">
        <v>80</v>
      </c>
      <c r="C19" s="333" t="s">
        <v>79</v>
      </c>
      <c r="D19" s="294">
        <f t="shared" si="0"/>
        <v>32</v>
      </c>
      <c r="E19" s="294">
        <f t="shared" si="1"/>
        <v>9</v>
      </c>
      <c r="F19" s="294">
        <f t="shared" si="2"/>
        <v>13</v>
      </c>
      <c r="G19" s="294">
        <f t="shared" si="3"/>
        <v>22</v>
      </c>
      <c r="H19" s="341">
        <f t="shared" si="4"/>
        <v>0.6875</v>
      </c>
      <c r="I19" s="294">
        <f t="shared" si="5"/>
        <v>-5</v>
      </c>
      <c r="J19" s="294">
        <f t="shared" si="6"/>
        <v>19</v>
      </c>
      <c r="K19" s="294">
        <f t="shared" si="7"/>
        <v>24</v>
      </c>
      <c r="L19" s="341">
        <f t="shared" si="8"/>
        <v>-0.15625</v>
      </c>
      <c r="M19" s="294">
        <f t="shared" si="9"/>
        <v>113</v>
      </c>
      <c r="N19" s="341">
        <f t="shared" si="10"/>
        <v>3.53125</v>
      </c>
      <c r="O19" s="294">
        <f t="shared" si="11"/>
        <v>14</v>
      </c>
      <c r="P19" s="333">
        <v>29</v>
      </c>
      <c r="Q19" s="334">
        <v>21.383333333333336</v>
      </c>
      <c r="R19" s="351">
        <v>9</v>
      </c>
      <c r="S19" s="333">
        <v>11</v>
      </c>
      <c r="T19" s="340">
        <v>20</v>
      </c>
      <c r="U19" s="341">
        <v>0.68965517241379315</v>
      </c>
      <c r="V19" s="339">
        <v>109</v>
      </c>
      <c r="W19" s="339">
        <v>13</v>
      </c>
      <c r="X19" s="339">
        <v>1</v>
      </c>
      <c r="Y19" s="339">
        <v>0</v>
      </c>
      <c r="Z19" s="339">
        <v>4</v>
      </c>
      <c r="AA19" s="333">
        <v>-5</v>
      </c>
      <c r="AB19" s="333">
        <v>18</v>
      </c>
      <c r="AC19" s="333">
        <v>23</v>
      </c>
      <c r="AD19" s="333">
        <v>12</v>
      </c>
      <c r="AE19" s="335">
        <v>0.7368055555555556</v>
      </c>
      <c r="AF19" s="342">
        <v>3</v>
      </c>
      <c r="AG19" s="352">
        <v>1.8041666666666665</v>
      </c>
      <c r="AH19" s="351">
        <v>0</v>
      </c>
      <c r="AI19" s="333">
        <v>2</v>
      </c>
      <c r="AJ19" s="333">
        <v>2</v>
      </c>
      <c r="AK19" s="339">
        <v>4</v>
      </c>
      <c r="AL19" s="339">
        <v>0</v>
      </c>
      <c r="AM19" s="339">
        <v>0</v>
      </c>
      <c r="AN19" s="339">
        <v>0</v>
      </c>
      <c r="AO19" s="339">
        <v>0</v>
      </c>
      <c r="AP19" s="333">
        <v>0</v>
      </c>
      <c r="AQ19" s="333">
        <v>1</v>
      </c>
      <c r="AR19" s="333">
        <v>1</v>
      </c>
      <c r="AS19" s="333">
        <v>2</v>
      </c>
      <c r="AT19" s="335">
        <v>0.60138888888888886</v>
      </c>
    </row>
    <row r="20" spans="1:46" ht="29.4" thickBot="1" x14ac:dyDescent="0.35">
      <c r="A20" s="294" t="s">
        <v>83</v>
      </c>
      <c r="B20" s="348" t="s">
        <v>80</v>
      </c>
      <c r="C20" s="333" t="s">
        <v>79</v>
      </c>
      <c r="D20" s="294">
        <f t="shared" si="0"/>
        <v>31</v>
      </c>
      <c r="E20" s="294">
        <f t="shared" si="1"/>
        <v>1</v>
      </c>
      <c r="F20" s="294">
        <f t="shared" si="2"/>
        <v>6</v>
      </c>
      <c r="G20" s="294">
        <f t="shared" si="3"/>
        <v>7</v>
      </c>
      <c r="H20" s="341">
        <f t="shared" si="4"/>
        <v>0.22580645161290322</v>
      </c>
      <c r="I20" s="294">
        <f t="shared" si="5"/>
        <v>-4</v>
      </c>
      <c r="J20" s="294">
        <f t="shared" si="6"/>
        <v>10</v>
      </c>
      <c r="K20" s="294">
        <f t="shared" si="7"/>
        <v>14</v>
      </c>
      <c r="L20" s="341">
        <f t="shared" si="8"/>
        <v>-0.12903225806451613</v>
      </c>
      <c r="M20" s="294">
        <f t="shared" si="9"/>
        <v>31</v>
      </c>
      <c r="N20" s="341">
        <f t="shared" si="10"/>
        <v>1</v>
      </c>
      <c r="O20" s="294">
        <f t="shared" si="11"/>
        <v>20</v>
      </c>
      <c r="P20" s="333">
        <v>25</v>
      </c>
      <c r="Q20" s="334">
        <v>7.7791666666666659</v>
      </c>
      <c r="R20" s="351">
        <v>0</v>
      </c>
      <c r="S20" s="333">
        <v>3</v>
      </c>
      <c r="T20" s="340">
        <v>3</v>
      </c>
      <c r="U20" s="341">
        <v>0.12</v>
      </c>
      <c r="V20" s="339">
        <v>22</v>
      </c>
      <c r="W20" s="339">
        <v>0</v>
      </c>
      <c r="X20" s="339">
        <v>0</v>
      </c>
      <c r="Y20" s="339">
        <v>0</v>
      </c>
      <c r="Z20" s="339">
        <v>0</v>
      </c>
      <c r="AA20" s="333">
        <v>-6</v>
      </c>
      <c r="AB20" s="333">
        <v>5</v>
      </c>
      <c r="AC20" s="333">
        <v>11</v>
      </c>
      <c r="AD20" s="333">
        <v>14</v>
      </c>
      <c r="AE20" s="335">
        <v>0.31111111111111112</v>
      </c>
      <c r="AF20" s="339">
        <v>6</v>
      </c>
      <c r="AG20" s="352">
        <v>3.1631944444444446</v>
      </c>
      <c r="AH20" s="351">
        <v>1</v>
      </c>
      <c r="AI20" s="333">
        <v>3</v>
      </c>
      <c r="AJ20" s="333">
        <v>4</v>
      </c>
      <c r="AK20" s="339">
        <v>9</v>
      </c>
      <c r="AL20" s="339">
        <v>33</v>
      </c>
      <c r="AM20" s="339">
        <v>0</v>
      </c>
      <c r="AN20" s="339">
        <v>0</v>
      </c>
      <c r="AO20" s="339">
        <v>0</v>
      </c>
      <c r="AP20" s="333">
        <v>2</v>
      </c>
      <c r="AQ20" s="333">
        <v>5</v>
      </c>
      <c r="AR20" s="333">
        <v>3</v>
      </c>
      <c r="AS20" s="333">
        <v>6</v>
      </c>
      <c r="AT20" s="335">
        <v>0.52708333333333335</v>
      </c>
    </row>
    <row r="21" spans="1:46" ht="29.4" thickBot="1" x14ac:dyDescent="0.35">
      <c r="A21" s="294" t="s">
        <v>118</v>
      </c>
      <c r="B21" s="348" t="s">
        <v>80</v>
      </c>
      <c r="C21" s="333" t="s">
        <v>88</v>
      </c>
      <c r="D21" s="294">
        <f t="shared" si="0"/>
        <v>30</v>
      </c>
      <c r="E21" s="294">
        <f t="shared" si="1"/>
        <v>1</v>
      </c>
      <c r="F21" s="294">
        <f t="shared" si="2"/>
        <v>1</v>
      </c>
      <c r="G21" s="294">
        <f t="shared" si="3"/>
        <v>2</v>
      </c>
      <c r="H21" s="341">
        <f t="shared" si="4"/>
        <v>6.6666666666666666E-2</v>
      </c>
      <c r="I21" s="294">
        <f t="shared" si="5"/>
        <v>-7</v>
      </c>
      <c r="J21" s="294">
        <f t="shared" si="6"/>
        <v>15</v>
      </c>
      <c r="K21" s="294">
        <f t="shared" si="7"/>
        <v>22</v>
      </c>
      <c r="L21" s="341">
        <f t="shared" si="8"/>
        <v>-0.23333333333333334</v>
      </c>
      <c r="M21" s="294">
        <f t="shared" si="9"/>
        <v>73</v>
      </c>
      <c r="N21" s="341">
        <f t="shared" si="10"/>
        <v>2.4333333333333331</v>
      </c>
      <c r="O21" s="294">
        <f t="shared" si="11"/>
        <v>20</v>
      </c>
      <c r="P21" s="333">
        <v>27</v>
      </c>
      <c r="Q21" s="334">
        <v>21.769444444444446</v>
      </c>
      <c r="R21" s="351">
        <v>1</v>
      </c>
      <c r="S21" s="333">
        <v>1</v>
      </c>
      <c r="T21" s="340">
        <v>2</v>
      </c>
      <c r="U21" s="341">
        <v>7.407407407407407E-2</v>
      </c>
      <c r="V21" s="339">
        <v>68</v>
      </c>
      <c r="W21" s="339">
        <v>2</v>
      </c>
      <c r="X21" s="339">
        <v>0</v>
      </c>
      <c r="Y21" s="339">
        <v>0</v>
      </c>
      <c r="Z21" s="339">
        <v>0</v>
      </c>
      <c r="AA21" s="333">
        <v>-7</v>
      </c>
      <c r="AB21" s="333">
        <v>12</v>
      </c>
      <c r="AC21" s="333">
        <v>19</v>
      </c>
      <c r="AD21" s="333">
        <v>18</v>
      </c>
      <c r="AE21" s="335">
        <v>0.80625000000000002</v>
      </c>
      <c r="AF21" s="342">
        <v>3</v>
      </c>
      <c r="AG21" s="352">
        <v>1.9270833333333333</v>
      </c>
      <c r="AH21" s="351">
        <v>0</v>
      </c>
      <c r="AI21" s="333">
        <v>0</v>
      </c>
      <c r="AJ21" s="333">
        <v>0</v>
      </c>
      <c r="AK21" s="339">
        <v>5</v>
      </c>
      <c r="AL21" s="339">
        <v>0</v>
      </c>
      <c r="AM21" s="339">
        <v>0</v>
      </c>
      <c r="AN21" s="339">
        <v>0</v>
      </c>
      <c r="AO21" s="339">
        <v>0</v>
      </c>
      <c r="AP21" s="333">
        <v>0</v>
      </c>
      <c r="AQ21" s="333">
        <v>3</v>
      </c>
      <c r="AR21" s="333">
        <v>3</v>
      </c>
      <c r="AS21" s="333">
        <v>2</v>
      </c>
      <c r="AT21" s="335">
        <v>0.64236111111111105</v>
      </c>
    </row>
    <row r="22" spans="1:46" ht="29.4" thickBot="1" x14ac:dyDescent="0.35">
      <c r="A22" s="294" t="s">
        <v>1168</v>
      </c>
      <c r="B22" s="348" t="s">
        <v>80</v>
      </c>
      <c r="C22" s="333" t="s">
        <v>88</v>
      </c>
      <c r="D22" s="294">
        <f t="shared" si="0"/>
        <v>30</v>
      </c>
      <c r="E22" s="294">
        <f t="shared" si="1"/>
        <v>0</v>
      </c>
      <c r="F22" s="294">
        <f t="shared" si="2"/>
        <v>2</v>
      </c>
      <c r="G22" s="294">
        <f t="shared" si="3"/>
        <v>2</v>
      </c>
      <c r="H22" s="341">
        <f t="shared" si="4"/>
        <v>6.6666666666666666E-2</v>
      </c>
      <c r="I22" s="294">
        <f t="shared" si="5"/>
        <v>-3</v>
      </c>
      <c r="J22" s="294">
        <f t="shared" si="6"/>
        <v>11</v>
      </c>
      <c r="K22" s="294">
        <f t="shared" si="7"/>
        <v>14</v>
      </c>
      <c r="L22" s="341">
        <f t="shared" si="8"/>
        <v>-0.1</v>
      </c>
      <c r="M22" s="294">
        <f t="shared" si="9"/>
        <v>48</v>
      </c>
      <c r="N22" s="341">
        <f t="shared" si="10"/>
        <v>1.6</v>
      </c>
      <c r="O22" s="294">
        <f t="shared" si="11"/>
        <v>20</v>
      </c>
      <c r="P22" s="333">
        <v>30</v>
      </c>
      <c r="Q22" s="334">
        <v>19.898611111111112</v>
      </c>
      <c r="R22" s="351">
        <v>0</v>
      </c>
      <c r="S22" s="333">
        <v>2</v>
      </c>
      <c r="T22" s="340">
        <v>2</v>
      </c>
      <c r="U22" s="341">
        <v>6.6666666666666666E-2</v>
      </c>
      <c r="V22" s="339">
        <v>48</v>
      </c>
      <c r="W22" s="339">
        <v>0</v>
      </c>
      <c r="X22" s="339">
        <v>0</v>
      </c>
      <c r="Y22" s="339">
        <v>0</v>
      </c>
      <c r="Z22" s="339">
        <v>0</v>
      </c>
      <c r="AA22" s="333">
        <v>-3</v>
      </c>
      <c r="AB22" s="333">
        <v>11</v>
      </c>
      <c r="AC22" s="333">
        <v>14</v>
      </c>
      <c r="AD22" s="333">
        <v>20</v>
      </c>
      <c r="AE22" s="335">
        <v>0.66319444444444442</v>
      </c>
      <c r="AF22" s="346"/>
      <c r="AG22" s="346"/>
      <c r="AH22" s="346"/>
      <c r="AI22" s="349"/>
      <c r="AJ22" s="349"/>
      <c r="AK22" s="346"/>
      <c r="AL22" s="346"/>
      <c r="AM22" s="346"/>
      <c r="AN22" s="346"/>
      <c r="AO22" s="346"/>
      <c r="AP22" s="349"/>
      <c r="AQ22" s="349"/>
      <c r="AR22" s="349"/>
      <c r="AS22" s="349"/>
      <c r="AT22" s="349"/>
    </row>
    <row r="23" spans="1:46" ht="29.4" thickBot="1" x14ac:dyDescent="0.35">
      <c r="A23" s="294" t="s">
        <v>82</v>
      </c>
      <c r="B23" s="348" t="s">
        <v>80</v>
      </c>
      <c r="C23" s="333" t="s">
        <v>79</v>
      </c>
      <c r="D23" s="294">
        <f t="shared" si="0"/>
        <v>27</v>
      </c>
      <c r="E23" s="294">
        <f t="shared" si="1"/>
        <v>5</v>
      </c>
      <c r="F23" s="294">
        <f t="shared" si="2"/>
        <v>0</v>
      </c>
      <c r="G23" s="294">
        <f t="shared" si="3"/>
        <v>5</v>
      </c>
      <c r="H23" s="341">
        <f t="shared" si="4"/>
        <v>0.18518518518518517</v>
      </c>
      <c r="I23" s="294">
        <f t="shared" si="5"/>
        <v>-3</v>
      </c>
      <c r="J23" s="294">
        <f t="shared" si="6"/>
        <v>8</v>
      </c>
      <c r="K23" s="294">
        <f t="shared" si="7"/>
        <v>11</v>
      </c>
      <c r="L23" s="341">
        <f t="shared" si="8"/>
        <v>-0.1111111111111111</v>
      </c>
      <c r="M23" s="294">
        <f t="shared" si="9"/>
        <v>25</v>
      </c>
      <c r="N23" s="341">
        <f t="shared" si="10"/>
        <v>0.92592592592592593</v>
      </c>
      <c r="O23" s="294">
        <f t="shared" si="11"/>
        <v>4</v>
      </c>
      <c r="P23" s="333">
        <v>21</v>
      </c>
      <c r="Q23" s="334">
        <v>5.9236111111111107</v>
      </c>
      <c r="R23" s="351">
        <v>2</v>
      </c>
      <c r="S23" s="333">
        <v>0</v>
      </c>
      <c r="T23" s="340">
        <v>2</v>
      </c>
      <c r="U23" s="341">
        <v>9.5238095238095233E-2</v>
      </c>
      <c r="V23" s="339">
        <v>15</v>
      </c>
      <c r="W23" s="339">
        <v>17</v>
      </c>
      <c r="X23" s="339">
        <v>0</v>
      </c>
      <c r="Y23" s="339">
        <v>0</v>
      </c>
      <c r="Z23" s="339">
        <v>0</v>
      </c>
      <c r="AA23" s="333">
        <v>-5</v>
      </c>
      <c r="AB23" s="333">
        <v>3</v>
      </c>
      <c r="AC23" s="333">
        <v>8</v>
      </c>
      <c r="AD23" s="333">
        <v>4</v>
      </c>
      <c r="AE23" s="335">
        <v>0.28194444444444444</v>
      </c>
      <c r="AF23" s="339">
        <v>6</v>
      </c>
      <c r="AG23" s="352">
        <v>3.1958333333333333</v>
      </c>
      <c r="AH23" s="351">
        <v>3</v>
      </c>
      <c r="AI23" s="333">
        <v>0</v>
      </c>
      <c r="AJ23" s="333">
        <v>3</v>
      </c>
      <c r="AK23" s="339">
        <v>10</v>
      </c>
      <c r="AL23" s="339">
        <v>30</v>
      </c>
      <c r="AM23" s="339">
        <v>0</v>
      </c>
      <c r="AN23" s="339">
        <v>0</v>
      </c>
      <c r="AO23" s="339">
        <v>0</v>
      </c>
      <c r="AP23" s="333">
        <v>2</v>
      </c>
      <c r="AQ23" s="333">
        <v>5</v>
      </c>
      <c r="AR23" s="333">
        <v>3</v>
      </c>
      <c r="AS23" s="333">
        <v>0</v>
      </c>
      <c r="AT23" s="335">
        <v>0.53263888888888888</v>
      </c>
    </row>
    <row r="24" spans="1:46" ht="29.4" thickBot="1" x14ac:dyDescent="0.35">
      <c r="A24" s="294" t="s">
        <v>99</v>
      </c>
      <c r="B24" s="348" t="s">
        <v>80</v>
      </c>
      <c r="C24" s="333" t="s">
        <v>88</v>
      </c>
      <c r="D24" s="294">
        <f t="shared" si="0"/>
        <v>25</v>
      </c>
      <c r="E24" s="294">
        <f t="shared" si="1"/>
        <v>0</v>
      </c>
      <c r="F24" s="294">
        <f t="shared" si="2"/>
        <v>1</v>
      </c>
      <c r="G24" s="294">
        <f t="shared" si="3"/>
        <v>1</v>
      </c>
      <c r="H24" s="341">
        <f t="shared" si="4"/>
        <v>0.04</v>
      </c>
      <c r="I24" s="294">
        <f t="shared" si="5"/>
        <v>2</v>
      </c>
      <c r="J24" s="294">
        <f t="shared" si="6"/>
        <v>10</v>
      </c>
      <c r="K24" s="294">
        <f t="shared" si="7"/>
        <v>8</v>
      </c>
      <c r="L24" s="341">
        <f t="shared" si="8"/>
        <v>0.08</v>
      </c>
      <c r="M24" s="294">
        <f t="shared" si="9"/>
        <v>19</v>
      </c>
      <c r="N24" s="341">
        <f t="shared" si="10"/>
        <v>0.76</v>
      </c>
      <c r="O24" s="294">
        <f t="shared" si="11"/>
        <v>8</v>
      </c>
      <c r="P24" s="333">
        <v>24</v>
      </c>
      <c r="Q24" s="334">
        <v>12.380555555555555</v>
      </c>
      <c r="R24" s="351">
        <v>0</v>
      </c>
      <c r="S24" s="333">
        <v>1</v>
      </c>
      <c r="T24" s="340">
        <v>1</v>
      </c>
      <c r="U24" s="341">
        <v>4.1666666666666664E-2</v>
      </c>
      <c r="V24" s="339">
        <v>17</v>
      </c>
      <c r="W24" s="339">
        <v>0</v>
      </c>
      <c r="X24" s="339">
        <v>0</v>
      </c>
      <c r="Y24" s="339">
        <v>0</v>
      </c>
      <c r="Z24" s="339">
        <v>0</v>
      </c>
      <c r="AA24" s="333">
        <v>1</v>
      </c>
      <c r="AB24" s="333">
        <v>9</v>
      </c>
      <c r="AC24" s="333">
        <v>8</v>
      </c>
      <c r="AD24" s="333">
        <v>8</v>
      </c>
      <c r="AE24" s="335">
        <v>0.51527777777777783</v>
      </c>
      <c r="AF24" s="339">
        <v>1</v>
      </c>
      <c r="AG24" s="350">
        <v>0.81736111111111109</v>
      </c>
      <c r="AH24" s="351">
        <v>0</v>
      </c>
      <c r="AI24" s="333">
        <v>0</v>
      </c>
      <c r="AJ24" s="333">
        <v>0</v>
      </c>
      <c r="AK24" s="339">
        <v>2</v>
      </c>
      <c r="AL24" s="339">
        <v>0</v>
      </c>
      <c r="AM24" s="339">
        <v>0</v>
      </c>
      <c r="AN24" s="339">
        <v>0</v>
      </c>
      <c r="AO24" s="339">
        <v>0</v>
      </c>
      <c r="AP24" s="333">
        <v>1</v>
      </c>
      <c r="AQ24" s="333">
        <v>1</v>
      </c>
      <c r="AR24" s="333">
        <v>0</v>
      </c>
      <c r="AS24" s="333">
        <v>0</v>
      </c>
      <c r="AT24" s="335">
        <v>0.81736111111111109</v>
      </c>
    </row>
    <row r="25" spans="1:46" ht="29.4" thickBot="1" x14ac:dyDescent="0.35">
      <c r="A25" s="294" t="s">
        <v>1172</v>
      </c>
      <c r="B25" s="348" t="s">
        <v>80</v>
      </c>
      <c r="C25" s="333" t="s">
        <v>88</v>
      </c>
      <c r="D25" s="294">
        <f t="shared" si="0"/>
        <v>25</v>
      </c>
      <c r="E25" s="294">
        <f t="shared" si="1"/>
        <v>0</v>
      </c>
      <c r="F25" s="294">
        <f t="shared" si="2"/>
        <v>0</v>
      </c>
      <c r="G25" s="294">
        <f t="shared" si="3"/>
        <v>0</v>
      </c>
      <c r="H25" s="341">
        <f t="shared" si="4"/>
        <v>0</v>
      </c>
      <c r="I25" s="294">
        <f t="shared" si="5"/>
        <v>-1</v>
      </c>
      <c r="J25" s="294">
        <f t="shared" si="6"/>
        <v>8</v>
      </c>
      <c r="K25" s="294">
        <f t="shared" si="7"/>
        <v>9</v>
      </c>
      <c r="L25" s="341">
        <f t="shared" si="8"/>
        <v>-0.04</v>
      </c>
      <c r="M25" s="294">
        <f t="shared" si="9"/>
        <v>30</v>
      </c>
      <c r="N25" s="341">
        <f t="shared" si="10"/>
        <v>1.2</v>
      </c>
      <c r="O25" s="294">
        <f t="shared" si="11"/>
        <v>12</v>
      </c>
      <c r="P25" s="333">
        <v>25</v>
      </c>
      <c r="Q25" s="334">
        <v>12.060416666666667</v>
      </c>
      <c r="R25" s="351">
        <v>0</v>
      </c>
      <c r="S25" s="333">
        <v>0</v>
      </c>
      <c r="T25" s="340">
        <v>0</v>
      </c>
      <c r="U25" s="341">
        <v>0</v>
      </c>
      <c r="V25" s="339">
        <v>30</v>
      </c>
      <c r="W25" s="339">
        <v>0</v>
      </c>
      <c r="X25" s="339">
        <v>0</v>
      </c>
      <c r="Y25" s="339">
        <v>0</v>
      </c>
      <c r="Z25" s="339">
        <v>0</v>
      </c>
      <c r="AA25" s="333">
        <v>-1</v>
      </c>
      <c r="AB25" s="333">
        <v>8</v>
      </c>
      <c r="AC25" s="333">
        <v>9</v>
      </c>
      <c r="AD25" s="333">
        <v>12</v>
      </c>
      <c r="AE25" s="335">
        <v>0.48194444444444445</v>
      </c>
      <c r="AF25" s="346"/>
      <c r="AG25" s="346"/>
      <c r="AH25" s="346"/>
      <c r="AI25" s="349"/>
      <c r="AJ25" s="349"/>
      <c r="AK25" s="346"/>
      <c r="AL25" s="346"/>
      <c r="AM25" s="346"/>
      <c r="AN25" s="346"/>
      <c r="AO25" s="346"/>
      <c r="AP25" s="349"/>
      <c r="AQ25" s="349"/>
      <c r="AR25" s="349"/>
      <c r="AS25" s="349"/>
      <c r="AT25" s="349"/>
    </row>
    <row r="26" spans="1:46" ht="29.4" thickBot="1" x14ac:dyDescent="0.35">
      <c r="A26" s="294" t="s">
        <v>871</v>
      </c>
      <c r="B26" s="348" t="s">
        <v>80</v>
      </c>
      <c r="C26" s="333" t="s">
        <v>79</v>
      </c>
      <c r="D26" s="294">
        <f t="shared" si="0"/>
        <v>24</v>
      </c>
      <c r="E26" s="294">
        <f t="shared" si="1"/>
        <v>3</v>
      </c>
      <c r="F26" s="294">
        <f t="shared" si="2"/>
        <v>1</v>
      </c>
      <c r="G26" s="294">
        <f t="shared" si="3"/>
        <v>4</v>
      </c>
      <c r="H26" s="341">
        <f t="shared" si="4"/>
        <v>0.16666666666666666</v>
      </c>
      <c r="I26" s="294">
        <f t="shared" si="5"/>
        <v>-4</v>
      </c>
      <c r="J26" s="294">
        <f t="shared" si="6"/>
        <v>6</v>
      </c>
      <c r="K26" s="294">
        <f t="shared" si="7"/>
        <v>10</v>
      </c>
      <c r="L26" s="341">
        <f t="shared" si="8"/>
        <v>-0.16666666666666666</v>
      </c>
      <c r="M26" s="294">
        <f t="shared" si="9"/>
        <v>29</v>
      </c>
      <c r="N26" s="341">
        <f t="shared" si="10"/>
        <v>1.2083333333333333</v>
      </c>
      <c r="O26" s="294">
        <f t="shared" si="11"/>
        <v>6</v>
      </c>
      <c r="P26" s="333">
        <v>24</v>
      </c>
      <c r="Q26" s="334">
        <v>9.7131944444444454</v>
      </c>
      <c r="R26" s="351">
        <v>3</v>
      </c>
      <c r="S26" s="333">
        <v>1</v>
      </c>
      <c r="T26" s="340">
        <v>4</v>
      </c>
      <c r="U26" s="341">
        <v>0.16666666666666666</v>
      </c>
      <c r="V26" s="339">
        <v>29</v>
      </c>
      <c r="W26" s="339">
        <v>15</v>
      </c>
      <c r="X26" s="339">
        <v>0</v>
      </c>
      <c r="Y26" s="339">
        <v>0</v>
      </c>
      <c r="Z26" s="339">
        <v>0</v>
      </c>
      <c r="AA26" s="333">
        <v>-4</v>
      </c>
      <c r="AB26" s="333">
        <v>6</v>
      </c>
      <c r="AC26" s="333">
        <v>10</v>
      </c>
      <c r="AD26" s="333">
        <v>6</v>
      </c>
      <c r="AE26" s="335">
        <v>0.40416666666666662</v>
      </c>
      <c r="AF26" s="346"/>
      <c r="AG26" s="346"/>
      <c r="AH26" s="346"/>
      <c r="AI26" s="349"/>
      <c r="AJ26" s="349"/>
      <c r="AK26" s="346"/>
      <c r="AL26" s="346"/>
      <c r="AM26" s="346"/>
      <c r="AN26" s="346"/>
      <c r="AO26" s="346"/>
      <c r="AP26" s="349"/>
      <c r="AQ26" s="349"/>
      <c r="AR26" s="349"/>
      <c r="AS26" s="349"/>
      <c r="AT26" s="349"/>
    </row>
    <row r="27" spans="1:46" ht="29.4" thickBot="1" x14ac:dyDescent="0.35">
      <c r="A27" s="294" t="s">
        <v>1167</v>
      </c>
      <c r="B27" s="348" t="s">
        <v>80</v>
      </c>
      <c r="C27" s="333" t="s">
        <v>88</v>
      </c>
      <c r="D27" s="294">
        <f t="shared" si="0"/>
        <v>24</v>
      </c>
      <c r="E27" s="294">
        <f t="shared" si="1"/>
        <v>1</v>
      </c>
      <c r="F27" s="294">
        <f t="shared" si="2"/>
        <v>4</v>
      </c>
      <c r="G27" s="294">
        <f t="shared" si="3"/>
        <v>5</v>
      </c>
      <c r="H27" s="341">
        <f t="shared" si="4"/>
        <v>0.20833333333333334</v>
      </c>
      <c r="I27" s="294">
        <f t="shared" si="5"/>
        <v>-11</v>
      </c>
      <c r="J27" s="294">
        <f t="shared" si="6"/>
        <v>14</v>
      </c>
      <c r="K27" s="294">
        <f t="shared" si="7"/>
        <v>25</v>
      </c>
      <c r="L27" s="341">
        <f t="shared" si="8"/>
        <v>-0.45833333333333331</v>
      </c>
      <c r="M27" s="294">
        <f t="shared" si="9"/>
        <v>71</v>
      </c>
      <c r="N27" s="341">
        <f t="shared" si="10"/>
        <v>2.9583333333333335</v>
      </c>
      <c r="O27" s="294">
        <f t="shared" si="11"/>
        <v>18</v>
      </c>
      <c r="P27" s="333">
        <v>22</v>
      </c>
      <c r="Q27" s="334">
        <v>20.911805555555556</v>
      </c>
      <c r="R27" s="351">
        <v>1</v>
      </c>
      <c r="S27" s="333">
        <v>4</v>
      </c>
      <c r="T27" s="340">
        <v>5</v>
      </c>
      <c r="U27" s="341">
        <v>0.22727272727272727</v>
      </c>
      <c r="V27" s="339">
        <v>66</v>
      </c>
      <c r="W27" s="339">
        <v>2</v>
      </c>
      <c r="X27" s="339">
        <v>1</v>
      </c>
      <c r="Y27" s="339">
        <v>0</v>
      </c>
      <c r="Z27" s="339">
        <v>0</v>
      </c>
      <c r="AA27" s="333">
        <v>-7</v>
      </c>
      <c r="AB27" s="333">
        <v>14</v>
      </c>
      <c r="AC27" s="333">
        <v>21</v>
      </c>
      <c r="AD27" s="333">
        <v>16</v>
      </c>
      <c r="AE27" s="335">
        <v>0.95000000000000007</v>
      </c>
      <c r="AF27" s="339">
        <v>2</v>
      </c>
      <c r="AG27" s="352">
        <v>1.5465277777777777</v>
      </c>
      <c r="AH27" s="351">
        <v>0</v>
      </c>
      <c r="AI27" s="333">
        <v>0</v>
      </c>
      <c r="AJ27" s="333">
        <v>0</v>
      </c>
      <c r="AK27" s="339">
        <v>5</v>
      </c>
      <c r="AL27" s="339">
        <v>0</v>
      </c>
      <c r="AM27" s="339">
        <v>0</v>
      </c>
      <c r="AN27" s="339">
        <v>0</v>
      </c>
      <c r="AO27" s="339">
        <v>0</v>
      </c>
      <c r="AP27" s="333">
        <v>-4</v>
      </c>
      <c r="AQ27" s="333">
        <v>0</v>
      </c>
      <c r="AR27" s="333">
        <v>4</v>
      </c>
      <c r="AS27" s="333">
        <v>2</v>
      </c>
      <c r="AT27" s="335">
        <v>0.7729166666666667</v>
      </c>
    </row>
    <row r="28" spans="1:46" ht="29.4" thickBot="1" x14ac:dyDescent="0.35">
      <c r="A28" s="294" t="s">
        <v>97</v>
      </c>
      <c r="B28" s="348" t="s">
        <v>80</v>
      </c>
      <c r="C28" s="333" t="s">
        <v>79</v>
      </c>
      <c r="D28" s="294">
        <f t="shared" si="0"/>
        <v>24</v>
      </c>
      <c r="E28" s="294">
        <f t="shared" si="1"/>
        <v>1</v>
      </c>
      <c r="F28" s="294">
        <f t="shared" si="2"/>
        <v>3</v>
      </c>
      <c r="G28" s="294">
        <f t="shared" si="3"/>
        <v>4</v>
      </c>
      <c r="H28" s="341">
        <f t="shared" si="4"/>
        <v>0.16666666666666666</v>
      </c>
      <c r="I28" s="294">
        <f t="shared" si="5"/>
        <v>-6</v>
      </c>
      <c r="J28" s="294">
        <f t="shared" si="6"/>
        <v>6</v>
      </c>
      <c r="K28" s="294">
        <f t="shared" si="7"/>
        <v>12</v>
      </c>
      <c r="L28" s="341">
        <f t="shared" si="8"/>
        <v>-0.25</v>
      </c>
      <c r="M28" s="294">
        <f t="shared" si="9"/>
        <v>24</v>
      </c>
      <c r="N28" s="341">
        <f t="shared" si="10"/>
        <v>1</v>
      </c>
      <c r="O28" s="294">
        <f t="shared" si="11"/>
        <v>2</v>
      </c>
      <c r="P28" s="333">
        <v>18</v>
      </c>
      <c r="Q28" s="334">
        <v>5.8083333333333336</v>
      </c>
      <c r="R28" s="351">
        <v>0</v>
      </c>
      <c r="S28" s="333">
        <v>2</v>
      </c>
      <c r="T28" s="340">
        <v>2</v>
      </c>
      <c r="U28" s="341">
        <v>0.1111111111111111</v>
      </c>
      <c r="V28" s="339">
        <v>16</v>
      </c>
      <c r="W28" s="339">
        <v>0</v>
      </c>
      <c r="X28" s="339">
        <v>0</v>
      </c>
      <c r="Y28" s="339">
        <v>0</v>
      </c>
      <c r="Z28" s="339">
        <v>0</v>
      </c>
      <c r="AA28" s="333">
        <v>-3</v>
      </c>
      <c r="AB28" s="333">
        <v>3</v>
      </c>
      <c r="AC28" s="333">
        <v>6</v>
      </c>
      <c r="AD28" s="333">
        <v>2</v>
      </c>
      <c r="AE28" s="335">
        <v>0.32222222222222224</v>
      </c>
      <c r="AF28" s="342">
        <v>6</v>
      </c>
      <c r="AG28" s="352">
        <v>3.7965277777777775</v>
      </c>
      <c r="AH28" s="351">
        <v>1</v>
      </c>
      <c r="AI28" s="333">
        <v>1</v>
      </c>
      <c r="AJ28" s="333">
        <v>2</v>
      </c>
      <c r="AK28" s="339">
        <v>8</v>
      </c>
      <c r="AL28" s="339">
        <v>14</v>
      </c>
      <c r="AM28" s="339">
        <v>1</v>
      </c>
      <c r="AN28" s="339">
        <v>0</v>
      </c>
      <c r="AO28" s="339">
        <v>0</v>
      </c>
      <c r="AP28" s="333">
        <v>-3</v>
      </c>
      <c r="AQ28" s="333">
        <v>3</v>
      </c>
      <c r="AR28" s="333">
        <v>6</v>
      </c>
      <c r="AS28" s="333">
        <v>0</v>
      </c>
      <c r="AT28" s="335">
        <v>0.63263888888888886</v>
      </c>
    </row>
    <row r="29" spans="1:46" ht="29.4" thickBot="1" x14ac:dyDescent="0.35">
      <c r="A29" s="294" t="s">
        <v>1169</v>
      </c>
      <c r="B29" s="348" t="s">
        <v>80</v>
      </c>
      <c r="C29" s="333" t="s">
        <v>88</v>
      </c>
      <c r="D29" s="294">
        <f t="shared" si="0"/>
        <v>21</v>
      </c>
      <c r="E29" s="294">
        <f t="shared" si="1"/>
        <v>3</v>
      </c>
      <c r="F29" s="294">
        <f t="shared" si="2"/>
        <v>9</v>
      </c>
      <c r="G29" s="294">
        <f t="shared" si="3"/>
        <v>12</v>
      </c>
      <c r="H29" s="341">
        <f t="shared" si="4"/>
        <v>0.5714285714285714</v>
      </c>
      <c r="I29" s="294">
        <f t="shared" si="5"/>
        <v>-3</v>
      </c>
      <c r="J29" s="294">
        <f t="shared" si="6"/>
        <v>18</v>
      </c>
      <c r="K29" s="294">
        <f t="shared" si="7"/>
        <v>21</v>
      </c>
      <c r="L29" s="341">
        <f t="shared" si="8"/>
        <v>-0.14285714285714285</v>
      </c>
      <c r="M29" s="294">
        <f t="shared" si="9"/>
        <v>59</v>
      </c>
      <c r="N29" s="341">
        <f t="shared" si="10"/>
        <v>2.8095238095238093</v>
      </c>
      <c r="O29" s="294">
        <f t="shared" si="11"/>
        <v>42</v>
      </c>
      <c r="P29" s="333">
        <v>16</v>
      </c>
      <c r="Q29" s="334">
        <v>16.34375</v>
      </c>
      <c r="R29" s="351">
        <v>3</v>
      </c>
      <c r="S29" s="333">
        <v>8</v>
      </c>
      <c r="T29" s="340">
        <v>11</v>
      </c>
      <c r="U29" s="341">
        <v>0.6875</v>
      </c>
      <c r="V29" s="339">
        <v>51</v>
      </c>
      <c r="W29" s="339">
        <v>8</v>
      </c>
      <c r="X29" s="339">
        <v>1</v>
      </c>
      <c r="Y29" s="339">
        <v>1</v>
      </c>
      <c r="Z29" s="339">
        <v>0</v>
      </c>
      <c r="AA29" s="333">
        <v>-6</v>
      </c>
      <c r="AB29" s="333">
        <v>12</v>
      </c>
      <c r="AC29" s="333">
        <v>18</v>
      </c>
      <c r="AD29" s="333">
        <v>26</v>
      </c>
      <c r="AE29" s="336">
        <v>1.0208333333333333</v>
      </c>
      <c r="AF29" s="342">
        <v>5</v>
      </c>
      <c r="AG29" s="352">
        <v>4.1340277777777779</v>
      </c>
      <c r="AH29" s="351">
        <v>0</v>
      </c>
      <c r="AI29" s="333">
        <v>1</v>
      </c>
      <c r="AJ29" s="333">
        <v>1</v>
      </c>
      <c r="AK29" s="339">
        <v>8</v>
      </c>
      <c r="AL29" s="339">
        <v>0</v>
      </c>
      <c r="AM29" s="339">
        <v>0</v>
      </c>
      <c r="AN29" s="339">
        <v>0</v>
      </c>
      <c r="AO29" s="339">
        <v>0</v>
      </c>
      <c r="AP29" s="333">
        <v>3</v>
      </c>
      <c r="AQ29" s="333">
        <v>6</v>
      </c>
      <c r="AR29" s="333">
        <v>3</v>
      </c>
      <c r="AS29" s="333">
        <v>16</v>
      </c>
      <c r="AT29" s="335">
        <v>0.82638888888888884</v>
      </c>
    </row>
    <row r="30" spans="1:46" ht="29.4" thickBot="1" x14ac:dyDescent="0.35">
      <c r="A30" s="294" t="s">
        <v>106</v>
      </c>
      <c r="B30" s="348" t="s">
        <v>80</v>
      </c>
      <c r="C30" s="333" t="s">
        <v>79</v>
      </c>
      <c r="D30" s="294">
        <f t="shared" si="0"/>
        <v>20</v>
      </c>
      <c r="E30" s="294">
        <f t="shared" si="1"/>
        <v>1</v>
      </c>
      <c r="F30" s="294">
        <f t="shared" si="2"/>
        <v>1</v>
      </c>
      <c r="G30" s="294">
        <f t="shared" si="3"/>
        <v>2</v>
      </c>
      <c r="H30" s="341">
        <f t="shared" si="4"/>
        <v>0.1</v>
      </c>
      <c r="I30" s="294">
        <f t="shared" si="5"/>
        <v>-5</v>
      </c>
      <c r="J30" s="294">
        <f t="shared" si="6"/>
        <v>2</v>
      </c>
      <c r="K30" s="294">
        <f t="shared" si="7"/>
        <v>7</v>
      </c>
      <c r="L30" s="341">
        <f t="shared" si="8"/>
        <v>-0.25</v>
      </c>
      <c r="M30" s="294">
        <f t="shared" si="9"/>
        <v>19</v>
      </c>
      <c r="N30" s="341">
        <f t="shared" si="10"/>
        <v>0.95</v>
      </c>
      <c r="O30" s="294">
        <f t="shared" si="11"/>
        <v>2</v>
      </c>
      <c r="P30" s="333">
        <v>20</v>
      </c>
      <c r="Q30" s="334">
        <v>8.1083333333333325</v>
      </c>
      <c r="R30" s="351">
        <v>1</v>
      </c>
      <c r="S30" s="333">
        <v>1</v>
      </c>
      <c r="T30" s="340">
        <v>2</v>
      </c>
      <c r="U30" s="341">
        <v>0.1</v>
      </c>
      <c r="V30" s="339">
        <v>19</v>
      </c>
      <c r="W30" s="339">
        <v>6</v>
      </c>
      <c r="X30" s="339">
        <v>0</v>
      </c>
      <c r="Y30" s="339">
        <v>0</v>
      </c>
      <c r="Z30" s="339">
        <v>0</v>
      </c>
      <c r="AA30" s="333">
        <v>-5</v>
      </c>
      <c r="AB30" s="333">
        <v>2</v>
      </c>
      <c r="AC30" s="333">
        <v>7</v>
      </c>
      <c r="AD30" s="333">
        <v>2</v>
      </c>
      <c r="AE30" s="335">
        <v>0.40486111111111112</v>
      </c>
      <c r="AG30" s="346"/>
      <c r="AH30" s="346"/>
      <c r="AI30" s="349"/>
      <c r="AJ30" s="349"/>
      <c r="AK30" s="346"/>
      <c r="AL30" s="346"/>
      <c r="AM30" s="346"/>
      <c r="AN30" s="346"/>
      <c r="AO30" s="346"/>
      <c r="AP30" s="349"/>
      <c r="AQ30" s="349"/>
      <c r="AR30" s="349"/>
      <c r="AS30" s="349"/>
      <c r="AT30" s="349"/>
    </row>
    <row r="31" spans="1:46" ht="29.4" thickBot="1" x14ac:dyDescent="0.35">
      <c r="A31" s="294" t="s">
        <v>1173</v>
      </c>
      <c r="B31" s="348" t="s">
        <v>80</v>
      </c>
      <c r="C31" s="333" t="s">
        <v>88</v>
      </c>
      <c r="D31" s="294">
        <f t="shared" si="0"/>
        <v>19</v>
      </c>
      <c r="E31" s="294">
        <f t="shared" si="1"/>
        <v>2</v>
      </c>
      <c r="F31" s="294">
        <f t="shared" si="2"/>
        <v>1</v>
      </c>
      <c r="G31" s="294">
        <f t="shared" si="3"/>
        <v>3</v>
      </c>
      <c r="H31" s="341">
        <f t="shared" si="4"/>
        <v>0.15789473684210525</v>
      </c>
      <c r="I31" s="294">
        <f t="shared" si="5"/>
        <v>-7</v>
      </c>
      <c r="J31" s="294">
        <f t="shared" si="6"/>
        <v>10</v>
      </c>
      <c r="K31" s="294">
        <f t="shared" si="7"/>
        <v>17</v>
      </c>
      <c r="L31" s="341">
        <f t="shared" si="8"/>
        <v>-0.36842105263157893</v>
      </c>
      <c r="M31" s="294">
        <f t="shared" si="9"/>
        <v>26</v>
      </c>
      <c r="N31" s="341">
        <f t="shared" si="10"/>
        <v>1.368421052631579</v>
      </c>
      <c r="O31" s="294">
        <f t="shared" si="11"/>
        <v>4</v>
      </c>
      <c r="P31" s="333">
        <v>13</v>
      </c>
      <c r="Q31" s="334">
        <v>6.1791666666666671</v>
      </c>
      <c r="R31" s="351">
        <v>1</v>
      </c>
      <c r="S31" s="333">
        <v>1</v>
      </c>
      <c r="T31" s="340">
        <v>2</v>
      </c>
      <c r="U31" s="341">
        <v>0.15384615384615385</v>
      </c>
      <c r="V31" s="339">
        <v>13</v>
      </c>
      <c r="W31" s="339">
        <v>13</v>
      </c>
      <c r="X31" s="339">
        <v>0</v>
      </c>
      <c r="Y31" s="339">
        <v>0</v>
      </c>
      <c r="Z31" s="339">
        <v>0</v>
      </c>
      <c r="AA31" s="333">
        <v>-4</v>
      </c>
      <c r="AB31" s="333">
        <v>7</v>
      </c>
      <c r="AC31" s="333">
        <v>11</v>
      </c>
      <c r="AD31" s="333">
        <v>2</v>
      </c>
      <c r="AE31" s="335">
        <v>0.47500000000000003</v>
      </c>
      <c r="AF31" s="339">
        <v>6</v>
      </c>
      <c r="AG31" s="352">
        <v>4.0465277777777775</v>
      </c>
      <c r="AH31" s="351">
        <v>1</v>
      </c>
      <c r="AI31" s="333">
        <v>0</v>
      </c>
      <c r="AJ31" s="333">
        <v>1</v>
      </c>
      <c r="AK31" s="339">
        <v>13</v>
      </c>
      <c r="AL31" s="339">
        <v>8</v>
      </c>
      <c r="AM31" s="339">
        <v>0</v>
      </c>
      <c r="AN31" s="339">
        <v>0</v>
      </c>
      <c r="AO31" s="339">
        <v>0</v>
      </c>
      <c r="AP31" s="333">
        <v>-3</v>
      </c>
      <c r="AQ31" s="333">
        <v>3</v>
      </c>
      <c r="AR31" s="333">
        <v>6</v>
      </c>
      <c r="AS31" s="333">
        <v>2</v>
      </c>
      <c r="AT31" s="335">
        <v>0.6743055555555556</v>
      </c>
    </row>
    <row r="32" spans="1:46" ht="29.4" thickBot="1" x14ac:dyDescent="0.35">
      <c r="A32" s="294" t="s">
        <v>114</v>
      </c>
      <c r="B32" s="348" t="s">
        <v>80</v>
      </c>
      <c r="C32" s="333" t="s">
        <v>79</v>
      </c>
      <c r="D32" s="294">
        <f t="shared" si="0"/>
        <v>18</v>
      </c>
      <c r="E32" s="294">
        <f t="shared" si="1"/>
        <v>1</v>
      </c>
      <c r="F32" s="294">
        <f t="shared" si="2"/>
        <v>1</v>
      </c>
      <c r="G32" s="294">
        <f t="shared" si="3"/>
        <v>2</v>
      </c>
      <c r="H32" s="341">
        <f t="shared" si="4"/>
        <v>0.1111111111111111</v>
      </c>
      <c r="I32" s="294">
        <f t="shared" si="5"/>
        <v>2</v>
      </c>
      <c r="J32" s="294">
        <f t="shared" si="6"/>
        <v>9</v>
      </c>
      <c r="K32" s="294">
        <f t="shared" si="7"/>
        <v>7</v>
      </c>
      <c r="L32" s="341">
        <f t="shared" si="8"/>
        <v>0.1111111111111111</v>
      </c>
      <c r="M32" s="294">
        <f t="shared" si="9"/>
        <v>34</v>
      </c>
      <c r="N32" s="341">
        <f t="shared" si="10"/>
        <v>1.8888888888888888</v>
      </c>
      <c r="O32" s="294">
        <f t="shared" si="11"/>
        <v>14</v>
      </c>
      <c r="P32" s="333">
        <v>18</v>
      </c>
      <c r="Q32" s="334">
        <v>9.9388888888888882</v>
      </c>
      <c r="R32" s="351">
        <v>1</v>
      </c>
      <c r="S32" s="333">
        <v>1</v>
      </c>
      <c r="T32" s="340">
        <v>2</v>
      </c>
      <c r="U32" s="341">
        <v>0.1111111111111111</v>
      </c>
      <c r="V32" s="339">
        <v>34</v>
      </c>
      <c r="W32" s="339">
        <v>3</v>
      </c>
      <c r="X32" s="339">
        <v>0</v>
      </c>
      <c r="Y32" s="339">
        <v>0</v>
      </c>
      <c r="Z32" s="339">
        <v>0</v>
      </c>
      <c r="AA32" s="333">
        <v>2</v>
      </c>
      <c r="AB32" s="333">
        <v>9</v>
      </c>
      <c r="AC32" s="333">
        <v>7</v>
      </c>
      <c r="AD32" s="333">
        <v>14</v>
      </c>
      <c r="AE32" s="335">
        <v>0.55208333333333337</v>
      </c>
      <c r="AF32" s="346"/>
      <c r="AG32" s="346"/>
      <c r="AH32" s="346"/>
      <c r="AI32" s="349"/>
      <c r="AJ32" s="349"/>
      <c r="AK32" s="346"/>
      <c r="AL32" s="346"/>
      <c r="AM32" s="346"/>
      <c r="AN32" s="346"/>
      <c r="AO32" s="346"/>
      <c r="AP32" s="349"/>
      <c r="AQ32" s="349"/>
      <c r="AR32" s="349"/>
      <c r="AS32" s="349"/>
      <c r="AT32" s="349"/>
    </row>
    <row r="33" spans="1:46" ht="29.4" thickBot="1" x14ac:dyDescent="0.35">
      <c r="A33" s="294" t="s">
        <v>1175</v>
      </c>
      <c r="B33" s="348" t="s">
        <v>80</v>
      </c>
      <c r="C33" s="333" t="s">
        <v>88</v>
      </c>
      <c r="D33" s="294">
        <f t="shared" si="0"/>
        <v>17</v>
      </c>
      <c r="E33" s="294">
        <f t="shared" si="1"/>
        <v>0</v>
      </c>
      <c r="F33" s="294">
        <f t="shared" si="2"/>
        <v>2</v>
      </c>
      <c r="G33" s="294">
        <f t="shared" si="3"/>
        <v>2</v>
      </c>
      <c r="H33" s="341">
        <f t="shared" si="4"/>
        <v>0.11764705882352941</v>
      </c>
      <c r="I33" s="294">
        <f t="shared" si="5"/>
        <v>-5</v>
      </c>
      <c r="J33" s="294">
        <f t="shared" si="6"/>
        <v>5</v>
      </c>
      <c r="K33" s="294">
        <f t="shared" si="7"/>
        <v>10</v>
      </c>
      <c r="L33" s="341">
        <f t="shared" si="8"/>
        <v>-0.29411764705882354</v>
      </c>
      <c r="M33" s="294">
        <f t="shared" si="9"/>
        <v>28</v>
      </c>
      <c r="N33" s="341">
        <f t="shared" si="10"/>
        <v>1.6470588235294117</v>
      </c>
      <c r="O33" s="294">
        <f t="shared" si="11"/>
        <v>12</v>
      </c>
      <c r="P33" s="333">
        <v>11</v>
      </c>
      <c r="Q33" s="334">
        <v>4.2305555555555552</v>
      </c>
      <c r="R33" s="351">
        <v>0</v>
      </c>
      <c r="S33" s="333">
        <v>1</v>
      </c>
      <c r="T33" s="340">
        <v>1</v>
      </c>
      <c r="U33" s="341">
        <v>9.0909090909090912E-2</v>
      </c>
      <c r="V33" s="339">
        <v>7</v>
      </c>
      <c r="W33" s="339">
        <v>0</v>
      </c>
      <c r="X33" s="339">
        <v>0</v>
      </c>
      <c r="Y33" s="339">
        <v>0</v>
      </c>
      <c r="Z33" s="339">
        <v>0</v>
      </c>
      <c r="AA33" s="333">
        <v>-5</v>
      </c>
      <c r="AB33" s="333">
        <v>1</v>
      </c>
      <c r="AC33" s="333">
        <v>6</v>
      </c>
      <c r="AD33" s="333">
        <v>8</v>
      </c>
      <c r="AE33" s="335">
        <v>0.3840277777777778</v>
      </c>
      <c r="AF33" s="339">
        <v>6</v>
      </c>
      <c r="AG33" s="352">
        <v>4.6451388888888889</v>
      </c>
      <c r="AH33" s="351">
        <v>0</v>
      </c>
      <c r="AI33" s="333">
        <v>1</v>
      </c>
      <c r="AJ33" s="333">
        <v>1</v>
      </c>
      <c r="AK33" s="339">
        <v>21</v>
      </c>
      <c r="AL33" s="339">
        <v>0</v>
      </c>
      <c r="AM33" s="339">
        <v>0</v>
      </c>
      <c r="AN33" s="339">
        <v>0</v>
      </c>
      <c r="AO33" s="339">
        <v>0</v>
      </c>
      <c r="AP33" s="333">
        <v>0</v>
      </c>
      <c r="AQ33" s="333">
        <v>4</v>
      </c>
      <c r="AR33" s="333">
        <v>4</v>
      </c>
      <c r="AS33" s="333">
        <v>4</v>
      </c>
      <c r="AT33" s="335">
        <v>0.77361111111111114</v>
      </c>
    </row>
    <row r="34" spans="1:46" ht="29.4" thickBot="1" x14ac:dyDescent="0.35">
      <c r="A34" s="294" t="s">
        <v>1171</v>
      </c>
      <c r="B34" s="348" t="s">
        <v>80</v>
      </c>
      <c r="C34" s="333" t="s">
        <v>88</v>
      </c>
      <c r="D34" s="294">
        <f t="shared" si="0"/>
        <v>15</v>
      </c>
      <c r="E34" s="294">
        <f t="shared" si="1"/>
        <v>2</v>
      </c>
      <c r="F34" s="294">
        <f t="shared" si="2"/>
        <v>4</v>
      </c>
      <c r="G34" s="294">
        <f t="shared" si="3"/>
        <v>6</v>
      </c>
      <c r="H34" s="341">
        <f t="shared" si="4"/>
        <v>0.4</v>
      </c>
      <c r="I34" s="294">
        <f t="shared" si="5"/>
        <v>-1</v>
      </c>
      <c r="J34" s="294">
        <f t="shared" si="6"/>
        <v>8</v>
      </c>
      <c r="K34" s="294">
        <f t="shared" si="7"/>
        <v>9</v>
      </c>
      <c r="L34" s="341">
        <f t="shared" si="8"/>
        <v>-6.6666666666666666E-2</v>
      </c>
      <c r="M34" s="294">
        <f t="shared" si="9"/>
        <v>36</v>
      </c>
      <c r="N34" s="341">
        <f t="shared" si="10"/>
        <v>2.4</v>
      </c>
      <c r="O34" s="294">
        <f t="shared" si="11"/>
        <v>10</v>
      </c>
      <c r="P34" s="333">
        <v>15</v>
      </c>
      <c r="Q34" s="334">
        <v>13.874305555555557</v>
      </c>
      <c r="R34" s="351">
        <v>2</v>
      </c>
      <c r="S34" s="333">
        <v>4</v>
      </c>
      <c r="T34" s="340">
        <v>6</v>
      </c>
      <c r="U34" s="341">
        <v>0.4</v>
      </c>
      <c r="V34" s="339">
        <v>36</v>
      </c>
      <c r="W34" s="339">
        <v>8</v>
      </c>
      <c r="X34" s="339">
        <v>2</v>
      </c>
      <c r="Y34" s="339">
        <v>0</v>
      </c>
      <c r="Z34" s="339">
        <v>0</v>
      </c>
      <c r="AA34" s="333">
        <v>-1</v>
      </c>
      <c r="AB34" s="333">
        <v>8</v>
      </c>
      <c r="AC34" s="333">
        <v>9</v>
      </c>
      <c r="AD34" s="333">
        <v>10</v>
      </c>
      <c r="AE34" s="335">
        <v>0.9243055555555556</v>
      </c>
      <c r="AF34" s="346"/>
      <c r="AG34" s="346"/>
      <c r="AH34" s="346"/>
      <c r="AI34" s="349"/>
      <c r="AJ34" s="349"/>
      <c r="AK34" s="346"/>
      <c r="AL34" s="346"/>
      <c r="AM34" s="346"/>
      <c r="AN34" s="346"/>
      <c r="AO34" s="346"/>
      <c r="AP34" s="349"/>
      <c r="AQ34" s="349"/>
      <c r="AR34" s="349"/>
      <c r="AS34" s="349"/>
      <c r="AT34" s="349"/>
    </row>
    <row r="35" spans="1:46" ht="29.4" thickBot="1" x14ac:dyDescent="0.35">
      <c r="A35" s="294" t="s">
        <v>1176</v>
      </c>
      <c r="B35" s="348" t="s">
        <v>80</v>
      </c>
      <c r="C35" s="333" t="s">
        <v>79</v>
      </c>
      <c r="D35" s="294">
        <f t="shared" si="0"/>
        <v>10</v>
      </c>
      <c r="E35" s="294">
        <f t="shared" si="1"/>
        <v>3</v>
      </c>
      <c r="F35" s="294">
        <f t="shared" si="2"/>
        <v>4</v>
      </c>
      <c r="G35" s="294">
        <f t="shared" si="3"/>
        <v>7</v>
      </c>
      <c r="H35" s="341">
        <f t="shared" si="4"/>
        <v>0.7</v>
      </c>
      <c r="I35" s="294">
        <f t="shared" si="5"/>
        <v>5</v>
      </c>
      <c r="J35" s="294">
        <f t="shared" si="6"/>
        <v>9</v>
      </c>
      <c r="K35" s="294">
        <f t="shared" si="7"/>
        <v>4</v>
      </c>
      <c r="L35" s="341">
        <f t="shared" si="8"/>
        <v>0.5</v>
      </c>
      <c r="M35" s="294">
        <f t="shared" si="9"/>
        <v>13</v>
      </c>
      <c r="N35" s="341">
        <f t="shared" si="10"/>
        <v>1.3</v>
      </c>
      <c r="O35" s="294">
        <f t="shared" si="11"/>
        <v>2</v>
      </c>
      <c r="P35" s="333">
        <v>4</v>
      </c>
      <c r="Q35" s="334">
        <v>1.6375</v>
      </c>
      <c r="R35" s="351">
        <v>0</v>
      </c>
      <c r="S35" s="333">
        <v>0</v>
      </c>
      <c r="T35" s="340">
        <v>0</v>
      </c>
      <c r="U35" s="341">
        <v>0</v>
      </c>
      <c r="V35" s="339">
        <v>1</v>
      </c>
      <c r="W35" s="339">
        <v>0</v>
      </c>
      <c r="X35" s="339">
        <v>0</v>
      </c>
      <c r="Y35" s="339">
        <v>0</v>
      </c>
      <c r="Z35" s="339">
        <v>0</v>
      </c>
      <c r="AA35" s="333">
        <v>-1</v>
      </c>
      <c r="AB35" s="333">
        <v>0</v>
      </c>
      <c r="AC35" s="333">
        <v>1</v>
      </c>
      <c r="AD35" s="333">
        <v>0</v>
      </c>
      <c r="AE35" s="335">
        <v>0.40902777777777777</v>
      </c>
      <c r="AF35" s="342">
        <v>6</v>
      </c>
      <c r="AG35" s="352">
        <v>4.0611111111111109</v>
      </c>
      <c r="AH35" s="351">
        <v>3</v>
      </c>
      <c r="AI35" s="333">
        <v>4</v>
      </c>
      <c r="AJ35" s="333">
        <v>7</v>
      </c>
      <c r="AK35" s="339">
        <v>12</v>
      </c>
      <c r="AL35" s="339">
        <v>33</v>
      </c>
      <c r="AM35" s="339">
        <v>0</v>
      </c>
      <c r="AN35" s="339">
        <v>0</v>
      </c>
      <c r="AO35" s="339">
        <v>0</v>
      </c>
      <c r="AP35" s="333">
        <v>6</v>
      </c>
      <c r="AQ35" s="333">
        <v>9</v>
      </c>
      <c r="AR35" s="333">
        <v>3</v>
      </c>
      <c r="AS35" s="333">
        <v>2</v>
      </c>
      <c r="AT35" s="335">
        <v>0.67638888888888893</v>
      </c>
    </row>
    <row r="36" spans="1:46" ht="29.4" thickBot="1" x14ac:dyDescent="0.35">
      <c r="A36" s="294" t="s">
        <v>119</v>
      </c>
      <c r="B36" s="348" t="s">
        <v>80</v>
      </c>
      <c r="C36" s="333" t="s">
        <v>88</v>
      </c>
      <c r="D36" s="294">
        <f t="shared" si="0"/>
        <v>9</v>
      </c>
      <c r="E36" s="294">
        <f t="shared" si="1"/>
        <v>0</v>
      </c>
      <c r="F36" s="294">
        <f t="shared" si="2"/>
        <v>1</v>
      </c>
      <c r="G36" s="294">
        <f t="shared" si="3"/>
        <v>1</v>
      </c>
      <c r="H36" s="341">
        <f t="shared" si="4"/>
        <v>0.1111111111111111</v>
      </c>
      <c r="I36" s="294">
        <f t="shared" si="5"/>
        <v>4</v>
      </c>
      <c r="J36" s="294">
        <f t="shared" si="6"/>
        <v>5</v>
      </c>
      <c r="K36" s="294">
        <f t="shared" si="7"/>
        <v>1</v>
      </c>
      <c r="L36" s="341">
        <f t="shared" si="8"/>
        <v>0.44444444444444442</v>
      </c>
      <c r="M36" s="294">
        <f t="shared" si="9"/>
        <v>17</v>
      </c>
      <c r="N36" s="341">
        <f t="shared" si="10"/>
        <v>1.8888888888888888</v>
      </c>
      <c r="O36" s="294">
        <f t="shared" si="11"/>
        <v>2</v>
      </c>
      <c r="P36" s="333">
        <v>9</v>
      </c>
      <c r="Q36" s="334">
        <v>7.176388888888888</v>
      </c>
      <c r="R36" s="351">
        <v>0</v>
      </c>
      <c r="S36" s="333">
        <v>1</v>
      </c>
      <c r="T36" s="340">
        <v>1</v>
      </c>
      <c r="U36" s="341">
        <v>0.1111111111111111</v>
      </c>
      <c r="V36" s="339">
        <v>17</v>
      </c>
      <c r="W36" s="339">
        <v>0</v>
      </c>
      <c r="X36" s="339">
        <v>0</v>
      </c>
      <c r="Y36" s="339">
        <v>0</v>
      </c>
      <c r="Z36" s="339">
        <v>0</v>
      </c>
      <c r="AA36" s="333">
        <v>4</v>
      </c>
      <c r="AB36" s="333">
        <v>5</v>
      </c>
      <c r="AC36" s="333">
        <v>1</v>
      </c>
      <c r="AD36" s="333">
        <v>2</v>
      </c>
      <c r="AE36" s="335">
        <v>0.79722222222222217</v>
      </c>
      <c r="AF36" s="339"/>
    </row>
    <row r="37" spans="1:46" ht="29.4" thickBot="1" x14ac:dyDescent="0.35">
      <c r="A37" s="294" t="s">
        <v>94</v>
      </c>
      <c r="B37" s="348" t="s">
        <v>80</v>
      </c>
      <c r="C37" s="333" t="s">
        <v>79</v>
      </c>
      <c r="D37" s="294">
        <f t="shared" si="0"/>
        <v>9</v>
      </c>
      <c r="E37" s="294">
        <f t="shared" si="1"/>
        <v>0</v>
      </c>
      <c r="F37" s="294">
        <f t="shared" si="2"/>
        <v>0</v>
      </c>
      <c r="G37" s="294">
        <f t="shared" si="3"/>
        <v>0</v>
      </c>
      <c r="H37" s="341">
        <f t="shared" si="4"/>
        <v>0</v>
      </c>
      <c r="I37" s="294">
        <f t="shared" si="5"/>
        <v>-2</v>
      </c>
      <c r="J37" s="294">
        <f t="shared" si="6"/>
        <v>0</v>
      </c>
      <c r="K37" s="294">
        <f t="shared" si="7"/>
        <v>2</v>
      </c>
      <c r="L37" s="341">
        <f t="shared" si="8"/>
        <v>-0.22222222222222221</v>
      </c>
      <c r="M37" s="294">
        <f t="shared" si="9"/>
        <v>6</v>
      </c>
      <c r="N37" s="341">
        <f t="shared" si="10"/>
        <v>0.66666666666666663</v>
      </c>
      <c r="O37" s="294">
        <f t="shared" si="11"/>
        <v>0</v>
      </c>
      <c r="P37" s="333">
        <v>9</v>
      </c>
      <c r="Q37" s="334">
        <v>2.2180555555555554</v>
      </c>
      <c r="R37" s="351">
        <v>0</v>
      </c>
      <c r="S37" s="333">
        <v>0</v>
      </c>
      <c r="T37" s="340">
        <v>0</v>
      </c>
      <c r="U37" s="341">
        <v>0</v>
      </c>
      <c r="V37" s="339">
        <v>6</v>
      </c>
      <c r="W37" s="339">
        <v>0</v>
      </c>
      <c r="X37" s="339">
        <v>0</v>
      </c>
      <c r="Y37" s="339">
        <v>0</v>
      </c>
      <c r="Z37" s="339">
        <v>0</v>
      </c>
      <c r="AA37" s="333">
        <v>-2</v>
      </c>
      <c r="AB37" s="333">
        <v>0</v>
      </c>
      <c r="AC37" s="333">
        <v>2</v>
      </c>
      <c r="AD37" s="333">
        <v>0</v>
      </c>
      <c r="AE37" s="335">
        <v>0.24583333333333335</v>
      </c>
      <c r="AF37" s="346"/>
    </row>
    <row r="38" spans="1:46" ht="29.4" thickBot="1" x14ac:dyDescent="0.35">
      <c r="A38" s="294" t="s">
        <v>1174</v>
      </c>
      <c r="B38" s="348" t="s">
        <v>80</v>
      </c>
      <c r="C38" s="333" t="s">
        <v>88</v>
      </c>
      <c r="D38" s="294">
        <f t="shared" si="0"/>
        <v>8</v>
      </c>
      <c r="E38" s="294">
        <f t="shared" si="1"/>
        <v>1</v>
      </c>
      <c r="F38" s="294">
        <f t="shared" si="2"/>
        <v>4</v>
      </c>
      <c r="G38" s="294">
        <f t="shared" si="3"/>
        <v>5</v>
      </c>
      <c r="H38" s="341">
        <f t="shared" si="4"/>
        <v>0.625</v>
      </c>
      <c r="I38" s="294">
        <f t="shared" si="5"/>
        <v>-1</v>
      </c>
      <c r="J38" s="294">
        <f t="shared" si="6"/>
        <v>6</v>
      </c>
      <c r="K38" s="294">
        <f t="shared" si="7"/>
        <v>7</v>
      </c>
      <c r="L38" s="341">
        <f t="shared" si="8"/>
        <v>-0.125</v>
      </c>
      <c r="M38" s="294">
        <f t="shared" si="9"/>
        <v>14</v>
      </c>
      <c r="N38" s="341">
        <f t="shared" si="10"/>
        <v>1.75</v>
      </c>
      <c r="O38" s="294">
        <f t="shared" si="11"/>
        <v>22</v>
      </c>
      <c r="P38" s="333">
        <v>8</v>
      </c>
      <c r="Q38" s="334">
        <v>5.5972222222222223</v>
      </c>
      <c r="R38" s="351">
        <v>1</v>
      </c>
      <c r="S38" s="333">
        <v>4</v>
      </c>
      <c r="T38" s="340">
        <v>5</v>
      </c>
      <c r="U38" s="341">
        <v>0.625</v>
      </c>
      <c r="V38" s="339">
        <v>14</v>
      </c>
      <c r="W38" s="339">
        <v>8</v>
      </c>
      <c r="X38" s="339">
        <v>0</v>
      </c>
      <c r="Y38" s="339">
        <v>0</v>
      </c>
      <c r="Z38" s="339">
        <v>0</v>
      </c>
      <c r="AA38" s="333">
        <v>-1</v>
      </c>
      <c r="AB38" s="333">
        <v>6</v>
      </c>
      <c r="AC38" s="333">
        <v>7</v>
      </c>
      <c r="AD38" s="333">
        <v>22</v>
      </c>
      <c r="AE38" s="335">
        <v>0.69930555555555562</v>
      </c>
    </row>
    <row r="39" spans="1:46" ht="29.4" thickBot="1" x14ac:dyDescent="0.35">
      <c r="A39" s="294" t="s">
        <v>123</v>
      </c>
      <c r="B39" s="348" t="s">
        <v>80</v>
      </c>
      <c r="C39" s="333" t="s">
        <v>88</v>
      </c>
      <c r="D39" s="294">
        <f t="shared" si="0"/>
        <v>6</v>
      </c>
      <c r="E39" s="294">
        <f t="shared" si="1"/>
        <v>2</v>
      </c>
      <c r="F39" s="294">
        <f t="shared" si="2"/>
        <v>3</v>
      </c>
      <c r="G39" s="294">
        <f t="shared" si="3"/>
        <v>5</v>
      </c>
      <c r="H39" s="341">
        <f t="shared" si="4"/>
        <v>0.83333333333333337</v>
      </c>
      <c r="I39" s="294">
        <f t="shared" si="5"/>
        <v>5</v>
      </c>
      <c r="J39" s="294">
        <f t="shared" si="6"/>
        <v>7</v>
      </c>
      <c r="K39" s="294">
        <f t="shared" si="7"/>
        <v>2</v>
      </c>
      <c r="L39" s="341">
        <f t="shared" si="8"/>
        <v>0.83333333333333337</v>
      </c>
      <c r="M39" s="294">
        <f t="shared" si="9"/>
        <v>11</v>
      </c>
      <c r="N39" s="341">
        <f t="shared" si="10"/>
        <v>1.8333333333333333</v>
      </c>
      <c r="O39" s="294">
        <f t="shared" si="11"/>
        <v>4</v>
      </c>
      <c r="P39" s="333">
        <v>6</v>
      </c>
      <c r="Q39" s="334">
        <v>5.1638888888888888</v>
      </c>
      <c r="R39" s="351">
        <v>2</v>
      </c>
      <c r="S39" s="333">
        <v>3</v>
      </c>
      <c r="T39" s="340">
        <v>5</v>
      </c>
      <c r="U39" s="341">
        <v>0.83333333333333337</v>
      </c>
      <c r="V39" s="339">
        <v>11</v>
      </c>
      <c r="W39" s="339">
        <v>22</v>
      </c>
      <c r="X39" s="339">
        <v>1</v>
      </c>
      <c r="Y39" s="339">
        <v>0</v>
      </c>
      <c r="Z39" s="339">
        <v>1</v>
      </c>
      <c r="AA39" s="333">
        <v>5</v>
      </c>
      <c r="AB39" s="333">
        <v>7</v>
      </c>
      <c r="AC39" s="333">
        <v>2</v>
      </c>
      <c r="AD39" s="333">
        <v>4</v>
      </c>
      <c r="AE39" s="335">
        <v>0.86041666666666661</v>
      </c>
      <c r="AF39" s="346"/>
    </row>
    <row r="40" spans="1:46" ht="29.4" thickBot="1" x14ac:dyDescent="0.35">
      <c r="A40" s="294" t="s">
        <v>103</v>
      </c>
      <c r="B40" s="348" t="s">
        <v>80</v>
      </c>
      <c r="C40" s="333" t="s">
        <v>79</v>
      </c>
      <c r="D40" s="294">
        <f t="shared" si="0"/>
        <v>6</v>
      </c>
      <c r="E40" s="294">
        <f t="shared" si="1"/>
        <v>1</v>
      </c>
      <c r="F40" s="294">
        <f t="shared" si="2"/>
        <v>0</v>
      </c>
      <c r="G40" s="294">
        <f t="shared" si="3"/>
        <v>1</v>
      </c>
      <c r="H40" s="341">
        <f t="shared" si="4"/>
        <v>0.16666666666666666</v>
      </c>
      <c r="I40" s="294">
        <f t="shared" si="5"/>
        <v>-2</v>
      </c>
      <c r="J40" s="294">
        <f t="shared" si="6"/>
        <v>2</v>
      </c>
      <c r="K40" s="294">
        <f t="shared" si="7"/>
        <v>4</v>
      </c>
      <c r="L40" s="341">
        <f t="shared" si="8"/>
        <v>-0.33333333333333331</v>
      </c>
      <c r="M40" s="294">
        <f t="shared" si="9"/>
        <v>10</v>
      </c>
      <c r="N40" s="341">
        <f t="shared" si="10"/>
        <v>1.6666666666666667</v>
      </c>
      <c r="O40" s="294">
        <f t="shared" si="11"/>
        <v>0</v>
      </c>
      <c r="P40" s="333">
        <v>2</v>
      </c>
      <c r="Q40" s="337">
        <v>0.84166666666666667</v>
      </c>
      <c r="R40" s="351">
        <v>0</v>
      </c>
      <c r="S40" s="333">
        <v>0</v>
      </c>
      <c r="T40" s="340">
        <v>0</v>
      </c>
      <c r="U40" s="341">
        <v>0</v>
      </c>
      <c r="V40" s="339">
        <v>3</v>
      </c>
      <c r="W40" s="339">
        <v>0</v>
      </c>
      <c r="X40" s="339">
        <v>0</v>
      </c>
      <c r="Y40" s="339">
        <v>0</v>
      </c>
      <c r="Z40" s="339">
        <v>0</v>
      </c>
      <c r="AA40" s="333">
        <v>0</v>
      </c>
      <c r="AB40" s="333">
        <v>0</v>
      </c>
      <c r="AC40" s="333">
        <v>0</v>
      </c>
      <c r="AD40" s="333">
        <v>0</v>
      </c>
      <c r="AE40" s="335">
        <v>0.42083333333333334</v>
      </c>
      <c r="AF40" s="339">
        <v>4</v>
      </c>
      <c r="AG40" s="353">
        <v>2.0826388888888889</v>
      </c>
      <c r="AH40" s="343">
        <v>1</v>
      </c>
      <c r="AI40" s="342">
        <v>0</v>
      </c>
      <c r="AJ40" s="342">
        <v>1</v>
      </c>
      <c r="AK40" s="342">
        <v>7</v>
      </c>
      <c r="AL40" s="342">
        <v>25</v>
      </c>
      <c r="AM40" s="342">
        <v>0</v>
      </c>
      <c r="AN40" s="342">
        <v>0</v>
      </c>
      <c r="AO40" s="342">
        <v>0</v>
      </c>
      <c r="AP40" s="342">
        <v>-2</v>
      </c>
      <c r="AQ40" s="342">
        <v>2</v>
      </c>
      <c r="AR40" s="342">
        <v>4</v>
      </c>
      <c r="AS40" s="342">
        <v>0</v>
      </c>
      <c r="AT40" s="344">
        <v>0.52013888888888882</v>
      </c>
    </row>
    <row r="41" spans="1:46" ht="29.4" thickBot="1" x14ac:dyDescent="0.35">
      <c r="A41" s="338" t="s">
        <v>1179</v>
      </c>
      <c r="B41" s="348" t="s">
        <v>80</v>
      </c>
      <c r="C41" s="333" t="s">
        <v>79</v>
      </c>
      <c r="D41" s="294">
        <f t="shared" si="0"/>
        <v>5</v>
      </c>
      <c r="E41" s="294">
        <f t="shared" si="1"/>
        <v>1</v>
      </c>
      <c r="F41" s="294">
        <f t="shared" si="2"/>
        <v>1</v>
      </c>
      <c r="G41" s="294">
        <f t="shared" si="3"/>
        <v>2</v>
      </c>
      <c r="H41" s="341">
        <f t="shared" si="4"/>
        <v>0.4</v>
      </c>
      <c r="I41" s="294">
        <f t="shared" si="5"/>
        <v>2</v>
      </c>
      <c r="J41" s="294">
        <f t="shared" si="6"/>
        <v>4</v>
      </c>
      <c r="K41" s="294">
        <f t="shared" si="7"/>
        <v>2</v>
      </c>
      <c r="L41" s="341">
        <f t="shared" si="8"/>
        <v>0.4</v>
      </c>
      <c r="M41" s="294">
        <f t="shared" si="9"/>
        <v>9</v>
      </c>
      <c r="N41" s="341">
        <f t="shared" si="10"/>
        <v>1.8</v>
      </c>
      <c r="O41" s="294">
        <f t="shared" si="11"/>
        <v>2</v>
      </c>
      <c r="P41" s="349"/>
      <c r="Q41" s="349"/>
      <c r="R41" s="346"/>
      <c r="S41" s="349"/>
      <c r="T41" s="349"/>
      <c r="V41" s="346"/>
      <c r="W41" s="346"/>
      <c r="X41" s="346"/>
      <c r="Y41" s="346"/>
      <c r="Z41" s="346"/>
      <c r="AA41" s="349"/>
      <c r="AB41" s="349"/>
      <c r="AC41" s="349"/>
      <c r="AD41" s="349"/>
      <c r="AE41" s="349"/>
      <c r="AF41" s="342">
        <v>5</v>
      </c>
      <c r="AG41" s="353">
        <v>2.4798611111111111</v>
      </c>
      <c r="AH41" s="343">
        <v>1</v>
      </c>
      <c r="AI41" s="342">
        <v>1</v>
      </c>
      <c r="AJ41" s="342">
        <v>2</v>
      </c>
      <c r="AK41" s="342">
        <v>9</v>
      </c>
      <c r="AL41" s="342">
        <v>17</v>
      </c>
      <c r="AM41" s="342">
        <v>0</v>
      </c>
      <c r="AN41" s="342">
        <v>0</v>
      </c>
      <c r="AO41" s="342">
        <v>0</v>
      </c>
      <c r="AP41" s="342">
        <v>2</v>
      </c>
      <c r="AQ41" s="342">
        <v>4</v>
      </c>
      <c r="AR41" s="342">
        <v>2</v>
      </c>
      <c r="AS41" s="342">
        <v>2</v>
      </c>
      <c r="AT41" s="344">
        <v>0.49583333333333335</v>
      </c>
    </row>
    <row r="42" spans="1:46" ht="29.4" thickBot="1" x14ac:dyDescent="0.35">
      <c r="A42" s="294" t="s">
        <v>1177</v>
      </c>
      <c r="B42" s="348" t="s">
        <v>80</v>
      </c>
      <c r="C42" s="333" t="s">
        <v>79</v>
      </c>
      <c r="D42" s="294">
        <f t="shared" si="0"/>
        <v>3</v>
      </c>
      <c r="E42" s="294">
        <f t="shared" si="1"/>
        <v>0</v>
      </c>
      <c r="F42" s="294">
        <f t="shared" si="2"/>
        <v>1</v>
      </c>
      <c r="G42" s="294">
        <f t="shared" si="3"/>
        <v>1</v>
      </c>
      <c r="H42" s="341">
        <f t="shared" si="4"/>
        <v>0.33333333333333331</v>
      </c>
      <c r="I42" s="294">
        <f t="shared" si="5"/>
        <v>1</v>
      </c>
      <c r="J42" s="294">
        <f t="shared" si="6"/>
        <v>1</v>
      </c>
      <c r="K42" s="294">
        <f t="shared" si="7"/>
        <v>0</v>
      </c>
      <c r="L42" s="341">
        <f t="shared" si="8"/>
        <v>0.33333333333333331</v>
      </c>
      <c r="M42" s="294">
        <f t="shared" si="9"/>
        <v>4</v>
      </c>
      <c r="N42" s="341">
        <f t="shared" si="10"/>
        <v>1.3333333333333333</v>
      </c>
      <c r="O42" s="294">
        <f t="shared" si="11"/>
        <v>2</v>
      </c>
      <c r="P42" s="333">
        <v>3</v>
      </c>
      <c r="Q42" s="334">
        <v>1.0513888888888889</v>
      </c>
      <c r="R42" s="351">
        <v>0</v>
      </c>
      <c r="S42" s="333">
        <v>1</v>
      </c>
      <c r="T42" s="340">
        <v>1</v>
      </c>
      <c r="U42" s="341">
        <v>0.33333333333333331</v>
      </c>
      <c r="V42" s="339">
        <v>4</v>
      </c>
      <c r="W42" s="339">
        <v>0</v>
      </c>
      <c r="X42" s="339">
        <v>0</v>
      </c>
      <c r="Y42" s="339">
        <v>0</v>
      </c>
      <c r="Z42" s="339">
        <v>0</v>
      </c>
      <c r="AA42" s="333">
        <v>1</v>
      </c>
      <c r="AB42" s="333">
        <v>1</v>
      </c>
      <c r="AC42" s="333">
        <v>0</v>
      </c>
      <c r="AD42" s="333">
        <v>2</v>
      </c>
      <c r="AE42" s="335">
        <v>0.35000000000000003</v>
      </c>
      <c r="AF42" s="346"/>
    </row>
    <row r="43" spans="1:46" ht="32.25" customHeight="1" thickBot="1" x14ac:dyDescent="0.35">
      <c r="A43" s="294" t="s">
        <v>1227</v>
      </c>
      <c r="B43" s="348" t="s">
        <v>80</v>
      </c>
      <c r="C43" s="333" t="s">
        <v>79</v>
      </c>
      <c r="D43" s="294">
        <f t="shared" si="0"/>
        <v>2</v>
      </c>
      <c r="E43" s="294">
        <f t="shared" si="1"/>
        <v>0</v>
      </c>
      <c r="F43" s="294">
        <f t="shared" si="2"/>
        <v>0</v>
      </c>
      <c r="G43" s="294">
        <f t="shared" si="3"/>
        <v>0</v>
      </c>
      <c r="H43" s="341">
        <f t="shared" si="4"/>
        <v>0</v>
      </c>
      <c r="I43" s="294">
        <f t="shared" si="5"/>
        <v>3</v>
      </c>
      <c r="J43" s="294">
        <f t="shared" si="6"/>
        <v>3</v>
      </c>
      <c r="K43" s="294">
        <f t="shared" si="7"/>
        <v>0</v>
      </c>
      <c r="L43" s="341">
        <f t="shared" si="8"/>
        <v>1.5</v>
      </c>
      <c r="M43" s="294">
        <f t="shared" si="9"/>
        <v>3</v>
      </c>
      <c r="N43" s="341">
        <f t="shared" si="10"/>
        <v>1.5</v>
      </c>
      <c r="O43" s="294">
        <f t="shared" si="11"/>
        <v>0</v>
      </c>
      <c r="AF43" s="339">
        <v>2</v>
      </c>
      <c r="AG43" s="344">
        <v>0.91736111111111107</v>
      </c>
      <c r="AH43" s="343">
        <v>0</v>
      </c>
      <c r="AI43" s="342">
        <v>0</v>
      </c>
      <c r="AJ43" s="342">
        <v>0</v>
      </c>
      <c r="AK43" s="342">
        <v>3</v>
      </c>
      <c r="AL43" s="342">
        <v>0</v>
      </c>
      <c r="AM43" s="342">
        <v>0</v>
      </c>
      <c r="AN43" s="342">
        <v>0</v>
      </c>
      <c r="AO43" s="342">
        <v>0</v>
      </c>
      <c r="AP43" s="342">
        <v>3</v>
      </c>
      <c r="AQ43" s="342">
        <v>3</v>
      </c>
      <c r="AR43" s="342">
        <v>0</v>
      </c>
      <c r="AS43" s="342">
        <v>0</v>
      </c>
      <c r="AT43" s="344">
        <v>0.45833333333333331</v>
      </c>
    </row>
    <row r="44" spans="1:46" ht="27.75" customHeight="1" thickBot="1" x14ac:dyDescent="0.35">
      <c r="A44" s="294" t="s">
        <v>1222</v>
      </c>
      <c r="B44" s="348" t="s">
        <v>80</v>
      </c>
      <c r="C44" s="333" t="s">
        <v>79</v>
      </c>
      <c r="D44" s="294">
        <f t="shared" si="0"/>
        <v>1</v>
      </c>
      <c r="E44" s="294">
        <f t="shared" si="1"/>
        <v>1</v>
      </c>
      <c r="F44" s="294">
        <f t="shared" si="2"/>
        <v>1</v>
      </c>
      <c r="G44" s="294">
        <f t="shared" si="3"/>
        <v>2</v>
      </c>
      <c r="H44" s="341">
        <f t="shared" si="4"/>
        <v>2</v>
      </c>
      <c r="I44" s="294">
        <f t="shared" si="5"/>
        <v>2</v>
      </c>
      <c r="J44" s="294">
        <f t="shared" si="6"/>
        <v>2</v>
      </c>
      <c r="K44" s="294">
        <f t="shared" si="7"/>
        <v>0</v>
      </c>
      <c r="L44" s="341">
        <f t="shared" si="8"/>
        <v>2</v>
      </c>
      <c r="M44" s="294">
        <f t="shared" si="9"/>
        <v>3</v>
      </c>
      <c r="N44" s="341">
        <f t="shared" si="10"/>
        <v>3</v>
      </c>
      <c r="O44" s="294">
        <f t="shared" si="11"/>
        <v>0</v>
      </c>
      <c r="AF44" s="339">
        <v>1</v>
      </c>
      <c r="AG44" s="344">
        <v>0.66805555555555562</v>
      </c>
      <c r="AH44" s="343">
        <v>1</v>
      </c>
      <c r="AI44" s="342">
        <v>1</v>
      </c>
      <c r="AJ44" s="342">
        <v>2</v>
      </c>
      <c r="AK44" s="342">
        <v>3</v>
      </c>
      <c r="AL44" s="342">
        <v>50</v>
      </c>
      <c r="AM44" s="342">
        <v>0</v>
      </c>
      <c r="AN44" s="342">
        <v>0</v>
      </c>
      <c r="AO44" s="342">
        <v>1</v>
      </c>
      <c r="AP44" s="342">
        <v>2</v>
      </c>
      <c r="AQ44" s="342">
        <v>2</v>
      </c>
      <c r="AR44" s="342">
        <v>0</v>
      </c>
      <c r="AS44" s="342">
        <v>0</v>
      </c>
      <c r="AT44" s="344">
        <v>0.66805555555555562</v>
      </c>
    </row>
    <row r="45" spans="1:46" ht="27.75" customHeight="1" thickBot="1" x14ac:dyDescent="0.35">
      <c r="A45" s="294" t="s">
        <v>1221</v>
      </c>
      <c r="B45" s="348" t="s">
        <v>80</v>
      </c>
      <c r="C45" s="333" t="s">
        <v>79</v>
      </c>
      <c r="D45" s="294">
        <f t="shared" si="0"/>
        <v>1</v>
      </c>
      <c r="E45" s="294">
        <f t="shared" si="1"/>
        <v>1</v>
      </c>
      <c r="F45" s="294">
        <f t="shared" si="2"/>
        <v>1</v>
      </c>
      <c r="G45" s="294">
        <f t="shared" si="3"/>
        <v>2</v>
      </c>
      <c r="H45" s="341">
        <f t="shared" si="4"/>
        <v>2</v>
      </c>
      <c r="I45" s="294">
        <f t="shared" si="5"/>
        <v>2</v>
      </c>
      <c r="J45" s="294">
        <f t="shared" si="6"/>
        <v>2</v>
      </c>
      <c r="K45" s="294">
        <f t="shared" si="7"/>
        <v>0</v>
      </c>
      <c r="L45" s="341">
        <f t="shared" si="8"/>
        <v>2</v>
      </c>
      <c r="M45" s="294">
        <f t="shared" si="9"/>
        <v>3</v>
      </c>
      <c r="N45" s="341">
        <f t="shared" si="10"/>
        <v>3</v>
      </c>
      <c r="O45" s="294">
        <f t="shared" si="11"/>
        <v>0</v>
      </c>
      <c r="AF45" s="339">
        <v>1</v>
      </c>
      <c r="AG45" s="344">
        <v>0.61875000000000002</v>
      </c>
      <c r="AH45" s="343">
        <v>1</v>
      </c>
      <c r="AI45" s="342">
        <v>1</v>
      </c>
      <c r="AJ45" s="342">
        <v>2</v>
      </c>
      <c r="AK45" s="342">
        <v>3</v>
      </c>
      <c r="AL45" s="342">
        <v>33</v>
      </c>
      <c r="AM45" s="342">
        <v>0</v>
      </c>
      <c r="AN45" s="342">
        <v>0</v>
      </c>
      <c r="AO45" s="342">
        <v>0</v>
      </c>
      <c r="AP45" s="342">
        <v>2</v>
      </c>
      <c r="AQ45" s="342">
        <v>2</v>
      </c>
      <c r="AR45" s="342">
        <v>0</v>
      </c>
      <c r="AS45" s="342">
        <v>0</v>
      </c>
      <c r="AT45" s="344">
        <v>0.61875000000000002</v>
      </c>
    </row>
    <row r="46" spans="1:46" ht="29.25" customHeight="1" thickBot="1" x14ac:dyDescent="0.35">
      <c r="A46" s="294" t="s">
        <v>1223</v>
      </c>
      <c r="B46" s="348" t="s">
        <v>80</v>
      </c>
      <c r="C46" s="333" t="s">
        <v>88</v>
      </c>
      <c r="D46" s="294">
        <f t="shared" si="0"/>
        <v>1</v>
      </c>
      <c r="E46" s="294">
        <f t="shared" si="1"/>
        <v>0</v>
      </c>
      <c r="F46" s="294">
        <f t="shared" si="2"/>
        <v>2</v>
      </c>
      <c r="G46" s="294">
        <f t="shared" si="3"/>
        <v>2</v>
      </c>
      <c r="H46" s="341">
        <f t="shared" si="4"/>
        <v>2</v>
      </c>
      <c r="I46" s="294">
        <f t="shared" si="5"/>
        <v>1</v>
      </c>
      <c r="J46" s="294">
        <f t="shared" si="6"/>
        <v>2</v>
      </c>
      <c r="K46" s="294">
        <f t="shared" si="7"/>
        <v>1</v>
      </c>
      <c r="L46" s="341">
        <f t="shared" si="8"/>
        <v>1</v>
      </c>
      <c r="M46" s="294">
        <f t="shared" si="9"/>
        <v>1</v>
      </c>
      <c r="N46" s="341">
        <f t="shared" si="10"/>
        <v>1</v>
      </c>
      <c r="O46" s="294">
        <f t="shared" si="11"/>
        <v>0</v>
      </c>
      <c r="AF46" s="339">
        <v>1</v>
      </c>
      <c r="AG46" s="344">
        <v>0.92291666666666661</v>
      </c>
      <c r="AH46" s="343">
        <v>0</v>
      </c>
      <c r="AI46" s="342">
        <v>2</v>
      </c>
      <c r="AJ46" s="342">
        <v>2</v>
      </c>
      <c r="AK46" s="342">
        <v>1</v>
      </c>
      <c r="AL46" s="342">
        <v>0</v>
      </c>
      <c r="AM46" s="342">
        <v>0</v>
      </c>
      <c r="AN46" s="342">
        <v>0</v>
      </c>
      <c r="AO46" s="342">
        <v>0</v>
      </c>
      <c r="AP46" s="342">
        <v>1</v>
      </c>
      <c r="AQ46" s="342">
        <v>2</v>
      </c>
      <c r="AR46" s="342">
        <v>1</v>
      </c>
      <c r="AS46" s="342">
        <v>0</v>
      </c>
      <c r="AT46" s="344">
        <v>0.92291666666666661</v>
      </c>
    </row>
    <row r="47" spans="1:46" ht="33.75" customHeight="1" thickBot="1" x14ac:dyDescent="0.35">
      <c r="A47" s="294" t="s">
        <v>1224</v>
      </c>
      <c r="B47" s="348" t="s">
        <v>80</v>
      </c>
      <c r="C47" s="333" t="s">
        <v>88</v>
      </c>
      <c r="D47" s="294">
        <f t="shared" si="0"/>
        <v>1</v>
      </c>
      <c r="E47" s="294">
        <f t="shared" si="1"/>
        <v>0</v>
      </c>
      <c r="F47" s="294">
        <f t="shared" si="2"/>
        <v>0</v>
      </c>
      <c r="G47" s="294">
        <f t="shared" si="3"/>
        <v>0</v>
      </c>
      <c r="H47" s="341">
        <f t="shared" si="4"/>
        <v>0</v>
      </c>
      <c r="I47" s="294">
        <f t="shared" si="5"/>
        <v>1</v>
      </c>
      <c r="J47" s="294">
        <f t="shared" si="6"/>
        <v>2</v>
      </c>
      <c r="K47" s="294">
        <f t="shared" si="7"/>
        <v>1</v>
      </c>
      <c r="L47" s="341">
        <f t="shared" si="8"/>
        <v>1</v>
      </c>
      <c r="M47" s="294">
        <f t="shared" si="9"/>
        <v>5</v>
      </c>
      <c r="N47" s="341">
        <f t="shared" si="10"/>
        <v>5</v>
      </c>
      <c r="O47" s="294">
        <f t="shared" si="11"/>
        <v>0</v>
      </c>
      <c r="AF47" s="339">
        <v>1</v>
      </c>
      <c r="AG47" s="344">
        <v>0.85416666666666663</v>
      </c>
      <c r="AH47" s="343">
        <v>0</v>
      </c>
      <c r="AI47" s="342">
        <v>0</v>
      </c>
      <c r="AJ47" s="342">
        <v>0</v>
      </c>
      <c r="AK47" s="342">
        <v>5</v>
      </c>
      <c r="AL47" s="342">
        <v>0</v>
      </c>
      <c r="AM47" s="342">
        <v>0</v>
      </c>
      <c r="AN47" s="342">
        <v>0</v>
      </c>
      <c r="AO47" s="342">
        <v>0</v>
      </c>
      <c r="AP47" s="342">
        <v>1</v>
      </c>
      <c r="AQ47" s="342">
        <v>2</v>
      </c>
      <c r="AR47" s="342">
        <v>1</v>
      </c>
      <c r="AS47" s="342">
        <v>0</v>
      </c>
      <c r="AT47" s="344">
        <v>0.85416666666666663</v>
      </c>
    </row>
    <row r="48" spans="1:46" ht="33" customHeight="1" thickBot="1" x14ac:dyDescent="0.35">
      <c r="A48" s="294" t="s">
        <v>1226</v>
      </c>
      <c r="B48" s="348" t="s">
        <v>80</v>
      </c>
      <c r="C48" s="333" t="s">
        <v>79</v>
      </c>
      <c r="D48" s="294">
        <f t="shared" si="0"/>
        <v>1</v>
      </c>
      <c r="E48" s="294">
        <f t="shared" si="1"/>
        <v>0</v>
      </c>
      <c r="F48" s="294">
        <f t="shared" si="2"/>
        <v>0</v>
      </c>
      <c r="G48" s="294">
        <f t="shared" si="3"/>
        <v>0</v>
      </c>
      <c r="H48" s="341">
        <f t="shared" si="4"/>
        <v>0</v>
      </c>
      <c r="I48" s="294">
        <f t="shared" si="5"/>
        <v>0</v>
      </c>
      <c r="J48" s="294">
        <f t="shared" si="6"/>
        <v>1</v>
      </c>
      <c r="K48" s="294">
        <f t="shared" si="7"/>
        <v>1</v>
      </c>
      <c r="L48" s="341">
        <f t="shared" si="8"/>
        <v>0</v>
      </c>
      <c r="M48" s="294">
        <f t="shared" si="9"/>
        <v>1</v>
      </c>
      <c r="N48" s="341">
        <f t="shared" si="10"/>
        <v>1</v>
      </c>
      <c r="O48" s="294">
        <f t="shared" si="11"/>
        <v>0</v>
      </c>
      <c r="AF48" s="342">
        <v>1</v>
      </c>
      <c r="AG48" s="344">
        <v>0.65833333333333333</v>
      </c>
      <c r="AH48" s="343">
        <v>0</v>
      </c>
      <c r="AI48" s="342">
        <v>0</v>
      </c>
      <c r="AJ48" s="342">
        <v>0</v>
      </c>
      <c r="AK48" s="342">
        <v>1</v>
      </c>
      <c r="AL48" s="342">
        <v>0</v>
      </c>
      <c r="AM48" s="342">
        <v>0</v>
      </c>
      <c r="AN48" s="342">
        <v>0</v>
      </c>
      <c r="AO48" s="342">
        <v>0</v>
      </c>
      <c r="AP48" s="342">
        <v>0</v>
      </c>
      <c r="AQ48" s="342">
        <v>1</v>
      </c>
      <c r="AR48" s="342">
        <v>1</v>
      </c>
      <c r="AS48" s="342">
        <v>0</v>
      </c>
      <c r="AT48" s="344">
        <v>0.65833333333333333</v>
      </c>
    </row>
    <row r="49" spans="1:46" ht="33" customHeight="1" thickBot="1" x14ac:dyDescent="0.35">
      <c r="A49" s="294" t="s">
        <v>1225</v>
      </c>
      <c r="B49" s="348" t="s">
        <v>80</v>
      </c>
      <c r="C49" s="333" t="s">
        <v>88</v>
      </c>
      <c r="D49" s="294">
        <f t="shared" si="0"/>
        <v>1</v>
      </c>
      <c r="E49" s="294">
        <f t="shared" si="1"/>
        <v>0</v>
      </c>
      <c r="F49" s="294">
        <f t="shared" si="2"/>
        <v>0</v>
      </c>
      <c r="G49" s="294">
        <f t="shared" si="3"/>
        <v>0</v>
      </c>
      <c r="H49" s="341">
        <f t="shared" si="4"/>
        <v>0</v>
      </c>
      <c r="I49" s="294">
        <f t="shared" si="5"/>
        <v>0</v>
      </c>
      <c r="J49" s="294">
        <f t="shared" si="6"/>
        <v>0</v>
      </c>
      <c r="K49" s="294">
        <f t="shared" si="7"/>
        <v>0</v>
      </c>
      <c r="L49" s="341">
        <f t="shared" si="8"/>
        <v>0</v>
      </c>
      <c r="M49" s="294">
        <f t="shared" si="9"/>
        <v>4</v>
      </c>
      <c r="N49" s="341">
        <f t="shared" si="10"/>
        <v>4</v>
      </c>
      <c r="O49" s="294">
        <f t="shared" si="11"/>
        <v>12</v>
      </c>
      <c r="AF49" s="342">
        <v>1</v>
      </c>
      <c r="AG49" s="344">
        <v>0.43611111111111112</v>
      </c>
      <c r="AH49" s="343">
        <v>0</v>
      </c>
      <c r="AI49" s="342">
        <v>0</v>
      </c>
      <c r="AJ49" s="342">
        <v>0</v>
      </c>
      <c r="AK49" s="342">
        <v>4</v>
      </c>
      <c r="AL49" s="342">
        <v>0</v>
      </c>
      <c r="AM49" s="342">
        <v>0</v>
      </c>
      <c r="AN49" s="342">
        <v>0</v>
      </c>
      <c r="AO49" s="342">
        <v>0</v>
      </c>
      <c r="AP49" s="342">
        <v>0</v>
      </c>
      <c r="AQ49" s="342">
        <v>0</v>
      </c>
      <c r="AR49" s="342">
        <v>0</v>
      </c>
      <c r="AS49" s="342">
        <v>12</v>
      </c>
      <c r="AT49" s="344">
        <v>0.43611111111111112</v>
      </c>
    </row>
    <row r="50" spans="1:46" ht="29.4" thickBot="1" x14ac:dyDescent="0.35">
      <c r="A50" s="294" t="s">
        <v>1178</v>
      </c>
      <c r="B50" s="348" t="s">
        <v>80</v>
      </c>
      <c r="C50" s="333" t="s">
        <v>79</v>
      </c>
      <c r="D50" s="294">
        <f t="shared" si="0"/>
        <v>1</v>
      </c>
      <c r="E50" s="294">
        <f t="shared" si="1"/>
        <v>0</v>
      </c>
      <c r="F50" s="294">
        <f t="shared" si="2"/>
        <v>0</v>
      </c>
      <c r="G50" s="294">
        <f t="shared" si="3"/>
        <v>0</v>
      </c>
      <c r="H50" s="341">
        <f t="shared" si="4"/>
        <v>0</v>
      </c>
      <c r="I50" s="294">
        <f t="shared" si="5"/>
        <v>0</v>
      </c>
      <c r="J50" s="294">
        <f t="shared" si="6"/>
        <v>0</v>
      </c>
      <c r="K50" s="294">
        <f t="shared" si="7"/>
        <v>0</v>
      </c>
      <c r="L50" s="341">
        <f t="shared" si="8"/>
        <v>0</v>
      </c>
      <c r="M50" s="294">
        <f t="shared" si="9"/>
        <v>2</v>
      </c>
      <c r="N50" s="341">
        <f t="shared" si="10"/>
        <v>2</v>
      </c>
      <c r="O50" s="294">
        <f t="shared" si="11"/>
        <v>0</v>
      </c>
      <c r="P50" s="342">
        <v>1</v>
      </c>
      <c r="Q50" s="345">
        <v>0.52500000000000002</v>
      </c>
      <c r="R50" s="343">
        <v>0</v>
      </c>
      <c r="S50" s="342">
        <v>0</v>
      </c>
      <c r="T50" s="343">
        <v>0</v>
      </c>
      <c r="U50" s="341">
        <v>0</v>
      </c>
      <c r="V50" s="342">
        <v>2</v>
      </c>
      <c r="W50" s="342">
        <v>0</v>
      </c>
      <c r="X50" s="342">
        <v>0</v>
      </c>
      <c r="Y50" s="342">
        <v>0</v>
      </c>
      <c r="Z50" s="342">
        <v>0</v>
      </c>
      <c r="AA50" s="342">
        <v>0</v>
      </c>
      <c r="AB50" s="342">
        <v>0</v>
      </c>
      <c r="AC50" s="342">
        <v>0</v>
      </c>
      <c r="AD50" s="342">
        <v>0</v>
      </c>
      <c r="AE50" s="344">
        <v>0.52500000000000002</v>
      </c>
      <c r="AF50" s="346"/>
    </row>
  </sheetData>
  <autoFilter ref="A5:AT50" xr:uid="{00000000-0009-0000-0000-000004000000}">
    <sortState xmlns:xlrd2="http://schemas.microsoft.com/office/spreadsheetml/2017/richdata2" ref="A6:AT50">
      <sortCondition descending="1" ref="D5:D50"/>
    </sortState>
  </autoFilter>
  <hyperlinks>
    <hyperlink ref="B6" r:id="rId1" display="https://www.hokej.cz/klub/823/statistiky?stats-view-value=823&amp;t=r1usz0x%3C%21DOCTYPE%2BHTML%2BPUBLIC&amp;stats-filter-season=2018&amp;stats-filter-competition=6238&amp;stats-filter-team=823&amp;stats-menu-section=time&amp;do=stats-view-selectTeam" xr:uid="{00000000-0004-0000-0400-000000000000}"/>
    <hyperlink ref="B10" r:id="rId2" display="https://www.hokej.cz/klub/823/statistiky?stats-view-value=823&amp;t=r1usz0x%3C%21DOCTYPE%2BHTML%2BPUBLIC&amp;stats-filter-season=2018&amp;stats-filter-competition=6238&amp;stats-filter-team=823&amp;stats-menu-section=time&amp;do=stats-view-selectTeam" xr:uid="{00000000-0004-0000-0400-000001000000}"/>
    <hyperlink ref="B9" r:id="rId3" display="https://www.hokej.cz/klub/823/statistiky?stats-view-value=823&amp;t=r1usz0x%3C%21DOCTYPE%2BHTML%2BPUBLIC&amp;stats-filter-season=2018&amp;stats-filter-competition=6238&amp;stats-filter-team=823&amp;stats-menu-section=time&amp;do=stats-view-selectTeam" xr:uid="{00000000-0004-0000-0400-000002000000}"/>
    <hyperlink ref="B11" r:id="rId4" display="https://www.hokej.cz/klub/823/statistiky?stats-view-value=823&amp;t=r1usz0x%3C%21DOCTYPE%2BHTML%2BPUBLIC&amp;stats-filter-season=2018&amp;stats-filter-competition=6238&amp;stats-filter-team=823&amp;stats-menu-section=time&amp;do=stats-view-selectTeam" xr:uid="{00000000-0004-0000-0400-000003000000}"/>
    <hyperlink ref="B12" r:id="rId5" display="https://www.hokej.cz/klub/823/statistiky?stats-view-value=823&amp;t=r1usz0x%3C%21DOCTYPE%2BHTML%2BPUBLIC&amp;stats-filter-season=2018&amp;stats-filter-competition=6238&amp;stats-filter-team=823&amp;stats-menu-section=time&amp;do=stats-view-selectTeam" xr:uid="{00000000-0004-0000-0400-000004000000}"/>
    <hyperlink ref="B15" r:id="rId6" display="https://www.hokej.cz/klub/823/statistiky?stats-view-value=823&amp;t=r1usz0x%3C%21DOCTYPE%2BHTML%2BPUBLIC&amp;stats-filter-season=2018&amp;stats-filter-competition=6238&amp;stats-filter-team=823&amp;stats-menu-section=time&amp;do=stats-view-selectTeam" xr:uid="{00000000-0004-0000-0400-000005000000}"/>
    <hyperlink ref="B17" r:id="rId7" display="https://www.hokej.cz/klub/823/statistiky?stats-view-value=823&amp;t=r1usz0x%3C%21DOCTYPE%2BHTML%2BPUBLIC&amp;stats-filter-season=2018&amp;stats-filter-competition=6238&amp;stats-filter-team=823&amp;stats-menu-section=time&amp;do=stats-view-selectTeam" xr:uid="{00000000-0004-0000-0400-000006000000}"/>
    <hyperlink ref="B13" r:id="rId8" display="https://www.hokej.cz/klub/823/statistiky?stats-view-value=823&amp;t=r1usz0x%3C%21DOCTYPE%2BHTML%2BPUBLIC&amp;stats-filter-season=2018&amp;stats-filter-competition=6238&amp;stats-filter-team=823&amp;stats-menu-section=time&amp;do=stats-view-selectTeam" xr:uid="{00000000-0004-0000-0400-000007000000}"/>
    <hyperlink ref="B7" r:id="rId9" display="https://www.hokej.cz/klub/823/statistiky?stats-view-value=823&amp;t=r1usz0x%3C%21DOCTYPE%2BHTML%2BPUBLIC&amp;stats-filter-season=2018&amp;stats-filter-competition=6238&amp;stats-filter-team=823&amp;stats-menu-section=time&amp;do=stats-view-selectTeam" xr:uid="{00000000-0004-0000-0400-000008000000}"/>
    <hyperlink ref="B8" r:id="rId10" display="https://www.hokej.cz/klub/823/statistiky?stats-view-value=823&amp;t=r1usz0x%3C%21DOCTYPE%2BHTML%2BPUBLIC&amp;stats-filter-season=2018&amp;stats-filter-competition=6238&amp;stats-filter-team=823&amp;stats-menu-section=time&amp;do=stats-view-selectTeam" xr:uid="{00000000-0004-0000-0400-000009000000}"/>
    <hyperlink ref="B18" r:id="rId11" display="https://www.hokej.cz/klub/823/statistiky?stats-view-value=823&amp;t=r1usz0x%3C%21DOCTYPE%2BHTML%2BPUBLIC&amp;stats-filter-season=2018&amp;stats-filter-competition=6238&amp;stats-filter-team=823&amp;stats-menu-section=time&amp;do=stats-view-selectTeam" xr:uid="{00000000-0004-0000-0400-00000A000000}"/>
    <hyperlink ref="B14" r:id="rId12" display="https://www.hokej.cz/klub/823/statistiky?stats-view-value=823&amp;t=r1usz0x%3C%21DOCTYPE%2BHTML%2BPUBLIC&amp;stats-filter-season=2018&amp;stats-filter-competition=6238&amp;stats-filter-team=823&amp;stats-menu-section=time&amp;do=stats-view-selectTeam" xr:uid="{00000000-0004-0000-0400-00000B000000}"/>
    <hyperlink ref="B21" r:id="rId13" display="https://www.hokej.cz/klub/823/statistiky?stats-view-value=823&amp;t=r1usz0x%3C%21DOCTYPE%2BHTML%2BPUBLIC&amp;stats-filter-season=2018&amp;stats-filter-competition=6238&amp;stats-filter-team=823&amp;stats-menu-section=time&amp;do=stats-view-selectTeam" xr:uid="{00000000-0004-0000-0400-00000C000000}"/>
    <hyperlink ref="B19" r:id="rId14" display="https://www.hokej.cz/klub/823/statistiky?stats-view-value=823&amp;t=r1usz0x%3C%21DOCTYPE%2BHTML%2BPUBLIC&amp;stats-filter-season=2018&amp;stats-filter-competition=6238&amp;stats-filter-team=823&amp;stats-menu-section=time&amp;do=stats-view-selectTeam" xr:uid="{00000000-0004-0000-0400-00000D000000}"/>
    <hyperlink ref="B27" r:id="rId15" display="https://www.hokej.cz/klub/823/statistiky?stats-view-value=823&amp;t=r1usz0x%3C%21DOCTYPE%2BHTML%2BPUBLIC&amp;stats-filter-season=2018&amp;stats-filter-competition=6238&amp;stats-filter-team=823&amp;stats-menu-section=time&amp;do=stats-view-selectTeam" xr:uid="{00000000-0004-0000-0400-00000E000000}"/>
    <hyperlink ref="B22" r:id="rId16" display="https://www.hokej.cz/klub/823/statistiky?stats-view-value=823&amp;t=r1usz0x%3C%21DOCTYPE%2BHTML%2BPUBLIC&amp;stats-filter-season=2018&amp;stats-filter-competition=6238&amp;stats-filter-team=823&amp;stats-menu-section=time&amp;do=stats-view-selectTeam" xr:uid="{00000000-0004-0000-0400-00000F000000}"/>
    <hyperlink ref="B29" r:id="rId17" display="https://www.hokej.cz/klub/823/statistiky?stats-view-value=823&amp;t=r1usz0x%3C%21DOCTYPE%2BHTML%2BPUBLIC&amp;stats-filter-season=2018&amp;stats-filter-competition=6238&amp;stats-filter-team=823&amp;stats-menu-section=time&amp;do=stats-view-selectTeam" xr:uid="{00000000-0004-0000-0400-000010000000}"/>
    <hyperlink ref="B16" r:id="rId18" display="https://www.hokej.cz/klub/823/statistiky?stats-view-value=823&amp;t=r1usz0x%3C%21DOCTYPE%2BHTML%2BPUBLIC&amp;stats-filter-season=2018&amp;stats-filter-competition=6238&amp;stats-filter-team=823&amp;stats-menu-section=time&amp;do=stats-view-selectTeam" xr:uid="{00000000-0004-0000-0400-000011000000}"/>
    <hyperlink ref="B34" r:id="rId19" display="https://www.hokej.cz/klub/823/statistiky?stats-view-value=823&amp;t=r1usz0x%3C%21DOCTYPE%2BHTML%2BPUBLIC&amp;stats-filter-season=2018&amp;stats-filter-competition=6238&amp;stats-filter-team=823&amp;stats-menu-section=time&amp;do=stats-view-selectTeam" xr:uid="{00000000-0004-0000-0400-000012000000}"/>
    <hyperlink ref="B24" r:id="rId20" display="https://www.hokej.cz/klub/823/statistiky?stats-view-value=823&amp;t=r1usz0x%3C%21DOCTYPE%2BHTML%2BPUBLIC&amp;stats-filter-season=2018&amp;stats-filter-competition=6238&amp;stats-filter-team=823&amp;stats-menu-section=time&amp;do=stats-view-selectTeam" xr:uid="{00000000-0004-0000-0400-000013000000}"/>
    <hyperlink ref="B25" r:id="rId21" display="https://www.hokej.cz/klub/823/statistiky?stats-view-value=823&amp;t=r1usz0x%3C%21DOCTYPE%2BHTML%2BPUBLIC&amp;stats-filter-season=2018&amp;stats-filter-competition=6238&amp;stats-filter-team=823&amp;stats-menu-section=time&amp;do=stats-view-selectTeam" xr:uid="{00000000-0004-0000-0400-000014000000}"/>
    <hyperlink ref="B32" r:id="rId22" display="https://www.hokej.cz/klub/823/statistiky?stats-view-value=823&amp;t=r1usz0x%3C%21DOCTYPE%2BHTML%2BPUBLIC&amp;stats-filter-season=2018&amp;stats-filter-competition=6238&amp;stats-filter-team=823&amp;stats-menu-section=time&amp;do=stats-view-selectTeam" xr:uid="{00000000-0004-0000-0400-000015000000}"/>
    <hyperlink ref="B26" r:id="rId23" display="https://www.hokej.cz/klub/823/statistiky?stats-view-value=823&amp;t=r1usz0x%3C%21DOCTYPE%2BHTML%2BPUBLIC&amp;stats-filter-season=2018&amp;stats-filter-competition=6238&amp;stats-filter-team=823&amp;stats-menu-section=time&amp;do=stats-view-selectTeam" xr:uid="{00000000-0004-0000-0400-000016000000}"/>
    <hyperlink ref="B30" r:id="rId24" display="https://www.hokej.cz/klub/823/statistiky?stats-view-value=823&amp;t=r1usz0x%3C%21DOCTYPE%2BHTML%2BPUBLIC&amp;stats-filter-season=2018&amp;stats-filter-competition=6238&amp;stats-filter-team=823&amp;stats-menu-section=time&amp;do=stats-view-selectTeam" xr:uid="{00000000-0004-0000-0400-000017000000}"/>
    <hyperlink ref="B20" r:id="rId25" display="https://www.hokej.cz/klub/823/statistiky?stats-view-value=823&amp;t=r1usz0x%3C%21DOCTYPE%2BHTML%2BPUBLIC&amp;stats-filter-season=2018&amp;stats-filter-competition=6238&amp;stats-filter-team=823&amp;stats-menu-section=time&amp;do=stats-view-selectTeam" xr:uid="{00000000-0004-0000-0400-000018000000}"/>
    <hyperlink ref="B36" r:id="rId26" display="https://www.hokej.cz/klub/823/statistiky?stats-view-value=823&amp;t=r1usz0x%3C%21DOCTYPE%2BHTML%2BPUBLIC&amp;stats-filter-season=2018&amp;stats-filter-competition=6238&amp;stats-filter-team=823&amp;stats-menu-section=time&amp;do=stats-view-selectTeam" xr:uid="{00000000-0004-0000-0400-000019000000}"/>
    <hyperlink ref="B31" r:id="rId27" display="https://www.hokej.cz/klub/823/statistiky?stats-view-value=823&amp;t=r1usz0x%3C%21DOCTYPE%2BHTML%2BPUBLIC&amp;stats-filter-season=2018&amp;stats-filter-competition=6238&amp;stats-filter-team=823&amp;stats-menu-section=time&amp;do=stats-view-selectTeam" xr:uid="{00000000-0004-0000-0400-00001A000000}"/>
    <hyperlink ref="B23" r:id="rId28" display="https://www.hokej.cz/klub/823/statistiky?stats-view-value=823&amp;t=r1usz0x%3C%21DOCTYPE%2BHTML%2BPUBLIC&amp;stats-filter-season=2018&amp;stats-filter-competition=6238&amp;stats-filter-team=823&amp;stats-menu-section=time&amp;do=stats-view-selectTeam" xr:uid="{00000000-0004-0000-0400-00001B000000}"/>
    <hyperlink ref="B28" r:id="rId29" display="https://www.hokej.cz/klub/823/statistiky?stats-view-value=823&amp;t=r1usz0x%3C%21DOCTYPE%2BHTML%2BPUBLIC&amp;stats-filter-season=2018&amp;stats-filter-competition=6238&amp;stats-filter-team=823&amp;stats-menu-section=time&amp;do=stats-view-selectTeam" xr:uid="{00000000-0004-0000-0400-00001C000000}"/>
    <hyperlink ref="B38" r:id="rId30" display="https://www.hokej.cz/klub/823/statistiky?stats-view-value=823&amp;t=r1usz0x%3C%21DOCTYPE%2BHTML%2BPUBLIC&amp;stats-filter-season=2018&amp;stats-filter-competition=6238&amp;stats-filter-team=823&amp;stats-menu-section=time&amp;do=stats-view-selectTeam" xr:uid="{00000000-0004-0000-0400-00001D000000}"/>
    <hyperlink ref="B39" r:id="rId31" display="https://www.hokej.cz/klub/823/statistiky?stats-view-value=823&amp;t=r1usz0x%3C%21DOCTYPE%2BHTML%2BPUBLIC&amp;stats-filter-season=2018&amp;stats-filter-competition=6238&amp;stats-filter-team=823&amp;stats-menu-section=time&amp;do=stats-view-selectTeam" xr:uid="{00000000-0004-0000-0400-00001E000000}"/>
    <hyperlink ref="B33" r:id="rId32" display="https://www.hokej.cz/klub/823/statistiky?stats-view-value=823&amp;t=r1usz0x%3C%21DOCTYPE%2BHTML%2BPUBLIC&amp;stats-filter-season=2018&amp;stats-filter-competition=6238&amp;stats-filter-team=823&amp;stats-menu-section=time&amp;do=stats-view-selectTeam" xr:uid="{00000000-0004-0000-0400-00001F000000}"/>
    <hyperlink ref="B37" r:id="rId33" display="https://www.hokej.cz/klub/823/statistiky?stats-view-value=823&amp;t=r1usz0x%3C%21DOCTYPE%2BHTML%2BPUBLIC&amp;stats-filter-season=2018&amp;stats-filter-competition=6238&amp;stats-filter-team=823&amp;stats-menu-section=time&amp;do=stats-view-selectTeam" xr:uid="{00000000-0004-0000-0400-000020000000}"/>
    <hyperlink ref="B35" r:id="rId34" display="https://www.hokej.cz/klub/823/statistiky?stats-view-value=823&amp;t=r1usz0x%3C%21DOCTYPE%2BHTML%2BPUBLIC&amp;stats-filter-season=2018&amp;stats-filter-competition=6238&amp;stats-filter-team=823&amp;stats-menu-section=time&amp;do=stats-view-selectTeam" xr:uid="{00000000-0004-0000-0400-000021000000}"/>
    <hyperlink ref="B42" r:id="rId35" display="https://www.hokej.cz/klub/823/statistiky?stats-view-value=823&amp;t=r1usz0x%3C%21DOCTYPE%2BHTML%2BPUBLIC&amp;stats-filter-season=2018&amp;stats-filter-competition=6238&amp;stats-filter-team=823&amp;stats-menu-section=time&amp;do=stats-view-selectTeam" xr:uid="{00000000-0004-0000-0400-000022000000}"/>
    <hyperlink ref="B40" r:id="rId36" display="https://www.hokej.cz/klub/823/statistiky?stats-view-value=823&amp;t=r1usz0x%3C%21DOCTYPE%2BHTML%2BPUBLIC&amp;stats-filter-season=2018&amp;stats-filter-competition=6238&amp;stats-filter-team=823&amp;stats-menu-section=time&amp;do=stats-view-selectTeam" xr:uid="{00000000-0004-0000-0400-000023000000}"/>
    <hyperlink ref="B50" r:id="rId37" display="https://www.hokej.cz/klub/823/statistiky?stats-view-value=823&amp;t=r1usz0x%3C%21DOCTYPE%2BHTML%2BPUBLIC&amp;stats-filter-season=2018&amp;stats-filter-competition=6238&amp;stats-filter-team=823&amp;stats-menu-section=time&amp;do=stats-view-selectTeam" xr:uid="{00000000-0004-0000-0400-000024000000}"/>
    <hyperlink ref="B41" r:id="rId38" display="https://www.hokej.cz/klub/823/statistiky?stats-view-value=823&amp;t=r1usz0x%3C%21DOCTYPE%2BHTML%2BPUBLIC&amp;stats-filter-season=2018&amp;stats-filter-competition=6238&amp;stats-filter-team=823&amp;stats-menu-section=time&amp;do=stats-view-selectTeam" xr:uid="{00000000-0004-0000-0400-000025000000}"/>
    <hyperlink ref="B43" r:id="rId39" display="https://www.hokej.cz/klub/823/statistiky?stats-view-value=823&amp;t=r1usz0x%3C%21DOCTYPE%2BHTML%2BPUBLIC&amp;stats-filter-season=2018&amp;stats-filter-competition=6238&amp;stats-filter-team=823&amp;stats-menu-section=time&amp;do=stats-view-selectTeam" xr:uid="{00000000-0004-0000-0400-000026000000}"/>
    <hyperlink ref="B44" r:id="rId40" display="https://www.hokej.cz/klub/823/statistiky?stats-view-value=823&amp;t=r1usz0x%3C%21DOCTYPE%2BHTML%2BPUBLIC&amp;stats-filter-season=2018&amp;stats-filter-competition=6238&amp;stats-filter-team=823&amp;stats-menu-section=time&amp;do=stats-view-selectTeam" xr:uid="{00000000-0004-0000-0400-000027000000}"/>
    <hyperlink ref="B45" r:id="rId41" display="https://www.hokej.cz/klub/823/statistiky?stats-view-value=823&amp;t=r1usz0x%3C%21DOCTYPE%2BHTML%2BPUBLIC&amp;stats-filter-season=2018&amp;stats-filter-competition=6238&amp;stats-filter-team=823&amp;stats-menu-section=time&amp;do=stats-view-selectTeam" xr:uid="{00000000-0004-0000-0400-000028000000}"/>
    <hyperlink ref="B48" r:id="rId42" display="https://www.hokej.cz/klub/823/statistiky?stats-view-value=823&amp;t=r1usz0x%3C%21DOCTYPE%2BHTML%2BPUBLIC&amp;stats-filter-season=2018&amp;stats-filter-competition=6238&amp;stats-filter-team=823&amp;stats-menu-section=time&amp;do=stats-view-selectTeam" xr:uid="{00000000-0004-0000-0400-000029000000}"/>
    <hyperlink ref="B46" r:id="rId43" display="https://www.hokej.cz/klub/823/statistiky?stats-view-value=823&amp;t=r1usz0x%3C%21DOCTYPE%2BHTML%2BPUBLIC&amp;stats-filter-season=2018&amp;stats-filter-competition=6238&amp;stats-filter-team=823&amp;stats-menu-section=time&amp;do=stats-view-selectTeam" xr:uid="{00000000-0004-0000-0400-00002A000000}"/>
    <hyperlink ref="B47" r:id="rId44" display="https://www.hokej.cz/klub/823/statistiky?stats-view-value=823&amp;t=r1usz0x%3C%21DOCTYPE%2BHTML%2BPUBLIC&amp;stats-filter-season=2018&amp;stats-filter-competition=6238&amp;stats-filter-team=823&amp;stats-menu-section=time&amp;do=stats-view-selectTeam" xr:uid="{00000000-0004-0000-0400-00002B000000}"/>
    <hyperlink ref="B49" r:id="rId45" display="https://www.hokej.cz/klub/823/statistiky?stats-view-value=823&amp;t=r1usz0x%3C%21DOCTYPE%2BHTML%2BPUBLIC&amp;stats-filter-season=2018&amp;stats-filter-competition=6238&amp;stats-filter-team=823&amp;stats-menu-section=time&amp;do=stats-view-selectTeam" xr:uid="{00000000-0004-0000-0400-00002C000000}"/>
  </hyperlink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D1:BE116"/>
  <sheetViews>
    <sheetView zoomScale="90" zoomScaleNormal="90" workbookViewId="0">
      <selection activeCell="L12" sqref="L12"/>
    </sheetView>
  </sheetViews>
  <sheetFormatPr defaultRowHeight="14.4" x14ac:dyDescent="0.3"/>
  <cols>
    <col min="3" max="3" width="18.5546875" customWidth="1"/>
    <col min="4" max="4" width="16.6640625" customWidth="1"/>
    <col min="5" max="5" width="13" customWidth="1"/>
    <col min="6" max="6" width="13.6640625" customWidth="1"/>
    <col min="7" max="7" width="14.109375" customWidth="1"/>
    <col min="10" max="10" width="12.88671875" customWidth="1"/>
    <col min="12" max="12" width="14" customWidth="1"/>
    <col min="13" max="13" width="13.5546875" customWidth="1"/>
    <col min="16" max="16" width="16.109375" customWidth="1"/>
    <col min="19" max="19" width="13.44140625" customWidth="1"/>
    <col min="20" max="20" width="13" customWidth="1"/>
    <col min="21" max="21" width="14" customWidth="1"/>
    <col min="22" max="22" width="25" customWidth="1"/>
    <col min="23" max="23" width="19.44140625" customWidth="1"/>
    <col min="24" max="24" width="18.44140625" customWidth="1"/>
    <col min="25" max="25" width="28.109375" customWidth="1"/>
    <col min="26" max="26" width="17.5546875" customWidth="1"/>
    <col min="27" max="27" width="14.44140625" customWidth="1"/>
    <col min="28" max="28" width="13.5546875" customWidth="1"/>
    <col min="41" max="41" width="16.44140625" customWidth="1"/>
    <col min="42" max="42" width="35.33203125" customWidth="1"/>
    <col min="46" max="46" width="31.109375" customWidth="1"/>
    <col min="51" max="51" width="38" customWidth="1"/>
    <col min="54" max="54" width="31.44140625" customWidth="1"/>
    <col min="57" max="57" width="39.44140625" customWidth="1"/>
  </cols>
  <sheetData>
    <row r="1" spans="4:57" ht="15" thickBot="1" x14ac:dyDescent="0.35"/>
    <row r="2" spans="4:57" x14ac:dyDescent="0.3">
      <c r="D2" s="303"/>
      <c r="E2" s="1142" t="s">
        <v>997</v>
      </c>
      <c r="F2" s="1143"/>
      <c r="G2" s="1144"/>
      <c r="H2" s="1145" t="s">
        <v>998</v>
      </c>
      <c r="I2" s="1143"/>
      <c r="J2" s="1144"/>
      <c r="K2" s="1145" t="s">
        <v>1033</v>
      </c>
      <c r="L2" s="1143"/>
      <c r="M2" s="1144"/>
      <c r="N2" s="1145" t="s">
        <v>1142</v>
      </c>
      <c r="O2" s="1143"/>
      <c r="P2" s="1144"/>
    </row>
    <row r="3" spans="4:57" ht="15" thickBot="1" x14ac:dyDescent="0.35">
      <c r="D3" s="304"/>
      <c r="E3" s="199" t="s">
        <v>999</v>
      </c>
      <c r="F3" s="200" t="s">
        <v>796</v>
      </c>
      <c r="G3" s="230" t="s">
        <v>1000</v>
      </c>
      <c r="H3" s="235" t="s">
        <v>999</v>
      </c>
      <c r="I3" s="200" t="s">
        <v>796</v>
      </c>
      <c r="J3" s="230" t="s">
        <v>1000</v>
      </c>
      <c r="K3" s="235" t="s">
        <v>999</v>
      </c>
      <c r="L3" s="200" t="s">
        <v>796</v>
      </c>
      <c r="M3" s="230" t="s">
        <v>1000</v>
      </c>
      <c r="N3" s="235" t="s">
        <v>999</v>
      </c>
      <c r="O3" s="200" t="s">
        <v>796</v>
      </c>
      <c r="P3" s="230" t="s">
        <v>1000</v>
      </c>
      <c r="AJ3" s="2"/>
      <c r="AK3" s="2"/>
    </row>
    <row r="4" spans="4:57" x14ac:dyDescent="0.3">
      <c r="D4" s="280" t="s">
        <v>610</v>
      </c>
      <c r="E4" s="277">
        <v>13</v>
      </c>
      <c r="F4" s="278">
        <v>24</v>
      </c>
      <c r="G4" s="279">
        <f t="shared" ref="G4:G17" si="0">F4/E4</f>
        <v>1.8461538461538463</v>
      </c>
      <c r="H4" s="171">
        <v>26</v>
      </c>
      <c r="I4" s="278">
        <v>49</v>
      </c>
      <c r="J4" s="279">
        <f t="shared" ref="J4:J17" si="1">I4/H4</f>
        <v>1.8846153846153846</v>
      </c>
      <c r="K4" s="171">
        <v>39</v>
      </c>
      <c r="L4" s="278">
        <v>76</v>
      </c>
      <c r="M4" s="279">
        <f t="shared" ref="M4:M17" si="2">L4/K4</f>
        <v>1.9487179487179487</v>
      </c>
      <c r="N4" s="171">
        <v>52</v>
      </c>
      <c r="O4" s="278">
        <v>101</v>
      </c>
      <c r="P4" s="279">
        <f t="shared" ref="P4:P17" si="3">O4/N4</f>
        <v>1.9423076923076923</v>
      </c>
      <c r="AI4" s="2"/>
      <c r="AJ4" s="2"/>
      <c r="AK4" s="60"/>
      <c r="AL4" s="60"/>
      <c r="AM4" s="60"/>
      <c r="AN4" s="60"/>
      <c r="AO4" s="2"/>
      <c r="AP4" s="8"/>
      <c r="AQ4" s="2"/>
      <c r="AT4" s="178"/>
      <c r="AY4" s="178"/>
      <c r="BB4" s="178"/>
      <c r="BE4" s="178"/>
    </row>
    <row r="5" spans="4:57" x14ac:dyDescent="0.3">
      <c r="D5" s="281" t="s">
        <v>334</v>
      </c>
      <c r="E5" s="198">
        <v>13</v>
      </c>
      <c r="F5" s="183">
        <v>19</v>
      </c>
      <c r="G5" s="275">
        <f t="shared" si="0"/>
        <v>1.4615384615384615</v>
      </c>
      <c r="H5" s="184">
        <v>27</v>
      </c>
      <c r="I5" s="183">
        <v>55</v>
      </c>
      <c r="J5" s="275">
        <f t="shared" si="1"/>
        <v>2.0370370370370372</v>
      </c>
      <c r="K5" s="184">
        <v>39</v>
      </c>
      <c r="L5" s="183">
        <v>75</v>
      </c>
      <c r="M5" s="275">
        <f t="shared" si="2"/>
        <v>1.9230769230769231</v>
      </c>
      <c r="N5" s="184">
        <v>52</v>
      </c>
      <c r="O5" s="183">
        <v>99</v>
      </c>
      <c r="P5" s="275">
        <f t="shared" si="3"/>
        <v>1.9038461538461537</v>
      </c>
      <c r="AI5" s="2"/>
      <c r="AJ5" s="2"/>
      <c r="AK5" s="60"/>
      <c r="AL5" s="60"/>
      <c r="AM5" s="60"/>
      <c r="AN5" s="60"/>
      <c r="AO5" s="2"/>
      <c r="AP5" s="8"/>
      <c r="AQ5" s="2"/>
      <c r="AT5" s="178"/>
      <c r="AY5" s="178"/>
      <c r="BB5" s="8"/>
      <c r="BE5" s="178"/>
    </row>
    <row r="6" spans="4:57" x14ac:dyDescent="0.3">
      <c r="D6" s="281" t="s">
        <v>331</v>
      </c>
      <c r="E6" s="198">
        <v>13</v>
      </c>
      <c r="F6" s="183">
        <v>24</v>
      </c>
      <c r="G6" s="275">
        <f t="shared" si="0"/>
        <v>1.8461538461538463</v>
      </c>
      <c r="H6" s="184">
        <v>24</v>
      </c>
      <c r="I6" s="183">
        <v>39</v>
      </c>
      <c r="J6" s="275">
        <f t="shared" si="1"/>
        <v>1.625</v>
      </c>
      <c r="K6" s="184">
        <v>38</v>
      </c>
      <c r="L6" s="183">
        <v>71</v>
      </c>
      <c r="M6" s="275">
        <f t="shared" si="2"/>
        <v>1.868421052631579</v>
      </c>
      <c r="N6" s="184">
        <v>52</v>
      </c>
      <c r="O6" s="183">
        <v>98</v>
      </c>
      <c r="P6" s="275">
        <f t="shared" si="3"/>
        <v>1.8846153846153846</v>
      </c>
      <c r="AI6" s="2"/>
      <c r="AJ6" s="2"/>
      <c r="AK6" s="60"/>
      <c r="AL6" s="60"/>
      <c r="AM6" s="60"/>
      <c r="AN6" s="60"/>
      <c r="AO6" s="2"/>
      <c r="AP6" s="182"/>
      <c r="AQ6" s="2"/>
      <c r="AT6" s="178"/>
      <c r="AY6" s="178"/>
      <c r="BB6" s="8"/>
      <c r="BE6" s="8"/>
    </row>
    <row r="7" spans="4:57" x14ac:dyDescent="0.3">
      <c r="D7" s="281" t="s">
        <v>1274</v>
      </c>
      <c r="E7" s="198">
        <v>14</v>
      </c>
      <c r="F7" s="183">
        <v>26</v>
      </c>
      <c r="G7" s="275">
        <f t="shared" si="0"/>
        <v>1.8571428571428572</v>
      </c>
      <c r="H7" s="184">
        <v>28</v>
      </c>
      <c r="I7" s="183">
        <v>49</v>
      </c>
      <c r="J7" s="275">
        <f t="shared" si="1"/>
        <v>1.75</v>
      </c>
      <c r="K7" s="184">
        <v>39</v>
      </c>
      <c r="L7" s="183">
        <v>72</v>
      </c>
      <c r="M7" s="275">
        <f t="shared" si="2"/>
        <v>1.8461538461538463</v>
      </c>
      <c r="N7" s="184">
        <v>52</v>
      </c>
      <c r="O7" s="183">
        <v>93</v>
      </c>
      <c r="P7" s="275">
        <f t="shared" si="3"/>
        <v>1.7884615384615385</v>
      </c>
      <c r="AI7" s="2"/>
      <c r="AJ7" s="2"/>
      <c r="AK7" s="60"/>
      <c r="AL7" s="60"/>
      <c r="AM7" s="60"/>
      <c r="AN7" s="60"/>
      <c r="AO7" s="2"/>
      <c r="AP7" s="8"/>
      <c r="AQ7" s="2"/>
      <c r="AT7" s="178"/>
      <c r="AY7" s="8"/>
      <c r="BB7" s="8"/>
      <c r="BE7" s="8"/>
    </row>
    <row r="8" spans="4:57" x14ac:dyDescent="0.3">
      <c r="D8" s="281" t="s">
        <v>6179</v>
      </c>
      <c r="E8" s="198">
        <v>13</v>
      </c>
      <c r="F8" s="183">
        <v>22</v>
      </c>
      <c r="G8" s="275">
        <f t="shared" si="0"/>
        <v>1.6923076923076923</v>
      </c>
      <c r="H8" s="184">
        <v>26</v>
      </c>
      <c r="I8" s="183">
        <v>42</v>
      </c>
      <c r="J8" s="275">
        <f t="shared" si="1"/>
        <v>1.6153846153846154</v>
      </c>
      <c r="K8" s="184">
        <v>40</v>
      </c>
      <c r="L8" s="183">
        <v>65</v>
      </c>
      <c r="M8" s="275">
        <f t="shared" si="2"/>
        <v>1.625</v>
      </c>
      <c r="N8" s="184">
        <v>52</v>
      </c>
      <c r="O8" s="183">
        <v>88</v>
      </c>
      <c r="P8" s="275">
        <f t="shared" si="3"/>
        <v>1.6923076923076923</v>
      </c>
      <c r="AI8" s="2"/>
      <c r="AJ8" s="2"/>
      <c r="AK8" s="60"/>
      <c r="AL8" s="60"/>
      <c r="AM8" s="60"/>
      <c r="AN8" s="60"/>
      <c r="AO8" s="2"/>
      <c r="AP8" s="8"/>
      <c r="AQ8" s="2"/>
      <c r="AT8" s="178"/>
      <c r="AY8" s="8"/>
      <c r="BB8" s="8"/>
      <c r="BE8" s="8"/>
    </row>
    <row r="9" spans="4:57" x14ac:dyDescent="0.3">
      <c r="D9" s="281" t="s">
        <v>626</v>
      </c>
      <c r="E9" s="198">
        <v>13</v>
      </c>
      <c r="F9" s="183">
        <v>20</v>
      </c>
      <c r="G9" s="275">
        <f t="shared" si="0"/>
        <v>1.5384615384615385</v>
      </c>
      <c r="H9" s="184">
        <v>26</v>
      </c>
      <c r="I9" s="183">
        <v>46</v>
      </c>
      <c r="J9" s="275">
        <f t="shared" si="1"/>
        <v>1.7692307692307692</v>
      </c>
      <c r="K9" s="184">
        <v>40</v>
      </c>
      <c r="L9" s="183">
        <v>61</v>
      </c>
      <c r="M9" s="275">
        <f t="shared" si="2"/>
        <v>1.5249999999999999</v>
      </c>
      <c r="N9" s="184">
        <v>52</v>
      </c>
      <c r="O9" s="183">
        <v>85</v>
      </c>
      <c r="P9" s="275">
        <f t="shared" si="3"/>
        <v>1.6346153846153846</v>
      </c>
      <c r="AI9" s="2"/>
      <c r="AJ9" s="2"/>
      <c r="AK9" s="60"/>
      <c r="AL9" s="60"/>
      <c r="AM9" s="60"/>
      <c r="AN9" s="60"/>
      <c r="AO9" s="2"/>
      <c r="AP9" s="8"/>
      <c r="AQ9" s="2"/>
      <c r="AT9" s="178"/>
      <c r="AY9" s="8"/>
      <c r="BB9" s="272"/>
      <c r="BE9" s="8"/>
    </row>
    <row r="10" spans="4:57" x14ac:dyDescent="0.3">
      <c r="D10" s="281" t="s">
        <v>328</v>
      </c>
      <c r="E10" s="198">
        <v>13</v>
      </c>
      <c r="F10" s="183">
        <v>20</v>
      </c>
      <c r="G10" s="275">
        <f t="shared" si="0"/>
        <v>1.5384615384615385</v>
      </c>
      <c r="H10" s="184">
        <v>27</v>
      </c>
      <c r="I10" s="183">
        <v>41</v>
      </c>
      <c r="J10" s="275">
        <f t="shared" si="1"/>
        <v>1.5185185185185186</v>
      </c>
      <c r="K10" s="184">
        <v>42</v>
      </c>
      <c r="L10" s="183">
        <v>72</v>
      </c>
      <c r="M10" s="275">
        <f t="shared" si="2"/>
        <v>1.7142857142857142</v>
      </c>
      <c r="N10" s="184">
        <v>52</v>
      </c>
      <c r="O10" s="183">
        <v>83</v>
      </c>
      <c r="P10" s="275">
        <f t="shared" si="3"/>
        <v>1.5961538461538463</v>
      </c>
      <c r="AI10" s="2"/>
      <c r="AJ10" s="2"/>
      <c r="AK10" s="60"/>
      <c r="AL10" s="60"/>
      <c r="AM10" s="60"/>
      <c r="AN10" s="60"/>
      <c r="AO10" s="2"/>
      <c r="AP10" s="178"/>
      <c r="AQ10" s="2"/>
      <c r="AT10" s="178"/>
      <c r="AY10" s="8"/>
      <c r="BB10" s="8"/>
      <c r="BE10" s="8"/>
    </row>
    <row r="11" spans="4:57" x14ac:dyDescent="0.3">
      <c r="D11" s="281" t="s">
        <v>6086</v>
      </c>
      <c r="E11" s="198">
        <v>13</v>
      </c>
      <c r="F11" s="183">
        <v>12</v>
      </c>
      <c r="G11" s="275">
        <f t="shared" si="0"/>
        <v>0.92307692307692313</v>
      </c>
      <c r="H11" s="184">
        <v>27</v>
      </c>
      <c r="I11" s="183">
        <v>34</v>
      </c>
      <c r="J11" s="275">
        <f t="shared" si="1"/>
        <v>1.2592592592592593</v>
      </c>
      <c r="K11" s="184">
        <v>40</v>
      </c>
      <c r="L11" s="183">
        <v>60</v>
      </c>
      <c r="M11" s="275">
        <f t="shared" si="2"/>
        <v>1.5</v>
      </c>
      <c r="N11" s="184">
        <v>52</v>
      </c>
      <c r="O11" s="183">
        <v>82</v>
      </c>
      <c r="P11" s="275">
        <f t="shared" si="3"/>
        <v>1.5769230769230769</v>
      </c>
      <c r="AI11" s="2"/>
      <c r="AJ11" s="2"/>
      <c r="AK11" s="60"/>
      <c r="AL11" s="60"/>
      <c r="AM11" s="60"/>
      <c r="AN11" s="60"/>
      <c r="AO11" s="2"/>
      <c r="AP11" s="8"/>
      <c r="AQ11" s="2"/>
      <c r="AT11" s="178"/>
      <c r="AY11" s="8"/>
      <c r="BB11" s="8"/>
      <c r="BE11" s="8"/>
    </row>
    <row r="12" spans="4:57" x14ac:dyDescent="0.3">
      <c r="D12" s="281" t="s">
        <v>326</v>
      </c>
      <c r="E12" s="198">
        <v>13</v>
      </c>
      <c r="F12" s="183">
        <v>19</v>
      </c>
      <c r="G12" s="275">
        <f t="shared" si="0"/>
        <v>1.4615384615384615</v>
      </c>
      <c r="H12" s="184">
        <v>26</v>
      </c>
      <c r="I12" s="183">
        <v>38</v>
      </c>
      <c r="J12" s="275">
        <f t="shared" si="1"/>
        <v>1.4615384615384615</v>
      </c>
      <c r="K12" s="184">
        <v>39</v>
      </c>
      <c r="L12" s="183">
        <v>53</v>
      </c>
      <c r="M12" s="275">
        <f t="shared" si="2"/>
        <v>1.358974358974359</v>
      </c>
      <c r="N12" s="184">
        <v>52</v>
      </c>
      <c r="O12" s="183">
        <v>77</v>
      </c>
      <c r="P12" s="275">
        <f t="shared" si="3"/>
        <v>1.4807692307692308</v>
      </c>
      <c r="AI12" s="2"/>
      <c r="AJ12" s="2"/>
      <c r="AK12" s="60"/>
      <c r="AL12" s="60"/>
      <c r="AM12" s="60"/>
      <c r="AN12" s="60"/>
      <c r="AO12" s="2"/>
      <c r="AP12" s="8"/>
      <c r="AQ12" s="2"/>
      <c r="AT12" s="8"/>
      <c r="AY12" s="8"/>
      <c r="BB12" s="8"/>
    </row>
    <row r="13" spans="4:57" x14ac:dyDescent="0.3">
      <c r="D13" s="281" t="s">
        <v>325</v>
      </c>
      <c r="E13" s="198">
        <v>14</v>
      </c>
      <c r="F13" s="183">
        <v>26</v>
      </c>
      <c r="G13" s="275">
        <f t="shared" si="0"/>
        <v>1.8571428571428572</v>
      </c>
      <c r="H13" s="184">
        <v>26</v>
      </c>
      <c r="I13" s="183">
        <v>41</v>
      </c>
      <c r="J13" s="275">
        <f t="shared" si="1"/>
        <v>1.5769230769230769</v>
      </c>
      <c r="K13" s="184">
        <v>38</v>
      </c>
      <c r="L13" s="183">
        <v>56</v>
      </c>
      <c r="M13" s="275">
        <f t="shared" si="2"/>
        <v>1.4736842105263157</v>
      </c>
      <c r="N13" s="184">
        <v>52</v>
      </c>
      <c r="O13" s="183">
        <v>76</v>
      </c>
      <c r="P13" s="275">
        <f t="shared" si="3"/>
        <v>1.4615384615384615</v>
      </c>
      <c r="AI13" s="2"/>
      <c r="AJ13" s="2"/>
      <c r="AK13" s="60"/>
      <c r="AL13" s="60"/>
      <c r="AM13" s="60"/>
      <c r="AN13" s="60"/>
      <c r="AO13" s="2"/>
      <c r="AP13" s="178"/>
      <c r="AQ13" s="2"/>
      <c r="AT13" s="8"/>
      <c r="BB13" s="8"/>
      <c r="BE13" s="8"/>
    </row>
    <row r="14" spans="4:57" x14ac:dyDescent="0.3">
      <c r="D14" s="282" t="s">
        <v>818</v>
      </c>
      <c r="E14" s="287">
        <v>14</v>
      </c>
      <c r="F14" s="288">
        <v>26</v>
      </c>
      <c r="G14" s="289">
        <f t="shared" si="0"/>
        <v>1.8571428571428572</v>
      </c>
      <c r="H14" s="237">
        <v>26</v>
      </c>
      <c r="I14" s="288">
        <v>38</v>
      </c>
      <c r="J14" s="289">
        <f t="shared" si="1"/>
        <v>1.4615384615384615</v>
      </c>
      <c r="K14" s="237">
        <v>39</v>
      </c>
      <c r="L14" s="288">
        <v>56</v>
      </c>
      <c r="M14" s="289">
        <f t="shared" si="2"/>
        <v>1.4358974358974359</v>
      </c>
      <c r="N14" s="237">
        <v>52</v>
      </c>
      <c r="O14" s="288">
        <v>71</v>
      </c>
      <c r="P14" s="289">
        <f t="shared" si="3"/>
        <v>1.3653846153846154</v>
      </c>
      <c r="AI14" s="2"/>
      <c r="AJ14" s="2"/>
      <c r="AK14" s="60"/>
      <c r="AL14" s="60"/>
      <c r="AM14" s="60"/>
      <c r="AN14" s="60"/>
      <c r="AO14" s="2"/>
      <c r="AP14" s="178"/>
      <c r="AQ14" s="2"/>
      <c r="AT14" s="8"/>
      <c r="AY14" s="182"/>
      <c r="BE14" s="8"/>
    </row>
    <row r="15" spans="4:57" x14ac:dyDescent="0.3">
      <c r="D15" s="281" t="s">
        <v>6076</v>
      </c>
      <c r="E15" s="198">
        <v>13</v>
      </c>
      <c r="F15" s="183">
        <v>16</v>
      </c>
      <c r="G15" s="275">
        <f t="shared" si="0"/>
        <v>1.2307692307692308</v>
      </c>
      <c r="H15" s="184">
        <v>26</v>
      </c>
      <c r="I15" s="183">
        <v>36</v>
      </c>
      <c r="J15" s="275">
        <f t="shared" si="1"/>
        <v>1.3846153846153846</v>
      </c>
      <c r="K15" s="184">
        <v>38</v>
      </c>
      <c r="L15" s="183">
        <v>42</v>
      </c>
      <c r="M15" s="275">
        <f t="shared" si="2"/>
        <v>1.1052631578947369</v>
      </c>
      <c r="N15" s="184">
        <v>52</v>
      </c>
      <c r="O15" s="183">
        <v>53</v>
      </c>
      <c r="P15" s="275">
        <f t="shared" si="3"/>
        <v>1.0192307692307692</v>
      </c>
      <c r="AI15" s="2"/>
      <c r="AJ15" s="2"/>
      <c r="AK15" s="60"/>
      <c r="AL15" s="60"/>
      <c r="AM15" s="60"/>
      <c r="AN15" s="60"/>
      <c r="AO15" s="2"/>
      <c r="AP15" s="182"/>
      <c r="AQ15" s="2"/>
      <c r="AT15" s="8"/>
      <c r="AY15" s="8"/>
      <c r="BB15" s="178"/>
      <c r="BE15" s="8"/>
    </row>
    <row r="16" spans="4:57" x14ac:dyDescent="0.3">
      <c r="D16" s="281" t="s">
        <v>612</v>
      </c>
      <c r="E16" s="198">
        <v>13</v>
      </c>
      <c r="F16" s="183">
        <v>9</v>
      </c>
      <c r="G16" s="275">
        <f t="shared" si="0"/>
        <v>0.69230769230769229</v>
      </c>
      <c r="H16" s="184">
        <v>25</v>
      </c>
      <c r="I16" s="183">
        <v>20</v>
      </c>
      <c r="J16" s="275">
        <f t="shared" si="1"/>
        <v>0.8</v>
      </c>
      <c r="K16" s="184">
        <v>39</v>
      </c>
      <c r="L16" s="183">
        <v>37</v>
      </c>
      <c r="M16" s="275">
        <f t="shared" si="2"/>
        <v>0.94871794871794868</v>
      </c>
      <c r="N16" s="184">
        <v>52</v>
      </c>
      <c r="O16" s="183">
        <v>50</v>
      </c>
      <c r="P16" s="275">
        <f t="shared" si="3"/>
        <v>0.96153846153846156</v>
      </c>
      <c r="AI16" s="2"/>
      <c r="AJ16" s="2"/>
      <c r="AK16" s="60"/>
      <c r="AL16" s="60"/>
      <c r="AM16" s="60"/>
      <c r="AN16" s="60"/>
      <c r="AO16" s="2"/>
      <c r="AP16" s="8"/>
      <c r="AQ16" s="2"/>
      <c r="AT16" s="8"/>
      <c r="AY16" s="8"/>
      <c r="BB16" s="8"/>
      <c r="BE16" s="8"/>
    </row>
    <row r="17" spans="4:57" ht="15" thickBot="1" x14ac:dyDescent="0.35">
      <c r="D17" s="283" t="s">
        <v>327</v>
      </c>
      <c r="E17" s="199">
        <v>14</v>
      </c>
      <c r="F17" s="200">
        <v>16</v>
      </c>
      <c r="G17" s="276">
        <f t="shared" si="0"/>
        <v>1.1428571428571428</v>
      </c>
      <c r="H17" s="235">
        <v>26</v>
      </c>
      <c r="I17" s="200">
        <v>21</v>
      </c>
      <c r="J17" s="276">
        <f t="shared" si="1"/>
        <v>0.80769230769230771</v>
      </c>
      <c r="K17" s="235">
        <v>40</v>
      </c>
      <c r="L17" s="200">
        <v>29</v>
      </c>
      <c r="M17" s="276">
        <f t="shared" si="2"/>
        <v>0.72499999999999998</v>
      </c>
      <c r="N17" s="235">
        <v>52</v>
      </c>
      <c r="O17" s="200">
        <v>36</v>
      </c>
      <c r="P17" s="276">
        <f t="shared" si="3"/>
        <v>0.69230769230769229</v>
      </c>
      <c r="AI17" s="2"/>
      <c r="AJ17" s="2"/>
      <c r="AK17" s="60"/>
      <c r="AL17" s="60"/>
      <c r="AM17" s="60"/>
      <c r="AN17" s="60"/>
      <c r="AO17" s="2"/>
      <c r="AP17" s="178"/>
      <c r="AQ17" s="2"/>
      <c r="AT17" s="8"/>
      <c r="AY17" s="182"/>
      <c r="BB17" s="8"/>
      <c r="BE17" s="8"/>
    </row>
    <row r="18" spans="4:57" ht="15" thickBot="1" x14ac:dyDescent="0.35">
      <c r="AI18" s="2"/>
      <c r="AJ18" s="2"/>
      <c r="AK18" s="60"/>
      <c r="AL18" s="60"/>
      <c r="AM18" s="60"/>
      <c r="AN18" s="60"/>
      <c r="AO18" s="2"/>
      <c r="AP18" s="178"/>
      <c r="AQ18" s="2"/>
      <c r="AT18" s="8"/>
      <c r="AY18" s="178"/>
      <c r="BB18" s="8"/>
      <c r="BE18" s="8"/>
    </row>
    <row r="19" spans="4:57" ht="15" thickBot="1" x14ac:dyDescent="0.35">
      <c r="D19" s="291"/>
      <c r="E19" s="292"/>
      <c r="F19" s="292"/>
      <c r="G19" s="292"/>
      <c r="H19" s="292"/>
      <c r="I19" s="292"/>
      <c r="J19" s="292"/>
      <c r="K19" s="292"/>
      <c r="L19" s="292"/>
      <c r="M19" s="293"/>
      <c r="AI19" s="2"/>
      <c r="AJ19" s="2"/>
      <c r="AK19" s="60"/>
      <c r="AL19" s="60"/>
      <c r="AM19" s="60"/>
      <c r="AN19" s="60"/>
      <c r="AO19" s="2"/>
      <c r="AP19" s="8"/>
      <c r="AQ19" s="2"/>
      <c r="AT19" s="8"/>
    </row>
    <row r="20" spans="4:57" ht="15" thickBot="1" x14ac:dyDescent="0.35">
      <c r="AI20" s="2"/>
      <c r="AJ20" s="2"/>
      <c r="AK20" s="60"/>
      <c r="AL20" s="60"/>
      <c r="AM20" s="60"/>
      <c r="AN20" s="60"/>
      <c r="AO20" s="2"/>
      <c r="AP20" s="8"/>
      <c r="AQ20" s="2"/>
      <c r="AT20" s="8"/>
    </row>
    <row r="21" spans="4:57" x14ac:dyDescent="0.3">
      <c r="D21" s="303"/>
      <c r="E21" s="1142" t="s">
        <v>997</v>
      </c>
      <c r="F21" s="1143"/>
      <c r="G21" s="1154"/>
      <c r="H21" s="1142" t="s">
        <v>1001</v>
      </c>
      <c r="I21" s="1143"/>
      <c r="J21" s="1154"/>
      <c r="K21" s="1142" t="s">
        <v>1034</v>
      </c>
      <c r="L21" s="1143"/>
      <c r="M21" s="1144"/>
      <c r="N21" s="1142" t="s">
        <v>1125</v>
      </c>
      <c r="O21" s="1143"/>
      <c r="P21" s="1144"/>
      <c r="AI21" s="2"/>
      <c r="AJ21" s="2"/>
      <c r="AK21" s="60"/>
      <c r="AL21" s="60"/>
      <c r="AM21" s="60"/>
      <c r="AN21" s="60"/>
      <c r="AO21" s="2"/>
      <c r="AP21" s="8"/>
      <c r="AQ21" s="2"/>
      <c r="AT21" s="8"/>
    </row>
    <row r="22" spans="4:57" ht="15" thickBot="1" x14ac:dyDescent="0.35">
      <c r="D22" s="304"/>
      <c r="E22" s="199" t="s">
        <v>999</v>
      </c>
      <c r="F22" s="200" t="s">
        <v>796</v>
      </c>
      <c r="G22" s="236" t="s">
        <v>1000</v>
      </c>
      <c r="H22" s="199" t="s">
        <v>999</v>
      </c>
      <c r="I22" s="200" t="s">
        <v>796</v>
      </c>
      <c r="J22" s="236" t="s">
        <v>1000</v>
      </c>
      <c r="K22" s="199" t="s">
        <v>999</v>
      </c>
      <c r="L22" s="200" t="s">
        <v>796</v>
      </c>
      <c r="M22" s="230" t="s">
        <v>1000</v>
      </c>
      <c r="N22" s="199" t="s">
        <v>999</v>
      </c>
      <c r="O22" s="200" t="s">
        <v>796</v>
      </c>
      <c r="P22" s="230" t="s">
        <v>1000</v>
      </c>
      <c r="AI22" s="2"/>
      <c r="AJ22" s="2"/>
      <c r="AK22" s="60"/>
      <c r="AL22" s="60"/>
      <c r="AM22" s="60"/>
      <c r="AN22" s="60"/>
      <c r="AO22" s="2"/>
      <c r="AP22" s="8"/>
      <c r="AQ22" s="2"/>
      <c r="AT22" s="272"/>
    </row>
    <row r="23" spans="4:57" x14ac:dyDescent="0.3">
      <c r="D23" s="280" t="s">
        <v>1274</v>
      </c>
      <c r="E23" s="277">
        <v>14</v>
      </c>
      <c r="F23" s="278">
        <v>26</v>
      </c>
      <c r="G23" s="284">
        <v>1.8571428571428572</v>
      </c>
      <c r="H23" s="277">
        <v>14</v>
      </c>
      <c r="I23" s="278">
        <v>23</v>
      </c>
      <c r="J23" s="284">
        <v>1.6428571428571428</v>
      </c>
      <c r="K23" s="277">
        <v>11</v>
      </c>
      <c r="L23" s="278">
        <v>23</v>
      </c>
      <c r="M23" s="279">
        <v>2.0909090909090908</v>
      </c>
      <c r="N23" s="277">
        <v>13</v>
      </c>
      <c r="O23" s="278">
        <v>21</v>
      </c>
      <c r="P23" s="279">
        <v>1.6153846153846154</v>
      </c>
      <c r="AI23" s="2"/>
      <c r="AJ23" s="2"/>
      <c r="AK23" s="60"/>
      <c r="AL23" s="60"/>
      <c r="AM23" s="60"/>
      <c r="AN23" s="60"/>
      <c r="AO23" s="2"/>
      <c r="AP23" s="8"/>
      <c r="AQ23" s="2"/>
      <c r="AT23" s="8"/>
    </row>
    <row r="24" spans="4:57" x14ac:dyDescent="0.3">
      <c r="D24" s="281" t="s">
        <v>325</v>
      </c>
      <c r="E24" s="198">
        <v>14</v>
      </c>
      <c r="F24" s="183">
        <v>26</v>
      </c>
      <c r="G24" s="285">
        <v>1.8571428571428572</v>
      </c>
      <c r="H24" s="198">
        <v>12</v>
      </c>
      <c r="I24" s="183">
        <v>15</v>
      </c>
      <c r="J24" s="285">
        <v>1.25</v>
      </c>
      <c r="K24" s="198">
        <v>12</v>
      </c>
      <c r="L24" s="183">
        <v>15</v>
      </c>
      <c r="M24" s="275">
        <v>1.25</v>
      </c>
      <c r="N24" s="198">
        <v>14</v>
      </c>
      <c r="O24" s="183">
        <v>20</v>
      </c>
      <c r="P24" s="275">
        <v>1.4285714285714286</v>
      </c>
      <c r="AI24" s="2"/>
      <c r="AJ24" s="2"/>
      <c r="AK24" s="60"/>
      <c r="AL24" s="60"/>
      <c r="AM24" s="60"/>
      <c r="AN24" s="60"/>
      <c r="AO24" s="2"/>
      <c r="AP24" s="8"/>
      <c r="AQ24" s="2"/>
      <c r="AT24" s="8"/>
    </row>
    <row r="25" spans="4:57" x14ac:dyDescent="0.3">
      <c r="D25" s="282" t="s">
        <v>818</v>
      </c>
      <c r="E25" s="287">
        <v>14</v>
      </c>
      <c r="F25" s="288">
        <v>26</v>
      </c>
      <c r="G25" s="290">
        <v>1.8571428571428572</v>
      </c>
      <c r="H25" s="287">
        <v>12</v>
      </c>
      <c r="I25" s="288">
        <v>12</v>
      </c>
      <c r="J25" s="290">
        <v>1</v>
      </c>
      <c r="K25" s="287">
        <v>13</v>
      </c>
      <c r="L25" s="288">
        <v>18</v>
      </c>
      <c r="M25" s="289">
        <v>1.3846153846153846</v>
      </c>
      <c r="N25" s="287">
        <v>13</v>
      </c>
      <c r="O25" s="288">
        <v>15</v>
      </c>
      <c r="P25" s="289">
        <v>1.1538461538461537</v>
      </c>
      <c r="AI25" s="2"/>
      <c r="AJ25" s="2"/>
      <c r="AK25" s="60"/>
      <c r="AL25" s="60"/>
      <c r="AM25" s="60"/>
      <c r="AN25" s="60"/>
      <c r="AO25" s="2"/>
      <c r="AP25" s="8"/>
      <c r="AQ25" s="2"/>
      <c r="AT25" s="8"/>
    </row>
    <row r="26" spans="4:57" x14ac:dyDescent="0.3">
      <c r="D26" s="281" t="s">
        <v>331</v>
      </c>
      <c r="E26" s="198">
        <v>13</v>
      </c>
      <c r="F26" s="183">
        <v>24</v>
      </c>
      <c r="G26" s="285">
        <v>1.8461538461538463</v>
      </c>
      <c r="H26" s="198">
        <v>11</v>
      </c>
      <c r="I26" s="183">
        <v>15</v>
      </c>
      <c r="J26" s="285">
        <v>1.3636363636363635</v>
      </c>
      <c r="K26" s="198">
        <v>14</v>
      </c>
      <c r="L26" s="183">
        <v>32</v>
      </c>
      <c r="M26" s="275">
        <v>2.2857142857142856</v>
      </c>
      <c r="N26" s="198">
        <v>14</v>
      </c>
      <c r="O26" s="183">
        <v>27</v>
      </c>
      <c r="P26" s="275">
        <v>1.9285714285714286</v>
      </c>
      <c r="AI26" s="2"/>
      <c r="AJ26" s="2"/>
      <c r="AK26" s="60"/>
      <c r="AL26" s="60"/>
      <c r="AM26" s="60"/>
      <c r="AN26" s="60"/>
      <c r="AO26" s="2"/>
      <c r="AP26" s="272"/>
      <c r="AQ26" s="2"/>
      <c r="AT26" s="8"/>
    </row>
    <row r="27" spans="4:57" x14ac:dyDescent="0.3">
      <c r="D27" s="281" t="s">
        <v>610</v>
      </c>
      <c r="E27" s="198">
        <v>13</v>
      </c>
      <c r="F27" s="183">
        <v>24</v>
      </c>
      <c r="G27" s="285">
        <v>1.8461538461538463</v>
      </c>
      <c r="H27" s="198">
        <v>13</v>
      </c>
      <c r="I27" s="183">
        <v>25</v>
      </c>
      <c r="J27" s="285">
        <v>1.9230769230769231</v>
      </c>
      <c r="K27" s="198">
        <v>13</v>
      </c>
      <c r="L27" s="183">
        <v>27</v>
      </c>
      <c r="M27" s="275">
        <v>2.0769230769230771</v>
      </c>
      <c r="N27" s="198">
        <v>13</v>
      </c>
      <c r="O27" s="183">
        <v>25</v>
      </c>
      <c r="P27" s="275">
        <v>1.9230769230769231</v>
      </c>
      <c r="AI27" s="2"/>
      <c r="AJ27" s="2"/>
      <c r="AK27" s="60"/>
      <c r="AL27" s="60"/>
      <c r="AM27" s="60"/>
      <c r="AN27" s="60"/>
      <c r="AO27" s="2"/>
      <c r="AP27" s="8"/>
      <c r="AQ27" s="2"/>
      <c r="AT27" s="8"/>
    </row>
    <row r="28" spans="4:57" x14ac:dyDescent="0.3">
      <c r="D28" s="281" t="s">
        <v>6179</v>
      </c>
      <c r="E28" s="198">
        <v>13</v>
      </c>
      <c r="F28" s="183">
        <v>22</v>
      </c>
      <c r="G28" s="285">
        <v>1.6923076923076923</v>
      </c>
      <c r="H28" s="198">
        <v>13</v>
      </c>
      <c r="I28" s="183">
        <v>20</v>
      </c>
      <c r="J28" s="285">
        <v>1.5384615384615385</v>
      </c>
      <c r="K28" s="198">
        <v>14</v>
      </c>
      <c r="L28" s="183">
        <v>23</v>
      </c>
      <c r="M28" s="275">
        <v>1.6428571428571428</v>
      </c>
      <c r="N28" s="198">
        <v>12</v>
      </c>
      <c r="O28" s="183">
        <v>23</v>
      </c>
      <c r="P28" s="275">
        <v>1.9166666666666667</v>
      </c>
      <c r="AI28" s="2"/>
      <c r="AJ28" s="2"/>
      <c r="AK28" s="2"/>
      <c r="AL28" s="60"/>
      <c r="AM28" s="60"/>
      <c r="AN28" s="60"/>
      <c r="AO28" s="2"/>
      <c r="AP28" s="8"/>
      <c r="AQ28" s="2"/>
      <c r="AT28" s="8"/>
    </row>
    <row r="29" spans="4:57" x14ac:dyDescent="0.3">
      <c r="D29" s="281" t="s">
        <v>626</v>
      </c>
      <c r="E29" s="198">
        <v>13</v>
      </c>
      <c r="F29" s="183">
        <v>20</v>
      </c>
      <c r="G29" s="285">
        <v>1.5384615384615385</v>
      </c>
      <c r="H29" s="198">
        <v>13</v>
      </c>
      <c r="I29" s="183">
        <v>26</v>
      </c>
      <c r="J29" s="285">
        <v>2</v>
      </c>
      <c r="K29" s="198">
        <v>14</v>
      </c>
      <c r="L29" s="183">
        <v>15</v>
      </c>
      <c r="M29" s="275">
        <v>1.0714285714285714</v>
      </c>
      <c r="N29" s="198">
        <v>12</v>
      </c>
      <c r="O29" s="183">
        <v>24</v>
      </c>
      <c r="P29" s="275">
        <v>2</v>
      </c>
      <c r="AI29" s="2"/>
      <c r="AJ29" s="2"/>
      <c r="AK29" s="60"/>
      <c r="AL29" s="60"/>
      <c r="AM29" s="60"/>
      <c r="AN29" s="60"/>
      <c r="AO29" s="2"/>
      <c r="AP29" s="178"/>
      <c r="AQ29" s="2"/>
      <c r="AT29" s="8"/>
    </row>
    <row r="30" spans="4:57" x14ac:dyDescent="0.3">
      <c r="D30" s="281" t="s">
        <v>328</v>
      </c>
      <c r="E30" s="198">
        <v>13</v>
      </c>
      <c r="F30" s="183">
        <v>20</v>
      </c>
      <c r="G30" s="285">
        <v>1.5384615384615385</v>
      </c>
      <c r="H30" s="198">
        <v>14</v>
      </c>
      <c r="I30" s="183">
        <v>21</v>
      </c>
      <c r="J30" s="285">
        <v>1.5</v>
      </c>
      <c r="K30" s="198">
        <v>15</v>
      </c>
      <c r="L30" s="183">
        <v>31</v>
      </c>
      <c r="M30" s="275">
        <v>2.0666666666666669</v>
      </c>
      <c r="N30" s="198">
        <v>10</v>
      </c>
      <c r="O30" s="183">
        <v>11</v>
      </c>
      <c r="P30" s="275">
        <v>1.1000000000000001</v>
      </c>
      <c r="AI30" s="2"/>
      <c r="AJ30" s="2"/>
      <c r="AK30" s="60"/>
      <c r="AL30" s="60"/>
      <c r="AM30" s="60"/>
      <c r="AN30" s="60"/>
      <c r="AO30" s="2"/>
      <c r="AP30" s="8"/>
      <c r="AQ30" s="2"/>
      <c r="AT30" s="8"/>
    </row>
    <row r="31" spans="4:57" x14ac:dyDescent="0.3">
      <c r="D31" s="281" t="s">
        <v>334</v>
      </c>
      <c r="E31" s="198">
        <v>13</v>
      </c>
      <c r="F31" s="183">
        <v>19</v>
      </c>
      <c r="G31" s="285">
        <v>1.4615384615384615</v>
      </c>
      <c r="H31" s="198">
        <v>14</v>
      </c>
      <c r="I31" s="183">
        <v>36</v>
      </c>
      <c r="J31" s="285">
        <v>2.5714285714285716</v>
      </c>
      <c r="K31" s="198">
        <v>12</v>
      </c>
      <c r="L31" s="183">
        <v>20</v>
      </c>
      <c r="M31" s="275">
        <v>1.6666666666666667</v>
      </c>
      <c r="N31" s="198">
        <v>13</v>
      </c>
      <c r="O31" s="183">
        <v>24</v>
      </c>
      <c r="P31" s="275">
        <v>1.8461538461538463</v>
      </c>
      <c r="AI31" s="2"/>
      <c r="AJ31" s="2"/>
      <c r="AK31" s="60"/>
      <c r="AL31" s="60"/>
      <c r="AM31" s="60"/>
      <c r="AN31" s="60"/>
      <c r="AO31" s="2"/>
      <c r="AP31" s="8"/>
      <c r="AQ31" s="2"/>
      <c r="AT31" s="8"/>
    </row>
    <row r="32" spans="4:57" x14ac:dyDescent="0.3">
      <c r="D32" s="281" t="s">
        <v>326</v>
      </c>
      <c r="E32" s="198">
        <v>13</v>
      </c>
      <c r="F32" s="183">
        <v>19</v>
      </c>
      <c r="G32" s="285">
        <v>1.4615384615384615</v>
      </c>
      <c r="H32" s="198">
        <v>13</v>
      </c>
      <c r="I32" s="183">
        <v>19</v>
      </c>
      <c r="J32" s="285">
        <v>1.4615384615384615</v>
      </c>
      <c r="K32" s="198">
        <v>13</v>
      </c>
      <c r="L32" s="183">
        <v>15</v>
      </c>
      <c r="M32" s="275">
        <v>1.1538461538461537</v>
      </c>
      <c r="N32" s="198">
        <v>13</v>
      </c>
      <c r="O32" s="183">
        <v>24</v>
      </c>
      <c r="P32" s="275">
        <v>1.8461538461538463</v>
      </c>
      <c r="AI32" s="2"/>
      <c r="AJ32" s="2"/>
      <c r="AK32" s="60"/>
      <c r="AL32" s="60"/>
      <c r="AM32" s="60"/>
      <c r="AN32" s="60"/>
      <c r="AO32" s="2"/>
      <c r="AP32" s="8"/>
      <c r="AQ32" s="2"/>
      <c r="AT32" s="8"/>
    </row>
    <row r="33" spans="4:46" x14ac:dyDescent="0.3">
      <c r="D33" s="281" t="s">
        <v>6076</v>
      </c>
      <c r="E33" s="198">
        <v>13</v>
      </c>
      <c r="F33" s="183">
        <v>16</v>
      </c>
      <c r="G33" s="285">
        <v>1.2307692307692308</v>
      </c>
      <c r="H33" s="198">
        <v>13</v>
      </c>
      <c r="I33" s="183">
        <v>20</v>
      </c>
      <c r="J33" s="285">
        <v>1.5384615384615385</v>
      </c>
      <c r="K33" s="198">
        <v>12</v>
      </c>
      <c r="L33" s="183">
        <v>6</v>
      </c>
      <c r="M33" s="275">
        <v>0.5</v>
      </c>
      <c r="N33" s="198">
        <v>14</v>
      </c>
      <c r="O33" s="183">
        <v>11</v>
      </c>
      <c r="P33" s="275">
        <v>0.7857142857142857</v>
      </c>
      <c r="AI33" s="2"/>
      <c r="AJ33" s="2"/>
      <c r="AK33" s="60"/>
      <c r="AL33" s="60"/>
      <c r="AM33" s="60"/>
      <c r="AN33" s="60"/>
      <c r="AO33" s="2"/>
      <c r="AP33" s="178"/>
      <c r="AQ33" s="2"/>
      <c r="AT33" s="8"/>
    </row>
    <row r="34" spans="4:46" x14ac:dyDescent="0.3">
      <c r="D34" s="281" t="s">
        <v>327</v>
      </c>
      <c r="E34" s="198">
        <v>14</v>
      </c>
      <c r="F34" s="183">
        <v>16</v>
      </c>
      <c r="G34" s="285">
        <v>1.1428571428571428</v>
      </c>
      <c r="H34" s="198">
        <v>12</v>
      </c>
      <c r="I34" s="183">
        <v>5</v>
      </c>
      <c r="J34" s="285">
        <v>0.41666666666666669</v>
      </c>
      <c r="K34" s="198">
        <v>14</v>
      </c>
      <c r="L34" s="183">
        <v>8</v>
      </c>
      <c r="M34" s="275">
        <v>0.5714285714285714</v>
      </c>
      <c r="N34" s="198">
        <v>12</v>
      </c>
      <c r="O34" s="183">
        <v>7</v>
      </c>
      <c r="P34" s="275">
        <v>0.58333333333333337</v>
      </c>
      <c r="AI34" s="2"/>
      <c r="AJ34" s="2"/>
      <c r="AK34" s="60"/>
      <c r="AL34" s="60"/>
      <c r="AM34" s="60"/>
      <c r="AN34" s="60"/>
      <c r="AO34" s="2"/>
      <c r="AP34" s="8"/>
      <c r="AQ34" s="2"/>
      <c r="AT34" s="8"/>
    </row>
    <row r="35" spans="4:46" x14ac:dyDescent="0.3">
      <c r="D35" s="281" t="s">
        <v>6086</v>
      </c>
      <c r="E35" s="198">
        <v>13</v>
      </c>
      <c r="F35" s="183">
        <v>12</v>
      </c>
      <c r="G35" s="285">
        <v>0.92307692307692313</v>
      </c>
      <c r="H35" s="198">
        <v>14</v>
      </c>
      <c r="I35" s="183">
        <v>22</v>
      </c>
      <c r="J35" s="285">
        <v>1.5714285714285714</v>
      </c>
      <c r="K35" s="198">
        <v>13</v>
      </c>
      <c r="L35" s="183">
        <v>26</v>
      </c>
      <c r="M35" s="275">
        <v>2</v>
      </c>
      <c r="N35" s="198">
        <v>12</v>
      </c>
      <c r="O35" s="183">
        <v>22</v>
      </c>
      <c r="P35" s="275">
        <v>1.8333333333333333</v>
      </c>
      <c r="AI35" s="2"/>
      <c r="AJ35" s="2"/>
      <c r="AK35" s="60"/>
      <c r="AL35" s="60"/>
      <c r="AM35" s="60"/>
      <c r="AN35" s="60"/>
      <c r="AO35" s="2"/>
      <c r="AP35" s="8"/>
      <c r="AQ35" s="2"/>
      <c r="AT35" s="8"/>
    </row>
    <row r="36" spans="4:46" ht="15" thickBot="1" x14ac:dyDescent="0.35">
      <c r="D36" s="283" t="s">
        <v>612</v>
      </c>
      <c r="E36" s="199">
        <v>13</v>
      </c>
      <c r="F36" s="200">
        <v>9</v>
      </c>
      <c r="G36" s="286">
        <v>0.69230769230769229</v>
      </c>
      <c r="H36" s="199">
        <v>12</v>
      </c>
      <c r="I36" s="200">
        <v>11</v>
      </c>
      <c r="J36" s="286">
        <v>0.91666666666666663</v>
      </c>
      <c r="K36" s="199">
        <v>14</v>
      </c>
      <c r="L36" s="200">
        <v>17</v>
      </c>
      <c r="M36" s="276">
        <v>1.2142857142857142</v>
      </c>
      <c r="N36" s="199">
        <v>13</v>
      </c>
      <c r="O36" s="200">
        <v>13</v>
      </c>
      <c r="P36" s="276">
        <v>1</v>
      </c>
      <c r="AI36" s="2"/>
      <c r="AJ36" s="2"/>
      <c r="AK36" s="60"/>
      <c r="AL36" s="60"/>
      <c r="AM36" s="60"/>
      <c r="AN36" s="60"/>
      <c r="AO36" s="2"/>
      <c r="AP36" s="8"/>
      <c r="AQ36" s="2"/>
      <c r="AT36" s="8"/>
    </row>
    <row r="37" spans="4:46" x14ac:dyDescent="0.3">
      <c r="Z37" s="129"/>
      <c r="AA37" s="130"/>
      <c r="AB37" s="130"/>
      <c r="AI37" s="2"/>
      <c r="AJ37" s="2"/>
      <c r="AK37" s="60"/>
      <c r="AL37" s="60"/>
      <c r="AM37" s="60"/>
      <c r="AN37" s="60"/>
      <c r="AO37" s="2"/>
      <c r="AP37" s="8"/>
      <c r="AQ37" s="2"/>
      <c r="AT37" s="182"/>
    </row>
    <row r="38" spans="4:46" x14ac:dyDescent="0.3">
      <c r="X38" s="130"/>
      <c r="Y38" s="130"/>
      <c r="AI38" s="2"/>
      <c r="AJ38" s="2"/>
      <c r="AK38" s="60"/>
      <c r="AL38" s="60"/>
      <c r="AM38" s="60"/>
      <c r="AN38" s="60"/>
      <c r="AO38" s="2"/>
      <c r="AP38" s="8"/>
      <c r="AQ38" s="2"/>
      <c r="AT38" s="8"/>
    </row>
    <row r="39" spans="4:46" x14ac:dyDescent="0.3">
      <c r="X39" s="130"/>
      <c r="Y39" s="130"/>
      <c r="AI39" s="2"/>
      <c r="AJ39" s="2"/>
      <c r="AK39" s="60"/>
      <c r="AL39" s="60"/>
      <c r="AM39" s="60"/>
      <c r="AN39" s="60"/>
      <c r="AO39" s="2"/>
      <c r="AP39" s="8"/>
      <c r="AQ39" s="2"/>
      <c r="AT39" s="8"/>
    </row>
    <row r="40" spans="4:46" x14ac:dyDescent="0.3">
      <c r="AI40" s="2"/>
      <c r="AJ40" s="2"/>
      <c r="AK40" s="60"/>
      <c r="AL40" s="60"/>
      <c r="AM40" s="60"/>
      <c r="AN40" s="60"/>
      <c r="AO40" s="2"/>
      <c r="AP40" s="8"/>
      <c r="AQ40" s="2"/>
      <c r="AT40" s="8"/>
    </row>
    <row r="41" spans="4:46" x14ac:dyDescent="0.3">
      <c r="AI41" s="2"/>
      <c r="AJ41" s="2"/>
      <c r="AK41" s="60"/>
      <c r="AL41" s="60"/>
      <c r="AM41" s="60"/>
      <c r="AN41" s="60"/>
      <c r="AO41" s="2"/>
      <c r="AP41" s="8"/>
      <c r="AQ41" s="2"/>
      <c r="AT41" s="8"/>
    </row>
    <row r="42" spans="4:46" x14ac:dyDescent="0.3">
      <c r="AI42" s="2"/>
      <c r="AJ42" s="2"/>
      <c r="AK42" s="60"/>
      <c r="AL42" s="60"/>
      <c r="AM42" s="60"/>
      <c r="AN42" s="60"/>
      <c r="AO42" s="2"/>
      <c r="AP42" s="8"/>
      <c r="AQ42" s="2"/>
      <c r="AT42" s="8"/>
    </row>
    <row r="43" spans="4:46" x14ac:dyDescent="0.3">
      <c r="AI43" s="2"/>
      <c r="AJ43" s="2"/>
      <c r="AK43" s="60"/>
      <c r="AL43" s="60"/>
      <c r="AM43" s="60"/>
      <c r="AN43" s="60"/>
      <c r="AO43" s="2"/>
      <c r="AP43" s="178"/>
      <c r="AQ43" s="2"/>
      <c r="AT43" s="8"/>
    </row>
    <row r="44" spans="4:46" x14ac:dyDescent="0.3">
      <c r="AI44" s="2"/>
      <c r="AJ44" s="2"/>
      <c r="AK44" s="60"/>
      <c r="AL44" s="60"/>
      <c r="AM44" s="60"/>
      <c r="AN44" s="60"/>
      <c r="AO44" s="2"/>
      <c r="AP44" s="8"/>
      <c r="AQ44" s="2"/>
      <c r="AT44" s="8"/>
    </row>
    <row r="45" spans="4:46" x14ac:dyDescent="0.3">
      <c r="AI45" s="2"/>
      <c r="AJ45" s="2"/>
      <c r="AK45" s="60"/>
      <c r="AL45" s="60"/>
      <c r="AM45" s="60"/>
      <c r="AN45" s="60"/>
      <c r="AO45" s="2"/>
      <c r="AP45" s="8"/>
      <c r="AQ45" s="2"/>
      <c r="AT45" s="182"/>
    </row>
    <row r="66" spans="19:19" x14ac:dyDescent="0.3">
      <c r="S66" s="8"/>
    </row>
    <row r="67" spans="19:19" x14ac:dyDescent="0.3">
      <c r="S67" s="8"/>
    </row>
    <row r="68" spans="19:19" x14ac:dyDescent="0.3">
      <c r="S68" s="8"/>
    </row>
    <row r="69" spans="19:19" x14ac:dyDescent="0.3">
      <c r="S69" s="8"/>
    </row>
    <row r="70" spans="19:19" x14ac:dyDescent="0.3">
      <c r="S70" s="8"/>
    </row>
    <row r="71" spans="19:19" x14ac:dyDescent="0.3">
      <c r="S71" s="8"/>
    </row>
    <row r="72" spans="19:19" x14ac:dyDescent="0.3">
      <c r="S72" s="8"/>
    </row>
    <row r="73" spans="19:19" x14ac:dyDescent="0.3">
      <c r="S73" s="8"/>
    </row>
    <row r="74" spans="19:19" x14ac:dyDescent="0.3">
      <c r="S74" s="8"/>
    </row>
    <row r="75" spans="19:19" x14ac:dyDescent="0.3">
      <c r="S75" s="8"/>
    </row>
    <row r="76" spans="19:19" x14ac:dyDescent="0.3">
      <c r="S76" s="2"/>
    </row>
    <row r="77" spans="19:19" x14ac:dyDescent="0.3">
      <c r="S77" s="2"/>
    </row>
    <row r="78" spans="19:19" x14ac:dyDescent="0.3">
      <c r="S78" s="2"/>
    </row>
    <row r="79" spans="19:19" x14ac:dyDescent="0.3">
      <c r="S79" s="2"/>
    </row>
    <row r="80" spans="19:19" x14ac:dyDescent="0.3">
      <c r="S80" s="2"/>
    </row>
    <row r="81" spans="12:19" x14ac:dyDescent="0.3">
      <c r="S81" s="2"/>
    </row>
    <row r="82" spans="12:19" x14ac:dyDescent="0.3">
      <c r="S82" s="2"/>
    </row>
    <row r="83" spans="12:19" x14ac:dyDescent="0.3">
      <c r="S83" s="2"/>
    </row>
    <row r="84" spans="12:19" x14ac:dyDescent="0.3">
      <c r="S84" s="2"/>
    </row>
    <row r="85" spans="12:19" x14ac:dyDescent="0.3">
      <c r="S85" s="2"/>
    </row>
    <row r="87" spans="12:19" x14ac:dyDescent="0.3">
      <c r="S87" s="2"/>
    </row>
    <row r="88" spans="12:19" x14ac:dyDescent="0.3">
      <c r="S88" s="2"/>
    </row>
    <row r="89" spans="12:19" x14ac:dyDescent="0.3">
      <c r="S89" s="2"/>
    </row>
    <row r="90" spans="12:19" x14ac:dyDescent="0.3">
      <c r="S90" s="2"/>
    </row>
    <row r="91" spans="12:19" x14ac:dyDescent="0.3">
      <c r="S91" s="2"/>
    </row>
    <row r="92" spans="12:19" x14ac:dyDescent="0.3">
      <c r="S92" s="2"/>
    </row>
    <row r="93" spans="12:19" x14ac:dyDescent="0.3">
      <c r="S93" s="2"/>
    </row>
    <row r="94" spans="12:19" x14ac:dyDescent="0.3">
      <c r="S94" s="2"/>
    </row>
    <row r="95" spans="12:19" x14ac:dyDescent="0.3">
      <c r="S95" s="2"/>
    </row>
    <row r="96" spans="12:19" x14ac:dyDescent="0.3">
      <c r="L96" s="2"/>
      <c r="S96" s="2"/>
    </row>
    <row r="97" spans="12:19" x14ac:dyDescent="0.3">
      <c r="L97" s="2"/>
      <c r="S97" s="2"/>
    </row>
    <row r="98" spans="12:19" x14ac:dyDescent="0.3">
      <c r="L98" s="2"/>
      <c r="S98" s="2"/>
    </row>
    <row r="99" spans="12:19" x14ac:dyDescent="0.3">
      <c r="L99" s="2"/>
      <c r="S99" s="2"/>
    </row>
    <row r="100" spans="12:19" x14ac:dyDescent="0.3">
      <c r="L100" s="2"/>
      <c r="S100" s="2"/>
    </row>
    <row r="101" spans="12:19" x14ac:dyDescent="0.3">
      <c r="S101" s="2"/>
    </row>
    <row r="102" spans="12:19" x14ac:dyDescent="0.3">
      <c r="L102" s="2"/>
      <c r="S102" s="2"/>
    </row>
    <row r="103" spans="12:19" x14ac:dyDescent="0.3">
      <c r="L103" s="2"/>
      <c r="S103" s="2"/>
    </row>
    <row r="104" spans="12:19" x14ac:dyDescent="0.3">
      <c r="L104" s="2"/>
      <c r="S104" s="2"/>
    </row>
    <row r="105" spans="12:19" x14ac:dyDescent="0.3">
      <c r="S105" s="2"/>
    </row>
    <row r="106" spans="12:19" x14ac:dyDescent="0.3">
      <c r="L106" s="2"/>
      <c r="S106" s="2"/>
    </row>
    <row r="107" spans="12:19" x14ac:dyDescent="0.3">
      <c r="L107" s="2"/>
      <c r="S107" s="2"/>
    </row>
    <row r="108" spans="12:19" x14ac:dyDescent="0.3">
      <c r="L108" s="2"/>
      <c r="S108" s="2"/>
    </row>
    <row r="109" spans="12:19" x14ac:dyDescent="0.3">
      <c r="S109" s="2"/>
    </row>
    <row r="110" spans="12:19" x14ac:dyDescent="0.3">
      <c r="L110" s="2"/>
      <c r="S110" s="2"/>
    </row>
    <row r="111" spans="12:19" x14ac:dyDescent="0.3">
      <c r="L111" s="2"/>
      <c r="S111" s="2"/>
    </row>
    <row r="112" spans="12:19" x14ac:dyDescent="0.3">
      <c r="L112" s="2"/>
    </row>
    <row r="114" spans="12:12" x14ac:dyDescent="0.3">
      <c r="L114" s="2"/>
    </row>
    <row r="115" spans="12:12" x14ac:dyDescent="0.3">
      <c r="L115" s="2"/>
    </row>
    <row r="116" spans="12:12" x14ac:dyDescent="0.3">
      <c r="L116" s="2"/>
    </row>
  </sheetData>
  <autoFilter ref="D22:P36" xr:uid="{00000000-0009-0000-0000-000005000000}">
    <sortState xmlns:xlrd2="http://schemas.microsoft.com/office/spreadsheetml/2017/richdata2" ref="D23:P36">
      <sortCondition descending="1" ref="G22:G36"/>
    </sortState>
  </autoFilter>
  <mergeCells count="8">
    <mergeCell ref="N21:P21"/>
    <mergeCell ref="N2:P2"/>
    <mergeCell ref="E2:G2"/>
    <mergeCell ref="H2:J2"/>
    <mergeCell ref="K2:M2"/>
    <mergeCell ref="E21:G21"/>
    <mergeCell ref="H21:J21"/>
    <mergeCell ref="K21:M21"/>
  </mergeCell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V162"/>
  <sheetViews>
    <sheetView topLeftCell="A14" workbookViewId="0">
      <selection activeCell="L12" sqref="L12"/>
    </sheetView>
  </sheetViews>
  <sheetFormatPr defaultRowHeight="14.4" x14ac:dyDescent="0.3"/>
  <cols>
    <col min="1" max="1" width="16.6640625" customWidth="1"/>
    <col min="2" max="2" width="20.33203125" customWidth="1"/>
    <col min="3" max="3" width="12.44140625" style="2" customWidth="1"/>
    <col min="4" max="4" width="13.44140625" style="2" customWidth="1"/>
    <col min="5" max="5" width="15" style="2" customWidth="1"/>
    <col min="6" max="6" width="9.109375" style="2"/>
    <col min="7" max="7" width="16.88671875" style="2" customWidth="1"/>
    <col min="8" max="8" width="23.109375" style="2" customWidth="1"/>
    <col min="9" max="9" width="10.109375" style="2" customWidth="1"/>
    <col min="10" max="10" width="12.5546875" customWidth="1"/>
    <col min="11" max="11" width="38.5546875" customWidth="1"/>
    <col min="12" max="12" width="25.109375" customWidth="1"/>
    <col min="13" max="13" width="19.88671875" customWidth="1"/>
    <col min="14" max="14" width="24.44140625" customWidth="1"/>
    <col min="15" max="15" width="14.33203125" style="2" customWidth="1"/>
    <col min="16" max="16" width="22.109375" customWidth="1"/>
    <col min="17" max="17" width="19.6640625" customWidth="1"/>
    <col min="18" max="18" width="11.5546875" customWidth="1"/>
    <col min="19" max="19" width="14" customWidth="1"/>
    <col min="20" max="20" width="27.88671875" customWidth="1"/>
    <col min="21" max="21" width="26.109375" customWidth="1"/>
    <col min="22" max="22" width="27.5546875" customWidth="1"/>
  </cols>
  <sheetData>
    <row r="3" spans="2:22" x14ac:dyDescent="0.3">
      <c r="B3" s="2" t="s">
        <v>785</v>
      </c>
      <c r="C3" s="2" t="s">
        <v>14</v>
      </c>
      <c r="D3" s="2" t="s">
        <v>15</v>
      </c>
      <c r="E3" s="2" t="s">
        <v>11</v>
      </c>
      <c r="F3" s="2" t="s">
        <v>12</v>
      </c>
      <c r="G3" s="2" t="s">
        <v>13</v>
      </c>
      <c r="H3" s="2" t="s">
        <v>157</v>
      </c>
      <c r="I3" s="2" t="s">
        <v>833</v>
      </c>
      <c r="K3" s="8"/>
    </row>
    <row r="4" spans="2:22" x14ac:dyDescent="0.3">
      <c r="B4" s="2">
        <v>1</v>
      </c>
      <c r="C4" s="2">
        <v>1</v>
      </c>
      <c r="D4" s="2" t="s">
        <v>6179</v>
      </c>
      <c r="E4" s="4">
        <v>43721</v>
      </c>
      <c r="F4" s="2" t="s">
        <v>18</v>
      </c>
      <c r="G4" s="2" t="s">
        <v>17</v>
      </c>
      <c r="H4" s="60">
        <v>8.4027777777777771E-2</v>
      </c>
      <c r="I4" s="60" t="s">
        <v>834</v>
      </c>
      <c r="L4" s="2"/>
      <c r="M4" s="2"/>
      <c r="N4" s="2"/>
    </row>
    <row r="5" spans="2:22" x14ac:dyDescent="0.3">
      <c r="B5" s="2">
        <v>2</v>
      </c>
      <c r="C5" s="2">
        <v>2</v>
      </c>
      <c r="D5" s="2" t="s">
        <v>331</v>
      </c>
      <c r="E5" s="4">
        <v>43723</v>
      </c>
      <c r="F5" s="2" t="s">
        <v>19</v>
      </c>
      <c r="G5" s="2" t="s">
        <v>16</v>
      </c>
      <c r="H5" s="60">
        <v>1.3888888888888889E-3</v>
      </c>
      <c r="I5" s="60" t="s">
        <v>834</v>
      </c>
    </row>
    <row r="6" spans="2:22" ht="15" thickBot="1" x14ac:dyDescent="0.35">
      <c r="B6" s="2">
        <v>3</v>
      </c>
      <c r="C6" s="2">
        <v>3</v>
      </c>
      <c r="D6" s="2" t="s">
        <v>327</v>
      </c>
      <c r="E6" s="4">
        <v>43728</v>
      </c>
      <c r="F6" s="2" t="s">
        <v>18</v>
      </c>
      <c r="G6" s="2" t="s">
        <v>17</v>
      </c>
      <c r="H6" s="60">
        <v>4.3055555555555562E-2</v>
      </c>
      <c r="I6" s="60" t="s">
        <v>834</v>
      </c>
      <c r="K6" s="2"/>
      <c r="L6" s="2"/>
      <c r="M6" s="2"/>
      <c r="N6" s="4"/>
    </row>
    <row r="7" spans="2:22" ht="15" thickBot="1" x14ac:dyDescent="0.35">
      <c r="B7" s="2">
        <v>4</v>
      </c>
      <c r="C7" s="2">
        <v>4</v>
      </c>
      <c r="D7" s="2" t="s">
        <v>334</v>
      </c>
      <c r="E7" s="4">
        <v>43730</v>
      </c>
      <c r="F7" s="2" t="s">
        <v>19</v>
      </c>
      <c r="G7" s="2" t="s">
        <v>16</v>
      </c>
      <c r="H7" s="60">
        <v>8.5416666666666655E-2</v>
      </c>
      <c r="I7" s="60"/>
      <c r="K7" s="1146" t="s">
        <v>841</v>
      </c>
      <c r="L7" s="1147"/>
      <c r="M7" s="1147"/>
      <c r="N7" s="1147"/>
      <c r="O7" s="1147"/>
      <c r="P7" s="1148"/>
    </row>
    <row r="8" spans="2:22" x14ac:dyDescent="0.3">
      <c r="B8" s="2">
        <v>5</v>
      </c>
      <c r="C8" s="2">
        <v>5</v>
      </c>
      <c r="D8" s="2" t="s">
        <v>610</v>
      </c>
      <c r="E8" s="4">
        <v>43735</v>
      </c>
      <c r="F8" s="2" t="s">
        <v>18</v>
      </c>
      <c r="G8" s="2" t="s">
        <v>17</v>
      </c>
      <c r="H8" s="60">
        <v>0.17013888888888887</v>
      </c>
      <c r="I8" s="60"/>
      <c r="K8" s="185" t="s">
        <v>220</v>
      </c>
      <c r="L8" s="96" t="s">
        <v>14</v>
      </c>
      <c r="M8" s="96" t="s">
        <v>15</v>
      </c>
      <c r="N8" s="96" t="s">
        <v>11</v>
      </c>
      <c r="O8" s="96" t="s">
        <v>12</v>
      </c>
      <c r="P8" s="186" t="s">
        <v>1051</v>
      </c>
    </row>
    <row r="9" spans="2:22" x14ac:dyDescent="0.3">
      <c r="B9" s="2">
        <v>6</v>
      </c>
      <c r="C9" s="2">
        <v>7</v>
      </c>
      <c r="D9" s="2" t="s">
        <v>6086</v>
      </c>
      <c r="E9" s="4">
        <v>43742</v>
      </c>
      <c r="F9" s="2" t="s">
        <v>18</v>
      </c>
      <c r="G9" s="2" t="s">
        <v>16</v>
      </c>
      <c r="H9" s="60">
        <v>4.5138888888888888E-2</v>
      </c>
      <c r="I9" s="60"/>
      <c r="K9" s="106" t="s">
        <v>3360</v>
      </c>
      <c r="L9" s="2">
        <v>2</v>
      </c>
      <c r="M9" s="2" t="s">
        <v>331</v>
      </c>
      <c r="N9" s="4">
        <v>43723</v>
      </c>
      <c r="O9" s="2" t="s">
        <v>19</v>
      </c>
      <c r="P9" s="99" t="s">
        <v>743</v>
      </c>
    </row>
    <row r="10" spans="2:22" ht="15" thickBot="1" x14ac:dyDescent="0.35">
      <c r="B10" s="2">
        <v>7</v>
      </c>
      <c r="C10" s="2">
        <v>8</v>
      </c>
      <c r="D10" s="2" t="s">
        <v>1274</v>
      </c>
      <c r="E10" s="4">
        <v>43744</v>
      </c>
      <c r="F10" s="2" t="s">
        <v>19</v>
      </c>
      <c r="G10" s="2" t="s">
        <v>17</v>
      </c>
      <c r="H10" s="60">
        <v>0.25347222222222221</v>
      </c>
      <c r="I10" s="60" t="s">
        <v>834</v>
      </c>
      <c r="K10" s="106" t="s">
        <v>3262</v>
      </c>
      <c r="L10" s="2">
        <v>9</v>
      </c>
      <c r="M10" s="2" t="s">
        <v>6076</v>
      </c>
      <c r="N10" s="4">
        <v>43747</v>
      </c>
      <c r="O10" s="2" t="s">
        <v>21</v>
      </c>
      <c r="P10" s="99" t="s">
        <v>743</v>
      </c>
    </row>
    <row r="11" spans="2:22" x14ac:dyDescent="0.3">
      <c r="B11" s="2">
        <v>8</v>
      </c>
      <c r="C11" s="2">
        <v>9</v>
      </c>
      <c r="D11" s="2" t="s">
        <v>6076</v>
      </c>
      <c r="E11" s="4">
        <v>43747</v>
      </c>
      <c r="F11" s="2" t="s">
        <v>21</v>
      </c>
      <c r="G11" s="2" t="s">
        <v>16</v>
      </c>
      <c r="H11" s="60" t="s">
        <v>163</v>
      </c>
      <c r="I11" s="60" t="s">
        <v>834</v>
      </c>
      <c r="K11" s="106" t="s">
        <v>3361</v>
      </c>
      <c r="L11" s="2">
        <v>21</v>
      </c>
      <c r="M11" s="2" t="s">
        <v>1274</v>
      </c>
      <c r="N11" s="4">
        <v>43793</v>
      </c>
      <c r="O11" s="2" t="s">
        <v>19</v>
      </c>
      <c r="P11" s="99" t="s">
        <v>743</v>
      </c>
      <c r="T11" s="95" t="s">
        <v>191</v>
      </c>
      <c r="U11" s="96" t="s">
        <v>221</v>
      </c>
      <c r="V11" s="97" t="s">
        <v>222</v>
      </c>
    </row>
    <row r="12" spans="2:22" x14ac:dyDescent="0.3">
      <c r="B12" s="2">
        <v>9</v>
      </c>
      <c r="C12" s="2">
        <v>10</v>
      </c>
      <c r="D12" s="2" t="s">
        <v>326</v>
      </c>
      <c r="E12" s="4">
        <v>43751</v>
      </c>
      <c r="F12" s="2" t="s">
        <v>19</v>
      </c>
      <c r="G12" s="2" t="s">
        <v>17</v>
      </c>
      <c r="H12" s="60">
        <v>0.20902777777777778</v>
      </c>
      <c r="I12" s="60" t="s">
        <v>834</v>
      </c>
      <c r="K12" s="106" t="s">
        <v>3358</v>
      </c>
      <c r="L12" s="2">
        <v>25</v>
      </c>
      <c r="M12" s="2" t="s">
        <v>626</v>
      </c>
      <c r="N12" s="4">
        <v>43805</v>
      </c>
      <c r="O12" s="2" t="s">
        <v>18</v>
      </c>
      <c r="P12" s="99" t="s">
        <v>743</v>
      </c>
      <c r="T12" s="105" t="s">
        <v>184</v>
      </c>
      <c r="U12" s="62">
        <v>3</v>
      </c>
      <c r="V12" s="98">
        <v>3</v>
      </c>
    </row>
    <row r="13" spans="2:22" x14ac:dyDescent="0.3">
      <c r="B13" s="2">
        <v>10</v>
      </c>
      <c r="C13" s="2">
        <v>6</v>
      </c>
      <c r="D13" s="2" t="s">
        <v>325</v>
      </c>
      <c r="E13" s="4">
        <v>43753</v>
      </c>
      <c r="F13" s="2" t="s">
        <v>20</v>
      </c>
      <c r="G13" s="2" t="s">
        <v>16</v>
      </c>
      <c r="H13" s="60" t="s">
        <v>359</v>
      </c>
      <c r="I13" s="60"/>
      <c r="K13" s="106" t="s">
        <v>3359</v>
      </c>
      <c r="L13" s="2">
        <v>32</v>
      </c>
      <c r="M13" s="2" t="s">
        <v>325</v>
      </c>
      <c r="N13" s="4">
        <v>43829</v>
      </c>
      <c r="O13" s="2" t="s">
        <v>1250</v>
      </c>
      <c r="P13" s="99" t="s">
        <v>743</v>
      </c>
      <c r="T13" s="105" t="s">
        <v>185</v>
      </c>
      <c r="U13" s="62">
        <v>8</v>
      </c>
      <c r="V13" s="98">
        <v>8</v>
      </c>
    </row>
    <row r="14" spans="2:22" x14ac:dyDescent="0.3">
      <c r="B14" s="2">
        <v>11</v>
      </c>
      <c r="C14" s="2">
        <v>11</v>
      </c>
      <c r="D14" s="2" t="s">
        <v>328</v>
      </c>
      <c r="E14" s="4">
        <v>43756</v>
      </c>
      <c r="F14" s="2" t="s">
        <v>18</v>
      </c>
      <c r="G14" s="2" t="s">
        <v>16</v>
      </c>
      <c r="H14" s="60">
        <v>1.3888888888888889E-3</v>
      </c>
      <c r="I14" s="60"/>
      <c r="K14" s="106" t="s">
        <v>3361</v>
      </c>
      <c r="L14" s="2">
        <v>35</v>
      </c>
      <c r="M14" s="2" t="s">
        <v>6076</v>
      </c>
      <c r="N14" s="4">
        <v>43840</v>
      </c>
      <c r="O14" s="2" t="s">
        <v>18</v>
      </c>
      <c r="P14" s="99" t="s">
        <v>743</v>
      </c>
      <c r="T14" s="105" t="s">
        <v>186</v>
      </c>
      <c r="U14" s="62">
        <v>14</v>
      </c>
      <c r="V14" s="98">
        <v>14</v>
      </c>
    </row>
    <row r="15" spans="2:22" x14ac:dyDescent="0.3">
      <c r="B15" s="2">
        <v>12</v>
      </c>
      <c r="C15" s="2">
        <v>12</v>
      </c>
      <c r="D15" s="2" t="s">
        <v>626</v>
      </c>
      <c r="E15" s="4">
        <v>43758</v>
      </c>
      <c r="F15" s="2" t="s">
        <v>19</v>
      </c>
      <c r="G15" s="2" t="s">
        <v>17</v>
      </c>
      <c r="H15" s="60">
        <v>0.1277777777777778</v>
      </c>
      <c r="I15" s="60" t="s">
        <v>834</v>
      </c>
      <c r="K15" s="106" t="s">
        <v>3361</v>
      </c>
      <c r="L15" s="2">
        <v>42</v>
      </c>
      <c r="M15" s="2" t="s">
        <v>327</v>
      </c>
      <c r="N15" s="4">
        <v>43861</v>
      </c>
      <c r="O15" s="2" t="s">
        <v>18</v>
      </c>
      <c r="P15" s="99" t="s">
        <v>16</v>
      </c>
      <c r="T15" s="105" t="s">
        <v>187</v>
      </c>
      <c r="U15" s="2">
        <v>9</v>
      </c>
      <c r="V15" s="99">
        <v>9</v>
      </c>
    </row>
    <row r="16" spans="2:22" ht="15" thickBot="1" x14ac:dyDescent="0.35">
      <c r="B16" s="2">
        <v>13</v>
      </c>
      <c r="C16" s="2">
        <v>13</v>
      </c>
      <c r="D16" s="2" t="s">
        <v>332</v>
      </c>
      <c r="E16" s="4">
        <v>43763</v>
      </c>
      <c r="F16" s="2" t="s">
        <v>18</v>
      </c>
      <c r="G16" s="2" t="s">
        <v>16</v>
      </c>
      <c r="H16" s="60" t="s">
        <v>351</v>
      </c>
      <c r="I16" s="60"/>
      <c r="K16" s="187" t="s">
        <v>3361</v>
      </c>
      <c r="L16" s="103">
        <v>44</v>
      </c>
      <c r="M16" s="103" t="s">
        <v>610</v>
      </c>
      <c r="N16" s="255">
        <v>43873</v>
      </c>
      <c r="O16" s="103" t="s">
        <v>21</v>
      </c>
      <c r="P16" s="104" t="s">
        <v>743</v>
      </c>
      <c r="T16" s="105" t="s">
        <v>188</v>
      </c>
      <c r="U16" s="2">
        <v>8</v>
      </c>
      <c r="V16" s="99">
        <v>9</v>
      </c>
    </row>
    <row r="17" spans="1:22" ht="15" thickBot="1" x14ac:dyDescent="0.35">
      <c r="B17" s="2">
        <v>14</v>
      </c>
      <c r="C17" s="2">
        <v>14</v>
      </c>
      <c r="D17" s="2" t="s">
        <v>6179</v>
      </c>
      <c r="E17" s="4">
        <v>43765</v>
      </c>
      <c r="F17" s="2" t="s">
        <v>19</v>
      </c>
      <c r="G17" s="2" t="s">
        <v>16</v>
      </c>
      <c r="H17" s="60" t="s">
        <v>354</v>
      </c>
      <c r="I17" s="60"/>
      <c r="K17" s="382" t="s">
        <v>726</v>
      </c>
      <c r="L17" s="398">
        <f>COUNT(L9:L16)</f>
        <v>8</v>
      </c>
      <c r="M17" s="2"/>
      <c r="N17" s="4"/>
      <c r="T17" s="105" t="s">
        <v>189</v>
      </c>
      <c r="U17" s="2">
        <v>5</v>
      </c>
      <c r="V17" s="99">
        <v>4</v>
      </c>
    </row>
    <row r="18" spans="1:22" x14ac:dyDescent="0.3">
      <c r="B18" s="2">
        <v>15</v>
      </c>
      <c r="C18" s="2">
        <v>15</v>
      </c>
      <c r="D18" s="2" t="s">
        <v>331</v>
      </c>
      <c r="E18" s="4">
        <v>43767</v>
      </c>
      <c r="F18" s="2" t="s">
        <v>20</v>
      </c>
      <c r="G18" s="2" t="s">
        <v>17</v>
      </c>
      <c r="H18" s="60">
        <v>4.3750000000000004E-2</v>
      </c>
      <c r="I18" s="60" t="s">
        <v>834</v>
      </c>
      <c r="K18" s="2"/>
      <c r="L18" s="2"/>
      <c r="M18" s="2"/>
      <c r="N18" s="4"/>
      <c r="T18" s="105" t="s">
        <v>190</v>
      </c>
      <c r="U18" s="2">
        <v>5</v>
      </c>
      <c r="V18" s="99">
        <v>5</v>
      </c>
    </row>
    <row r="19" spans="1:22" x14ac:dyDescent="0.3">
      <c r="B19" s="2">
        <v>16</v>
      </c>
      <c r="C19" s="2">
        <v>16</v>
      </c>
      <c r="D19" s="2" t="s">
        <v>327</v>
      </c>
      <c r="E19" s="4">
        <v>43770</v>
      </c>
      <c r="F19" s="2" t="s">
        <v>18</v>
      </c>
      <c r="G19" s="2" t="s">
        <v>16</v>
      </c>
      <c r="H19" s="60">
        <v>0.16874999999999998</v>
      </c>
      <c r="L19" s="2"/>
      <c r="M19" s="2"/>
      <c r="N19" s="4"/>
      <c r="T19" s="105" t="s">
        <v>855</v>
      </c>
      <c r="U19" s="2"/>
      <c r="V19" s="99"/>
    </row>
    <row r="20" spans="1:22" x14ac:dyDescent="0.3">
      <c r="B20" s="2">
        <v>17</v>
      </c>
      <c r="C20" s="2">
        <v>17</v>
      </c>
      <c r="D20" s="2" t="s">
        <v>334</v>
      </c>
      <c r="E20" s="4">
        <v>43771</v>
      </c>
      <c r="F20" s="2" t="s">
        <v>23</v>
      </c>
      <c r="G20" s="2" t="s">
        <v>16</v>
      </c>
      <c r="H20" s="60">
        <v>1.3888888888888889E-3</v>
      </c>
      <c r="I20" s="60"/>
      <c r="L20" s="2"/>
      <c r="M20" s="2"/>
      <c r="N20" s="4"/>
      <c r="T20" s="106"/>
      <c r="U20" s="2">
        <f>SUM(U12:U19)</f>
        <v>52</v>
      </c>
      <c r="V20" s="99">
        <f>SUM(V12:V19)</f>
        <v>52</v>
      </c>
    </row>
    <row r="21" spans="1:22" x14ac:dyDescent="0.3">
      <c r="B21" s="2">
        <v>18</v>
      </c>
      <c r="C21" s="2">
        <v>18</v>
      </c>
      <c r="D21" s="2" t="s">
        <v>610</v>
      </c>
      <c r="E21" s="4">
        <v>43784</v>
      </c>
      <c r="F21" s="2" t="s">
        <v>18</v>
      </c>
      <c r="G21" s="2" t="s">
        <v>16</v>
      </c>
      <c r="H21" s="60">
        <v>4.5833333333333337E-2</v>
      </c>
      <c r="I21" s="60"/>
      <c r="L21" s="2"/>
      <c r="M21" s="2"/>
      <c r="N21" s="4"/>
      <c r="T21" s="106"/>
      <c r="V21" s="100"/>
    </row>
    <row r="22" spans="1:22" x14ac:dyDescent="0.3">
      <c r="B22" s="2">
        <v>19</v>
      </c>
      <c r="C22" s="2">
        <v>19</v>
      </c>
      <c r="D22" s="2" t="s">
        <v>325</v>
      </c>
      <c r="E22" s="4">
        <v>43786</v>
      </c>
      <c r="F22" s="2" t="s">
        <v>19</v>
      </c>
      <c r="G22" s="2" t="s">
        <v>17</v>
      </c>
      <c r="H22" s="60" t="s">
        <v>163</v>
      </c>
      <c r="I22" s="60" t="s">
        <v>834</v>
      </c>
      <c r="L22" s="2"/>
      <c r="M22" s="2"/>
      <c r="N22" s="4"/>
      <c r="T22" s="106"/>
      <c r="V22" s="100"/>
    </row>
    <row r="23" spans="1:22" x14ac:dyDescent="0.3">
      <c r="B23" s="2">
        <v>20</v>
      </c>
      <c r="C23" s="2">
        <v>20</v>
      </c>
      <c r="D23" s="2" t="s">
        <v>6086</v>
      </c>
      <c r="E23" s="4">
        <v>43791</v>
      </c>
      <c r="F23" s="2" t="s">
        <v>18</v>
      </c>
      <c r="G23" s="2" t="s">
        <v>17</v>
      </c>
      <c r="H23" s="60">
        <v>8.6805555555555566E-2</v>
      </c>
      <c r="I23" s="60" t="s">
        <v>834</v>
      </c>
      <c r="L23" s="2"/>
      <c r="M23" s="2"/>
      <c r="N23" s="4"/>
      <c r="T23" s="105" t="s">
        <v>191</v>
      </c>
      <c r="U23" s="2" t="s">
        <v>221</v>
      </c>
      <c r="V23" s="101" t="s">
        <v>222</v>
      </c>
    </row>
    <row r="24" spans="1:22" x14ac:dyDescent="0.3">
      <c r="A24" s="2" t="s">
        <v>3363</v>
      </c>
      <c r="B24" s="2">
        <v>21</v>
      </c>
      <c r="C24" s="2">
        <v>21</v>
      </c>
      <c r="D24" s="2" t="s">
        <v>1274</v>
      </c>
      <c r="E24" s="4">
        <v>43793</v>
      </c>
      <c r="F24" s="2" t="s">
        <v>19</v>
      </c>
      <c r="G24" s="2" t="s">
        <v>16</v>
      </c>
      <c r="H24" s="60">
        <v>8.7500000000000008E-2</v>
      </c>
      <c r="I24" s="60" t="s">
        <v>834</v>
      </c>
      <c r="L24" s="2"/>
      <c r="M24" s="2"/>
      <c r="N24" s="4"/>
      <c r="T24" s="105" t="s">
        <v>198</v>
      </c>
      <c r="U24" s="62">
        <v>1</v>
      </c>
      <c r="V24" s="98">
        <v>1</v>
      </c>
    </row>
    <row r="25" spans="1:22" x14ac:dyDescent="0.3">
      <c r="B25" s="2">
        <v>22</v>
      </c>
      <c r="C25" s="2">
        <v>22</v>
      </c>
      <c r="D25" s="2" t="s">
        <v>6076</v>
      </c>
      <c r="E25" s="4">
        <v>43795</v>
      </c>
      <c r="F25" s="2" t="s">
        <v>20</v>
      </c>
      <c r="G25" s="2" t="s">
        <v>17</v>
      </c>
      <c r="H25" s="60">
        <v>8.4027777777777771E-2</v>
      </c>
      <c r="I25" s="60" t="s">
        <v>834</v>
      </c>
      <c r="L25" s="2"/>
      <c r="M25" s="2"/>
      <c r="N25" s="4"/>
      <c r="T25" s="105" t="s">
        <v>199</v>
      </c>
      <c r="U25" s="2">
        <v>6</v>
      </c>
      <c r="V25" s="99">
        <v>7</v>
      </c>
    </row>
    <row r="26" spans="1:22" x14ac:dyDescent="0.3">
      <c r="B26" s="2">
        <v>23</v>
      </c>
      <c r="C26" s="2">
        <v>23</v>
      </c>
      <c r="D26" s="2" t="s">
        <v>326</v>
      </c>
      <c r="E26" s="4">
        <v>43798</v>
      </c>
      <c r="F26" s="2" t="s">
        <v>18</v>
      </c>
      <c r="G26" s="2" t="s">
        <v>16</v>
      </c>
      <c r="H26" s="60">
        <v>4.3750000000000004E-2</v>
      </c>
      <c r="I26" s="60"/>
      <c r="K26" s="2"/>
      <c r="L26" s="2"/>
      <c r="M26" s="2"/>
      <c r="N26" s="4"/>
      <c r="T26" s="105" t="s">
        <v>200</v>
      </c>
      <c r="U26" s="2">
        <v>11</v>
      </c>
      <c r="V26" s="99">
        <v>15</v>
      </c>
    </row>
    <row r="27" spans="1:22" x14ac:dyDescent="0.3">
      <c r="B27" s="2">
        <v>24</v>
      </c>
      <c r="C27" s="2">
        <v>24</v>
      </c>
      <c r="D27" s="2" t="s">
        <v>328</v>
      </c>
      <c r="E27" s="4">
        <v>43800</v>
      </c>
      <c r="F27" s="2" t="s">
        <v>19</v>
      </c>
      <c r="G27" s="2" t="s">
        <v>17</v>
      </c>
      <c r="H27" s="60">
        <v>0.25138888888888888</v>
      </c>
      <c r="I27" s="60" t="s">
        <v>834</v>
      </c>
      <c r="L27" s="2"/>
      <c r="M27" s="2"/>
      <c r="N27" s="4"/>
      <c r="T27" s="105" t="s">
        <v>201</v>
      </c>
      <c r="U27" s="2">
        <v>17</v>
      </c>
      <c r="V27" s="99">
        <v>12</v>
      </c>
    </row>
    <row r="28" spans="1:22" x14ac:dyDescent="0.3">
      <c r="A28" s="2" t="s">
        <v>3364</v>
      </c>
      <c r="B28" s="2">
        <v>25</v>
      </c>
      <c r="C28" s="2">
        <v>33</v>
      </c>
      <c r="D28" s="2" t="s">
        <v>6086</v>
      </c>
      <c r="E28" s="4">
        <v>43802</v>
      </c>
      <c r="F28" s="2" t="s">
        <v>20</v>
      </c>
      <c r="G28" s="2" t="s">
        <v>16</v>
      </c>
      <c r="H28" s="60">
        <v>0.25277777777777777</v>
      </c>
      <c r="I28" s="60"/>
      <c r="L28" s="2"/>
      <c r="M28" s="2"/>
      <c r="N28" s="4"/>
      <c r="T28" s="105" t="s">
        <v>202</v>
      </c>
      <c r="U28" s="2">
        <v>7</v>
      </c>
      <c r="V28" s="99">
        <v>8</v>
      </c>
    </row>
    <row r="29" spans="1:22" x14ac:dyDescent="0.3">
      <c r="B29" s="2">
        <v>26</v>
      </c>
      <c r="C29" s="2">
        <v>25</v>
      </c>
      <c r="D29" s="2" t="s">
        <v>626</v>
      </c>
      <c r="E29" s="4">
        <v>43805</v>
      </c>
      <c r="F29" s="2" t="s">
        <v>18</v>
      </c>
      <c r="G29" s="2" t="s">
        <v>16</v>
      </c>
      <c r="H29" s="60">
        <v>4.3750000000000004E-2</v>
      </c>
      <c r="I29" s="60" t="s">
        <v>834</v>
      </c>
      <c r="L29" s="2"/>
      <c r="M29" s="2"/>
      <c r="N29" s="4"/>
      <c r="T29" s="105" t="s">
        <v>203</v>
      </c>
      <c r="U29" s="2">
        <v>5</v>
      </c>
      <c r="V29" s="99">
        <v>5</v>
      </c>
    </row>
    <row r="30" spans="1:22" x14ac:dyDescent="0.3">
      <c r="B30" s="2">
        <v>27</v>
      </c>
      <c r="C30" s="2">
        <v>26</v>
      </c>
      <c r="D30" s="2" t="s">
        <v>332</v>
      </c>
      <c r="E30" s="4">
        <v>43807</v>
      </c>
      <c r="F30" s="2" t="s">
        <v>19</v>
      </c>
      <c r="G30" s="2" t="s">
        <v>17</v>
      </c>
      <c r="H30" s="60">
        <v>0.1673611111111111</v>
      </c>
      <c r="I30" s="60" t="s">
        <v>834</v>
      </c>
      <c r="L30" s="2"/>
      <c r="M30" s="2"/>
      <c r="N30" s="4"/>
      <c r="T30" s="105" t="s">
        <v>204</v>
      </c>
      <c r="U30" s="2">
        <v>4</v>
      </c>
      <c r="V30" s="99">
        <v>3</v>
      </c>
    </row>
    <row r="31" spans="1:22" x14ac:dyDescent="0.3">
      <c r="B31" s="2">
        <v>28</v>
      </c>
      <c r="C31" s="2">
        <v>27</v>
      </c>
      <c r="D31" s="2" t="s">
        <v>6179</v>
      </c>
      <c r="E31" s="4">
        <v>43817</v>
      </c>
      <c r="F31" s="2" t="s">
        <v>21</v>
      </c>
      <c r="G31" s="2" t="s">
        <v>17</v>
      </c>
      <c r="H31" s="60">
        <v>0.20972222222222223</v>
      </c>
      <c r="I31" s="60" t="s">
        <v>834</v>
      </c>
      <c r="L31" s="2"/>
      <c r="M31" s="2"/>
      <c r="N31" s="4"/>
      <c r="T31" s="105" t="s">
        <v>205</v>
      </c>
      <c r="U31" s="2">
        <v>0</v>
      </c>
      <c r="V31" s="99">
        <v>1</v>
      </c>
    </row>
    <row r="32" spans="1:22" x14ac:dyDescent="0.3">
      <c r="B32" s="2">
        <v>29</v>
      </c>
      <c r="C32" s="2">
        <v>28</v>
      </c>
      <c r="D32" s="2" t="s">
        <v>331</v>
      </c>
      <c r="E32" s="4">
        <v>43819</v>
      </c>
      <c r="F32" s="2" t="s">
        <v>18</v>
      </c>
      <c r="G32" s="2" t="s">
        <v>16</v>
      </c>
      <c r="H32" s="60">
        <v>8.7500000000000008E-2</v>
      </c>
      <c r="I32" s="60"/>
      <c r="T32" s="105" t="s">
        <v>3429</v>
      </c>
      <c r="U32" s="2">
        <v>1</v>
      </c>
      <c r="V32" s="99">
        <v>0</v>
      </c>
    </row>
    <row r="33" spans="1:22" ht="15" thickBot="1" x14ac:dyDescent="0.35">
      <c r="B33" s="2">
        <v>30</v>
      </c>
      <c r="C33" s="2">
        <v>29</v>
      </c>
      <c r="D33" s="2" t="s">
        <v>327</v>
      </c>
      <c r="E33" s="4">
        <v>43821</v>
      </c>
      <c r="F33" s="2" t="s">
        <v>19</v>
      </c>
      <c r="G33" s="2" t="s">
        <v>17</v>
      </c>
      <c r="H33" s="60" t="s">
        <v>159</v>
      </c>
      <c r="I33" s="60"/>
      <c r="T33" s="102"/>
      <c r="U33" s="103">
        <f>SUM(U24:U32)</f>
        <v>52</v>
      </c>
      <c r="V33" s="104">
        <f>SUM(V24:V32)</f>
        <v>52</v>
      </c>
    </row>
    <row r="34" spans="1:22" ht="15" thickBot="1" x14ac:dyDescent="0.35">
      <c r="B34" s="2">
        <v>31</v>
      </c>
      <c r="C34" s="2">
        <v>31</v>
      </c>
      <c r="D34" s="2" t="s">
        <v>610</v>
      </c>
      <c r="E34" s="4">
        <v>43827</v>
      </c>
      <c r="F34" s="2" t="s">
        <v>23</v>
      </c>
      <c r="G34" s="2" t="s">
        <v>17</v>
      </c>
      <c r="H34" s="60">
        <v>0.1277777777777778</v>
      </c>
      <c r="I34" s="2" t="s">
        <v>834</v>
      </c>
      <c r="K34" s="1146" t="s">
        <v>1232</v>
      </c>
      <c r="L34" s="1147"/>
      <c r="M34" s="1147"/>
      <c r="N34" s="1148"/>
      <c r="O34" s="240" t="s">
        <v>315</v>
      </c>
    </row>
    <row r="35" spans="1:22" x14ac:dyDescent="0.3">
      <c r="B35" s="2">
        <v>32</v>
      </c>
      <c r="C35" s="2">
        <v>32</v>
      </c>
      <c r="D35" s="2" t="s">
        <v>325</v>
      </c>
      <c r="E35" s="4">
        <v>43829</v>
      </c>
      <c r="F35" s="2" t="s">
        <v>1250</v>
      </c>
      <c r="G35" s="2" t="s">
        <v>16</v>
      </c>
      <c r="H35" s="60">
        <v>0.17222222222222225</v>
      </c>
      <c r="I35" s="60" t="s">
        <v>834</v>
      </c>
      <c r="K35" s="247" t="s">
        <v>238</v>
      </c>
      <c r="L35" s="6" t="s">
        <v>239</v>
      </c>
      <c r="M35" s="6" t="s">
        <v>240</v>
      </c>
      <c r="N35" s="245" t="s">
        <v>241</v>
      </c>
      <c r="O35" s="121" t="s">
        <v>314</v>
      </c>
      <c r="U35" s="395" t="s">
        <v>3438</v>
      </c>
      <c r="V35" s="186" t="s">
        <v>3437</v>
      </c>
    </row>
    <row r="36" spans="1:22" ht="15" thickBot="1" x14ac:dyDescent="0.35">
      <c r="B36" s="2">
        <v>33</v>
      </c>
      <c r="C36" s="2">
        <v>45</v>
      </c>
      <c r="D36" s="2" t="s">
        <v>325</v>
      </c>
      <c r="E36" s="4">
        <v>43834</v>
      </c>
      <c r="F36" s="2" t="s">
        <v>23</v>
      </c>
      <c r="G36" s="356" t="s">
        <v>1249</v>
      </c>
      <c r="H36" s="60">
        <v>8.5416666666666655E-2</v>
      </c>
      <c r="I36" s="60" t="s">
        <v>834</v>
      </c>
      <c r="K36" s="354">
        <v>43673</v>
      </c>
      <c r="L36" s="7" t="s">
        <v>1246</v>
      </c>
      <c r="M36" s="7" t="s">
        <v>818</v>
      </c>
      <c r="N36" s="101" t="s">
        <v>1247</v>
      </c>
      <c r="O36" s="107">
        <v>4.3055555555555562E-2</v>
      </c>
      <c r="U36" s="396">
        <f>(V15+V16+V17+V18+V19)/V20</f>
        <v>0.51923076923076927</v>
      </c>
      <c r="V36" s="394">
        <f>(V27+V28+V29+V30+V31+V32)/V33</f>
        <v>0.55769230769230771</v>
      </c>
    </row>
    <row r="37" spans="1:22" x14ac:dyDescent="0.3">
      <c r="B37" s="2">
        <v>34</v>
      </c>
      <c r="C37" s="2">
        <v>35</v>
      </c>
      <c r="D37" s="2" t="s">
        <v>6076</v>
      </c>
      <c r="E37" s="4">
        <v>43840</v>
      </c>
      <c r="F37" s="2" t="s">
        <v>18</v>
      </c>
      <c r="G37" s="2" t="s">
        <v>16</v>
      </c>
      <c r="H37" s="60" t="s">
        <v>171</v>
      </c>
      <c r="I37" s="60" t="s">
        <v>834</v>
      </c>
      <c r="K37" s="354">
        <v>43676</v>
      </c>
      <c r="L37" s="7" t="s">
        <v>1238</v>
      </c>
      <c r="M37" s="7" t="s">
        <v>818</v>
      </c>
      <c r="N37" s="101" t="s">
        <v>332</v>
      </c>
      <c r="O37" s="107" t="s">
        <v>601</v>
      </c>
    </row>
    <row r="38" spans="1:22" x14ac:dyDescent="0.3">
      <c r="B38" s="2">
        <v>35</v>
      </c>
      <c r="C38" s="2">
        <v>36</v>
      </c>
      <c r="D38" s="2" t="s">
        <v>326</v>
      </c>
      <c r="E38" s="4">
        <v>43842</v>
      </c>
      <c r="F38" s="2" t="s">
        <v>19</v>
      </c>
      <c r="G38" s="2" t="s">
        <v>17</v>
      </c>
      <c r="H38" s="60">
        <v>8.7500000000000008E-2</v>
      </c>
      <c r="I38" s="60" t="s">
        <v>834</v>
      </c>
      <c r="K38" s="354">
        <v>43678</v>
      </c>
      <c r="L38" s="7" t="s">
        <v>1239</v>
      </c>
      <c r="M38" s="7" t="s">
        <v>1231</v>
      </c>
      <c r="N38" s="101" t="s">
        <v>818</v>
      </c>
      <c r="O38" s="107">
        <v>0.16805555555555554</v>
      </c>
    </row>
    <row r="39" spans="1:22" x14ac:dyDescent="0.3">
      <c r="B39" s="2">
        <v>36</v>
      </c>
      <c r="C39" s="2">
        <v>37</v>
      </c>
      <c r="D39" s="2" t="s">
        <v>328</v>
      </c>
      <c r="E39" s="4">
        <v>43847</v>
      </c>
      <c r="F39" s="2" t="s">
        <v>18</v>
      </c>
      <c r="G39" s="2" t="s">
        <v>16</v>
      </c>
      <c r="H39" s="60">
        <v>0.12847222222222224</v>
      </c>
      <c r="I39" s="60"/>
      <c r="K39" s="354">
        <v>43683</v>
      </c>
      <c r="L39" s="7" t="s">
        <v>1240</v>
      </c>
      <c r="M39" s="7" t="s">
        <v>332</v>
      </c>
      <c r="N39" s="101" t="s">
        <v>818</v>
      </c>
      <c r="O39" s="107">
        <v>0.20972222222222223</v>
      </c>
    </row>
    <row r="40" spans="1:22" x14ac:dyDescent="0.3">
      <c r="A40" t="s">
        <v>3535</v>
      </c>
      <c r="B40" s="2">
        <v>37</v>
      </c>
      <c r="C40" s="2">
        <v>38</v>
      </c>
      <c r="D40" s="2" t="s">
        <v>626</v>
      </c>
      <c r="E40" s="4">
        <v>43849</v>
      </c>
      <c r="F40" s="2" t="s">
        <v>19</v>
      </c>
      <c r="G40" s="2" t="s">
        <v>17</v>
      </c>
      <c r="H40" s="60">
        <v>4.3750000000000004E-2</v>
      </c>
      <c r="I40" s="60"/>
      <c r="K40" s="354">
        <v>43685</v>
      </c>
      <c r="L40" s="7" t="s">
        <v>1238</v>
      </c>
      <c r="M40" s="7" t="s">
        <v>818</v>
      </c>
      <c r="N40" s="101" t="s">
        <v>6086</v>
      </c>
      <c r="O40" s="107" t="s">
        <v>163</v>
      </c>
    </row>
    <row r="41" spans="1:22" x14ac:dyDescent="0.3">
      <c r="B41" s="2">
        <v>38</v>
      </c>
      <c r="C41" s="2">
        <v>39</v>
      </c>
      <c r="D41" s="2" t="s">
        <v>332</v>
      </c>
      <c r="E41" s="4">
        <v>43854</v>
      </c>
      <c r="F41" s="2" t="s">
        <v>18</v>
      </c>
      <c r="G41" s="2" t="s">
        <v>16</v>
      </c>
      <c r="H41" s="60">
        <v>0.21041666666666667</v>
      </c>
      <c r="I41" s="60"/>
      <c r="K41" s="354">
        <v>43692</v>
      </c>
      <c r="L41" s="7" t="s">
        <v>1241</v>
      </c>
      <c r="M41" s="7" t="s">
        <v>6086</v>
      </c>
      <c r="N41" s="101" t="s">
        <v>818</v>
      </c>
      <c r="O41" s="107">
        <v>0.1277777777777778</v>
      </c>
    </row>
    <row r="42" spans="1:22" x14ac:dyDescent="0.3">
      <c r="B42" s="2">
        <v>39</v>
      </c>
      <c r="C42" s="2">
        <v>40</v>
      </c>
      <c r="D42" s="2" t="s">
        <v>6179</v>
      </c>
      <c r="E42" s="4">
        <v>43856</v>
      </c>
      <c r="F42" s="2" t="s">
        <v>19</v>
      </c>
      <c r="G42" s="2" t="s">
        <v>16</v>
      </c>
      <c r="H42" s="60" t="s">
        <v>354</v>
      </c>
      <c r="I42" s="60"/>
      <c r="K42" s="354">
        <v>43695</v>
      </c>
      <c r="L42" s="7" t="s">
        <v>1238</v>
      </c>
      <c r="M42" s="7" t="s">
        <v>818</v>
      </c>
      <c r="N42" s="101" t="s">
        <v>1248</v>
      </c>
      <c r="O42" s="107">
        <v>0.1277777777777778</v>
      </c>
    </row>
    <row r="43" spans="1:22" x14ac:dyDescent="0.3">
      <c r="B43" s="2">
        <v>40</v>
      </c>
      <c r="C43" s="2">
        <v>41</v>
      </c>
      <c r="D43" s="2" t="s">
        <v>331</v>
      </c>
      <c r="E43" s="4">
        <v>43858</v>
      </c>
      <c r="F43" s="2" t="s">
        <v>20</v>
      </c>
      <c r="G43" s="2" t="s">
        <v>17</v>
      </c>
      <c r="H43" s="60">
        <v>0.20902777777777778</v>
      </c>
      <c r="I43" s="60" t="s">
        <v>834</v>
      </c>
      <c r="K43" s="354">
        <v>43701</v>
      </c>
      <c r="L43" s="7" t="s">
        <v>815</v>
      </c>
      <c r="M43" s="7" t="s">
        <v>818</v>
      </c>
      <c r="N43" s="101" t="s">
        <v>1252</v>
      </c>
      <c r="O43" s="107">
        <v>0.17013888888888887</v>
      </c>
    </row>
    <row r="44" spans="1:22" x14ac:dyDescent="0.3">
      <c r="B44" s="2">
        <v>41</v>
      </c>
      <c r="C44" s="2">
        <v>42</v>
      </c>
      <c r="D44" s="2" t="s">
        <v>327</v>
      </c>
      <c r="E44" s="4">
        <v>43861</v>
      </c>
      <c r="F44" s="2" t="s">
        <v>18</v>
      </c>
      <c r="G44" s="2" t="s">
        <v>16</v>
      </c>
      <c r="H44" s="60">
        <v>8.4027777777777771E-2</v>
      </c>
      <c r="I44" s="60" t="s">
        <v>834</v>
      </c>
      <c r="K44" s="354">
        <v>43702</v>
      </c>
      <c r="L44" s="7" t="s">
        <v>815</v>
      </c>
      <c r="M44" s="7" t="s">
        <v>818</v>
      </c>
      <c r="N44" s="101" t="s">
        <v>2931</v>
      </c>
      <c r="O44" s="107" t="s">
        <v>159</v>
      </c>
      <c r="P44" s="2"/>
    </row>
    <row r="45" spans="1:22" ht="15" thickBot="1" x14ac:dyDescent="0.35">
      <c r="B45" s="2">
        <v>42</v>
      </c>
      <c r="C45" s="2">
        <v>43</v>
      </c>
      <c r="D45" s="2" t="s">
        <v>334</v>
      </c>
      <c r="E45" s="4">
        <v>43863</v>
      </c>
      <c r="F45" s="2" t="s">
        <v>19</v>
      </c>
      <c r="G45" s="2" t="s">
        <v>17</v>
      </c>
      <c r="H45" s="60">
        <v>8.5416666666666655E-2</v>
      </c>
      <c r="I45" s="60" t="s">
        <v>834</v>
      </c>
      <c r="K45" s="355">
        <v>43713</v>
      </c>
      <c r="L45" s="118" t="s">
        <v>1238</v>
      </c>
      <c r="M45" s="118" t="s">
        <v>818</v>
      </c>
      <c r="N45" s="246" t="s">
        <v>1242</v>
      </c>
      <c r="O45" s="122">
        <v>8.4027777777777771E-2</v>
      </c>
      <c r="P45" s="2"/>
    </row>
    <row r="46" spans="1:22" x14ac:dyDescent="0.3">
      <c r="B46" s="2">
        <v>43</v>
      </c>
      <c r="C46" s="2">
        <v>44</v>
      </c>
      <c r="D46" s="2" t="s">
        <v>610</v>
      </c>
      <c r="E46" s="4">
        <v>43873</v>
      </c>
      <c r="F46" s="2" t="s">
        <v>21</v>
      </c>
      <c r="G46" s="2" t="s">
        <v>16</v>
      </c>
      <c r="H46" s="60" t="s">
        <v>359</v>
      </c>
      <c r="I46" s="60" t="s">
        <v>834</v>
      </c>
      <c r="O46" s="180">
        <v>1.4381944444444443</v>
      </c>
      <c r="P46" t="s">
        <v>580</v>
      </c>
    </row>
    <row r="47" spans="1:22" x14ac:dyDescent="0.3">
      <c r="B47" s="2">
        <v>44</v>
      </c>
      <c r="C47" s="2">
        <v>46</v>
      </c>
      <c r="D47" s="2" t="s">
        <v>6086</v>
      </c>
      <c r="E47" s="4">
        <v>43877</v>
      </c>
      <c r="F47" s="2" t="s">
        <v>19</v>
      </c>
      <c r="G47" s="2" t="s">
        <v>17</v>
      </c>
      <c r="H47" s="60" t="s">
        <v>161</v>
      </c>
      <c r="I47" s="60" t="s">
        <v>834</v>
      </c>
      <c r="O47" s="60">
        <v>0.59444444444444444</v>
      </c>
      <c r="P47" t="s">
        <v>821</v>
      </c>
    </row>
    <row r="48" spans="1:22" x14ac:dyDescent="0.3">
      <c r="B48" s="2">
        <v>45</v>
      </c>
      <c r="C48" s="2">
        <v>30</v>
      </c>
      <c r="D48" s="2" t="s">
        <v>334</v>
      </c>
      <c r="E48" s="4">
        <v>43880</v>
      </c>
      <c r="F48" s="2" t="s">
        <v>21</v>
      </c>
      <c r="G48" s="2" t="s">
        <v>17</v>
      </c>
      <c r="H48" s="60">
        <v>0.20972222222222223</v>
      </c>
      <c r="I48" s="60" t="s">
        <v>834</v>
      </c>
    </row>
    <row r="49" spans="2:14" x14ac:dyDescent="0.3">
      <c r="B49" s="2">
        <v>46</v>
      </c>
      <c r="C49" s="2">
        <v>47</v>
      </c>
      <c r="D49" s="2" t="s">
        <v>1274</v>
      </c>
      <c r="E49" s="4">
        <v>43882</v>
      </c>
      <c r="F49" s="2" t="s">
        <v>18</v>
      </c>
      <c r="G49" s="2" t="s">
        <v>16</v>
      </c>
      <c r="H49" s="60" t="s">
        <v>162</v>
      </c>
      <c r="I49" s="60"/>
    </row>
    <row r="50" spans="2:14" x14ac:dyDescent="0.3">
      <c r="B50" s="2">
        <v>47</v>
      </c>
      <c r="C50" s="2">
        <v>48</v>
      </c>
      <c r="D50" s="2" t="s">
        <v>6076</v>
      </c>
      <c r="E50" s="4">
        <v>43884</v>
      </c>
      <c r="F50" s="2" t="s">
        <v>19</v>
      </c>
      <c r="G50" s="2" t="s">
        <v>17</v>
      </c>
      <c r="H50" s="60">
        <v>0.25277777777777777</v>
      </c>
      <c r="I50" s="60" t="s">
        <v>834</v>
      </c>
    </row>
    <row r="51" spans="2:14" x14ac:dyDescent="0.3">
      <c r="B51" s="2">
        <v>48</v>
      </c>
      <c r="C51" s="2">
        <v>34</v>
      </c>
      <c r="D51" s="2" t="s">
        <v>1274</v>
      </c>
      <c r="E51" s="4">
        <v>43886</v>
      </c>
      <c r="F51" s="2" t="s">
        <v>20</v>
      </c>
      <c r="G51" s="2" t="s">
        <v>17</v>
      </c>
      <c r="H51" s="60">
        <v>8.5416666666666655E-2</v>
      </c>
      <c r="I51" s="60" t="s">
        <v>834</v>
      </c>
    </row>
    <row r="52" spans="2:14" x14ac:dyDescent="0.3">
      <c r="B52" s="2">
        <v>49</v>
      </c>
      <c r="C52" s="2">
        <v>49</v>
      </c>
      <c r="D52" s="2" t="s">
        <v>326</v>
      </c>
      <c r="E52" s="4">
        <v>43889</v>
      </c>
      <c r="F52" s="2" t="s">
        <v>18</v>
      </c>
      <c r="G52" s="2" t="s">
        <v>16</v>
      </c>
      <c r="H52" s="60" t="s">
        <v>163</v>
      </c>
      <c r="I52" s="60"/>
    </row>
    <row r="53" spans="2:14" x14ac:dyDescent="0.3">
      <c r="B53" s="2">
        <v>50</v>
      </c>
      <c r="C53" s="2">
        <v>50</v>
      </c>
      <c r="D53" s="2" t="s">
        <v>328</v>
      </c>
      <c r="E53" s="4">
        <v>43891</v>
      </c>
      <c r="F53" s="2" t="s">
        <v>19</v>
      </c>
      <c r="G53" s="2" t="s">
        <v>17</v>
      </c>
      <c r="H53" s="60">
        <v>0.16666666666666666</v>
      </c>
      <c r="I53" s="60" t="s">
        <v>834</v>
      </c>
    </row>
    <row r="54" spans="2:14" x14ac:dyDescent="0.3">
      <c r="B54" s="2">
        <v>51</v>
      </c>
      <c r="C54" s="2">
        <v>51</v>
      </c>
      <c r="D54" s="2" t="s">
        <v>626</v>
      </c>
      <c r="E54" s="4">
        <v>43893</v>
      </c>
      <c r="F54" s="2" t="s">
        <v>20</v>
      </c>
      <c r="G54" s="2" t="s">
        <v>16</v>
      </c>
      <c r="H54" s="60">
        <v>4.3750000000000004E-2</v>
      </c>
      <c r="I54" s="60"/>
    </row>
    <row r="55" spans="2:14" ht="15" thickBot="1" x14ac:dyDescent="0.35">
      <c r="B55" s="2">
        <v>52</v>
      </c>
      <c r="C55" s="2">
        <v>52</v>
      </c>
      <c r="D55" s="2" t="s">
        <v>332</v>
      </c>
      <c r="E55" s="4">
        <v>43896</v>
      </c>
      <c r="F55" s="2" t="s">
        <v>18</v>
      </c>
      <c r="G55" s="2" t="s">
        <v>17</v>
      </c>
      <c r="H55" s="60">
        <v>0.25138888888888888</v>
      </c>
      <c r="I55" s="60" t="s">
        <v>834</v>
      </c>
    </row>
    <row r="56" spans="2:14" ht="15" thickBot="1" x14ac:dyDescent="0.35">
      <c r="B56" s="2"/>
      <c r="E56" s="295">
        <f>31/52</f>
        <v>0.59615384615384615</v>
      </c>
      <c r="F56" s="296" t="s">
        <v>1121</v>
      </c>
      <c r="G56" s="297"/>
      <c r="H56" s="298"/>
      <c r="I56"/>
    </row>
    <row r="57" spans="2:14" ht="15" thickBot="1" x14ac:dyDescent="0.35">
      <c r="B57" s="2"/>
      <c r="E57"/>
      <c r="F57"/>
      <c r="G57"/>
      <c r="H57"/>
    </row>
    <row r="58" spans="2:14" x14ac:dyDescent="0.3">
      <c r="B58" s="1142" t="s">
        <v>3664</v>
      </c>
      <c r="C58" s="1143"/>
      <c r="D58" s="1143"/>
      <c r="E58" s="1143"/>
      <c r="F58" s="1143"/>
      <c r="G58" s="1143"/>
      <c r="H58" s="1144"/>
      <c r="J58" s="260" t="s">
        <v>840</v>
      </c>
      <c r="K58" s="1145" t="s">
        <v>3436</v>
      </c>
      <c r="L58" s="1143"/>
      <c r="M58" s="1143"/>
      <c r="N58" s="1144"/>
    </row>
    <row r="59" spans="2:14" ht="15" thickBot="1" x14ac:dyDescent="0.35">
      <c r="B59" s="201"/>
      <c r="C59" s="202" t="s">
        <v>16</v>
      </c>
      <c r="D59" s="202" t="s">
        <v>793</v>
      </c>
      <c r="E59" s="202" t="s">
        <v>794</v>
      </c>
      <c r="F59" s="202" t="s">
        <v>743</v>
      </c>
      <c r="G59" s="202" t="s">
        <v>796</v>
      </c>
      <c r="H59" s="203" t="s">
        <v>795</v>
      </c>
      <c r="J59" s="261"/>
      <c r="K59" s="235" t="s">
        <v>813</v>
      </c>
      <c r="L59" s="200" t="s">
        <v>814</v>
      </c>
      <c r="M59" s="200" t="s">
        <v>816</v>
      </c>
      <c r="N59" s="230" t="s">
        <v>817</v>
      </c>
    </row>
    <row r="60" spans="2:14" x14ac:dyDescent="0.3">
      <c r="B60" s="204" t="s">
        <v>792</v>
      </c>
      <c r="C60" s="205">
        <f>C61+C62</f>
        <v>3</v>
      </c>
      <c r="D60" s="205">
        <f t="shared" ref="D60:G60" si="0">D61+D62</f>
        <v>1</v>
      </c>
      <c r="E60" s="205">
        <f t="shared" si="0"/>
        <v>2</v>
      </c>
      <c r="F60" s="205">
        <f t="shared" si="0"/>
        <v>7</v>
      </c>
      <c r="G60" s="205">
        <f t="shared" si="0"/>
        <v>13</v>
      </c>
      <c r="H60" s="274">
        <v>1.4451388888888888</v>
      </c>
      <c r="I60" s="243"/>
      <c r="J60" s="231">
        <v>1</v>
      </c>
      <c r="K60" s="251" t="s">
        <v>325</v>
      </c>
      <c r="L60" s="171">
        <v>12</v>
      </c>
      <c r="M60" s="169">
        <v>36</v>
      </c>
      <c r="N60" s="231">
        <f t="shared" ref="N60:N73" si="1">M60-L60</f>
        <v>24</v>
      </c>
    </row>
    <row r="61" spans="2:14" x14ac:dyDescent="0.3">
      <c r="B61" s="198" t="s">
        <v>797</v>
      </c>
      <c r="C61" s="183">
        <v>3</v>
      </c>
      <c r="D61" s="183">
        <v>0</v>
      </c>
      <c r="E61" s="183">
        <v>0</v>
      </c>
      <c r="F61" s="183">
        <v>3</v>
      </c>
      <c r="G61" s="383">
        <f t="shared" ref="G61:G74" si="2">C61*3+D61*2+E61</f>
        <v>9</v>
      </c>
      <c r="H61" s="229">
        <v>0.88750000000000007</v>
      </c>
      <c r="I61" s="60"/>
      <c r="J61" s="232">
        <v>2</v>
      </c>
      <c r="K61" s="252" t="s">
        <v>610</v>
      </c>
      <c r="L61" s="184">
        <v>8</v>
      </c>
      <c r="M61" s="234">
        <v>26</v>
      </c>
      <c r="N61" s="232">
        <f t="shared" si="1"/>
        <v>18</v>
      </c>
    </row>
    <row r="62" spans="2:14" ht="15" thickBot="1" x14ac:dyDescent="0.35">
      <c r="B62" s="199" t="s">
        <v>798</v>
      </c>
      <c r="C62" s="200">
        <v>0</v>
      </c>
      <c r="D62" s="200">
        <v>1</v>
      </c>
      <c r="E62" s="200">
        <v>2</v>
      </c>
      <c r="F62" s="200">
        <v>4</v>
      </c>
      <c r="G62" s="384">
        <f t="shared" si="2"/>
        <v>4</v>
      </c>
      <c r="H62" s="249">
        <v>0.55763888888888891</v>
      </c>
      <c r="I62" s="244"/>
      <c r="J62" s="232">
        <v>3</v>
      </c>
      <c r="K62" s="252" t="s">
        <v>331</v>
      </c>
      <c r="L62" s="184">
        <v>12</v>
      </c>
      <c r="M62" s="234">
        <v>25</v>
      </c>
      <c r="N62" s="232">
        <f t="shared" si="1"/>
        <v>13</v>
      </c>
    </row>
    <row r="63" spans="2:14" x14ac:dyDescent="0.3">
      <c r="B63" s="204" t="s">
        <v>799</v>
      </c>
      <c r="C63" s="205">
        <f>C64+C65</f>
        <v>4</v>
      </c>
      <c r="D63" s="205">
        <f t="shared" ref="D63" si="3">D64+D65</f>
        <v>0</v>
      </c>
      <c r="E63" s="205">
        <f t="shared" ref="E63" si="4">E64+E65</f>
        <v>2</v>
      </c>
      <c r="F63" s="205">
        <f t="shared" ref="F63" si="5">F64+F65</f>
        <v>7</v>
      </c>
      <c r="G63" s="205">
        <f t="shared" ref="G63" si="6">G64+G65</f>
        <v>14</v>
      </c>
      <c r="H63" s="274">
        <v>1.3652777777777778</v>
      </c>
      <c r="I63" s="243"/>
      <c r="J63" s="232">
        <v>4</v>
      </c>
      <c r="K63" s="252" t="s">
        <v>6179</v>
      </c>
      <c r="L63" s="184">
        <v>14</v>
      </c>
      <c r="M63" s="234">
        <v>22</v>
      </c>
      <c r="N63" s="232">
        <f t="shared" si="1"/>
        <v>8</v>
      </c>
    </row>
    <row r="64" spans="2:14" x14ac:dyDescent="0.3">
      <c r="B64" s="198" t="s">
        <v>797</v>
      </c>
      <c r="C64" s="183">
        <v>2</v>
      </c>
      <c r="D64" s="183">
        <v>0</v>
      </c>
      <c r="E64" s="183">
        <v>1</v>
      </c>
      <c r="F64" s="183">
        <v>2</v>
      </c>
      <c r="G64" s="383">
        <f t="shared" si="2"/>
        <v>7</v>
      </c>
      <c r="H64" s="229">
        <v>0.59375</v>
      </c>
      <c r="I64" s="244"/>
      <c r="J64" s="232">
        <v>5</v>
      </c>
      <c r="K64" s="252" t="s">
        <v>6086</v>
      </c>
      <c r="L64" s="184">
        <v>16</v>
      </c>
      <c r="M64" s="234">
        <v>20</v>
      </c>
      <c r="N64" s="232">
        <f t="shared" si="1"/>
        <v>4</v>
      </c>
    </row>
    <row r="65" spans="2:14" ht="15" thickBot="1" x14ac:dyDescent="0.35">
      <c r="B65" s="199" t="s">
        <v>798</v>
      </c>
      <c r="C65" s="200">
        <v>2</v>
      </c>
      <c r="D65" s="200">
        <v>0</v>
      </c>
      <c r="E65" s="200">
        <v>1</v>
      </c>
      <c r="F65" s="200">
        <v>5</v>
      </c>
      <c r="G65" s="384">
        <f t="shared" si="2"/>
        <v>7</v>
      </c>
      <c r="H65" s="249">
        <v>0.7715277777777777</v>
      </c>
      <c r="I65" s="244"/>
      <c r="J65" s="232">
        <v>6</v>
      </c>
      <c r="K65" s="252" t="s">
        <v>334</v>
      </c>
      <c r="L65" s="184">
        <v>13</v>
      </c>
      <c r="M65" s="234">
        <v>16</v>
      </c>
      <c r="N65" s="232">
        <f t="shared" si="1"/>
        <v>3</v>
      </c>
    </row>
    <row r="66" spans="2:14" x14ac:dyDescent="0.3">
      <c r="B66" s="204" t="s">
        <v>800</v>
      </c>
      <c r="C66" s="205">
        <f>C67+C68</f>
        <v>3</v>
      </c>
      <c r="D66" s="205">
        <f t="shared" ref="D66" si="7">D67+D68</f>
        <v>1</v>
      </c>
      <c r="E66" s="205">
        <f t="shared" ref="E66" si="8">E67+E68</f>
        <v>2</v>
      </c>
      <c r="F66" s="205">
        <f t="shared" ref="F66" si="9">F67+F68</f>
        <v>7</v>
      </c>
      <c r="G66" s="205">
        <f t="shared" ref="G66" si="10">G67+G68</f>
        <v>13</v>
      </c>
      <c r="H66" s="274">
        <v>1.7020833333333334</v>
      </c>
      <c r="I66" s="243"/>
      <c r="J66" s="232">
        <v>7</v>
      </c>
      <c r="K66" s="252" t="s">
        <v>6076</v>
      </c>
      <c r="L66" s="184">
        <v>23</v>
      </c>
      <c r="M66" s="234">
        <v>21</v>
      </c>
      <c r="N66" s="232">
        <f t="shared" si="1"/>
        <v>-2</v>
      </c>
    </row>
    <row r="67" spans="2:14" x14ac:dyDescent="0.3">
      <c r="B67" s="198" t="s">
        <v>797</v>
      </c>
      <c r="C67" s="183">
        <v>2</v>
      </c>
      <c r="D67" s="183">
        <v>1</v>
      </c>
      <c r="E67" s="183">
        <v>0</v>
      </c>
      <c r="F67" s="183">
        <v>4</v>
      </c>
      <c r="G67" s="383">
        <f t="shared" si="2"/>
        <v>8</v>
      </c>
      <c r="H67" s="229">
        <v>0.89027777777777783</v>
      </c>
      <c r="I67" s="244"/>
      <c r="J67" s="232">
        <v>8</v>
      </c>
      <c r="K67" s="252" t="s">
        <v>326</v>
      </c>
      <c r="L67" s="184">
        <v>28</v>
      </c>
      <c r="M67" s="234">
        <v>25</v>
      </c>
      <c r="N67" s="232">
        <f t="shared" si="1"/>
        <v>-3</v>
      </c>
    </row>
    <row r="68" spans="2:14" ht="15" thickBot="1" x14ac:dyDescent="0.35">
      <c r="B68" s="199" t="s">
        <v>798</v>
      </c>
      <c r="C68" s="200">
        <v>1</v>
      </c>
      <c r="D68" s="200">
        <v>0</v>
      </c>
      <c r="E68" s="200">
        <v>2</v>
      </c>
      <c r="F68" s="200">
        <v>3</v>
      </c>
      <c r="G68" s="384">
        <f t="shared" si="2"/>
        <v>5</v>
      </c>
      <c r="H68" s="249">
        <v>0.81180555555555556</v>
      </c>
      <c r="I68" s="244"/>
      <c r="J68" s="232">
        <v>9</v>
      </c>
      <c r="K68" s="252" t="s">
        <v>1274</v>
      </c>
      <c r="L68" s="184">
        <v>29</v>
      </c>
      <c r="M68" s="234">
        <v>22</v>
      </c>
      <c r="N68" s="232">
        <f t="shared" si="1"/>
        <v>-7</v>
      </c>
    </row>
    <row r="69" spans="2:14" x14ac:dyDescent="0.3">
      <c r="B69" s="204" t="s">
        <v>801</v>
      </c>
      <c r="C69" s="205">
        <f>C70+C71</f>
        <v>6</v>
      </c>
      <c r="D69" s="205">
        <f>D70+D71</f>
        <v>1</v>
      </c>
      <c r="E69" s="205">
        <f t="shared" ref="E69" si="11">E70+E71</f>
        <v>3</v>
      </c>
      <c r="F69" s="205">
        <f t="shared" ref="F69" si="12">F70+F71</f>
        <v>3</v>
      </c>
      <c r="G69" s="205">
        <f t="shared" ref="G69" si="13">G70+G71</f>
        <v>23</v>
      </c>
      <c r="H69" s="387">
        <v>1.9395833333333332</v>
      </c>
      <c r="I69" s="243"/>
      <c r="J69" s="232">
        <v>10</v>
      </c>
      <c r="K69" s="252" t="s">
        <v>332</v>
      </c>
      <c r="L69" s="184">
        <v>19</v>
      </c>
      <c r="M69" s="234">
        <v>12</v>
      </c>
      <c r="N69" s="232">
        <f t="shared" si="1"/>
        <v>-7</v>
      </c>
    </row>
    <row r="70" spans="2:14" x14ac:dyDescent="0.3">
      <c r="B70" s="198" t="s">
        <v>797</v>
      </c>
      <c r="C70" s="183">
        <v>5</v>
      </c>
      <c r="D70" s="183">
        <v>0</v>
      </c>
      <c r="E70" s="183">
        <v>1</v>
      </c>
      <c r="F70" s="183">
        <v>2</v>
      </c>
      <c r="G70" s="383">
        <f t="shared" si="2"/>
        <v>16</v>
      </c>
      <c r="H70" s="400">
        <v>1.3458333333333332</v>
      </c>
      <c r="I70" s="244"/>
      <c r="J70" s="232">
        <v>11</v>
      </c>
      <c r="K70" s="252" t="s">
        <v>626</v>
      </c>
      <c r="L70" s="184">
        <v>31</v>
      </c>
      <c r="M70" s="234">
        <v>22</v>
      </c>
      <c r="N70" s="232">
        <f t="shared" si="1"/>
        <v>-9</v>
      </c>
    </row>
    <row r="71" spans="2:14" ht="15" thickBot="1" x14ac:dyDescent="0.35">
      <c r="B71" s="199" t="s">
        <v>798</v>
      </c>
      <c r="C71" s="200">
        <v>1</v>
      </c>
      <c r="D71" s="200">
        <v>1</v>
      </c>
      <c r="E71" s="200">
        <v>2</v>
      </c>
      <c r="F71" s="200">
        <v>1</v>
      </c>
      <c r="G71" s="384">
        <f t="shared" si="2"/>
        <v>7</v>
      </c>
      <c r="H71" s="399">
        <v>0.63680555555555551</v>
      </c>
      <c r="I71" s="244"/>
      <c r="J71" s="232">
        <v>12</v>
      </c>
      <c r="K71" s="252" t="s">
        <v>328</v>
      </c>
      <c r="L71" s="184">
        <v>28</v>
      </c>
      <c r="M71" s="234">
        <v>17</v>
      </c>
      <c r="N71" s="232">
        <f t="shared" si="1"/>
        <v>-11</v>
      </c>
    </row>
    <row r="72" spans="2:14" x14ac:dyDescent="0.3">
      <c r="B72" s="220" t="s">
        <v>804</v>
      </c>
      <c r="C72" s="221">
        <f>C60+C63+C66+C69</f>
        <v>16</v>
      </c>
      <c r="D72" s="221">
        <f t="shared" ref="D72:F74" si="14">D60+D63+D66+D69</f>
        <v>3</v>
      </c>
      <c r="E72" s="221">
        <f t="shared" si="14"/>
        <v>9</v>
      </c>
      <c r="F72" s="221">
        <f>F60+F63+F66+F69</f>
        <v>24</v>
      </c>
      <c r="G72" s="222">
        <f t="shared" si="2"/>
        <v>63</v>
      </c>
      <c r="H72" s="387" t="s">
        <v>2834</v>
      </c>
      <c r="I72" s="243"/>
      <c r="J72" s="232">
        <v>13</v>
      </c>
      <c r="K72" s="253" t="s">
        <v>818</v>
      </c>
      <c r="L72" s="237">
        <v>24</v>
      </c>
      <c r="M72" s="238">
        <v>11</v>
      </c>
      <c r="N72" s="239">
        <f t="shared" si="1"/>
        <v>-13</v>
      </c>
    </row>
    <row r="73" spans="2:14" ht="15" thickBot="1" x14ac:dyDescent="0.35">
      <c r="B73" s="223" t="s">
        <v>797</v>
      </c>
      <c r="C73" s="224">
        <f>C61+C64+C67+C70</f>
        <v>12</v>
      </c>
      <c r="D73" s="224">
        <f t="shared" si="14"/>
        <v>1</v>
      </c>
      <c r="E73" s="224">
        <f t="shared" si="14"/>
        <v>2</v>
      </c>
      <c r="F73" s="224">
        <f t="shared" si="14"/>
        <v>11</v>
      </c>
      <c r="G73" s="256">
        <f t="shared" si="2"/>
        <v>40</v>
      </c>
      <c r="H73" s="388" t="s">
        <v>3603</v>
      </c>
      <c r="I73" s="60"/>
      <c r="J73" s="233">
        <v>14</v>
      </c>
      <c r="K73" s="254" t="s">
        <v>327</v>
      </c>
      <c r="L73" s="235">
        <v>31</v>
      </c>
      <c r="M73" s="236">
        <v>13</v>
      </c>
      <c r="N73" s="233">
        <f t="shared" si="1"/>
        <v>-18</v>
      </c>
    </row>
    <row r="74" spans="2:14" ht="15" thickBot="1" x14ac:dyDescent="0.35">
      <c r="B74" s="226" t="s">
        <v>798</v>
      </c>
      <c r="C74" s="227">
        <f>C62+C65+C68+C71</f>
        <v>4</v>
      </c>
      <c r="D74" s="227">
        <f t="shared" si="14"/>
        <v>2</v>
      </c>
      <c r="E74" s="227">
        <f t="shared" si="14"/>
        <v>7</v>
      </c>
      <c r="F74" s="227">
        <f t="shared" si="14"/>
        <v>13</v>
      </c>
      <c r="G74" s="258">
        <f t="shared" si="2"/>
        <v>23</v>
      </c>
      <c r="H74" s="391" t="s">
        <v>3599</v>
      </c>
      <c r="I74" s="244"/>
    </row>
    <row r="75" spans="2:14" x14ac:dyDescent="0.3">
      <c r="B75" s="214"/>
      <c r="C75" s="215"/>
      <c r="D75" s="215"/>
      <c r="E75" s="215"/>
      <c r="F75" s="215"/>
      <c r="G75" s="215"/>
      <c r="H75" s="389"/>
      <c r="I75" s="250"/>
      <c r="K75" s="129" t="s">
        <v>811</v>
      </c>
      <c r="L75" s="2">
        <f>SUM(L60:L73)</f>
        <v>288</v>
      </c>
      <c r="M75" s="2">
        <f>SUM(M60:M73)</f>
        <v>288</v>
      </c>
      <c r="N75" s="2">
        <f>L75-M75</f>
        <v>0</v>
      </c>
    </row>
    <row r="76" spans="2:14" x14ac:dyDescent="0.3">
      <c r="B76" s="216"/>
      <c r="C76" s="217"/>
      <c r="D76" s="217"/>
      <c r="E76" s="217"/>
      <c r="F76" s="217"/>
      <c r="G76" s="217"/>
      <c r="H76" s="300"/>
      <c r="I76" s="60"/>
    </row>
    <row r="77" spans="2:14" ht="15" thickBot="1" x14ac:dyDescent="0.35">
      <c r="B77" s="218"/>
      <c r="C77" s="219"/>
      <c r="D77" s="219"/>
      <c r="E77" s="219"/>
      <c r="F77" s="219"/>
      <c r="G77" s="219"/>
      <c r="H77" s="301"/>
      <c r="I77" s="60"/>
    </row>
    <row r="78" spans="2:14" x14ac:dyDescent="0.3">
      <c r="B78" s="2" t="s">
        <v>811</v>
      </c>
      <c r="C78" s="8" t="s">
        <v>812</v>
      </c>
      <c r="E78" s="2">
        <f>C72+D72+E72+F72</f>
        <v>52</v>
      </c>
    </row>
    <row r="86" spans="3:18" x14ac:dyDescent="0.3">
      <c r="K86" s="2"/>
      <c r="P86" s="2"/>
    </row>
    <row r="87" spans="3:18" x14ac:dyDescent="0.3">
      <c r="C87"/>
      <c r="D87"/>
      <c r="E87"/>
      <c r="K87" s="129"/>
      <c r="L87" s="130"/>
      <c r="M87" s="130"/>
      <c r="N87" s="130"/>
      <c r="O87" s="130"/>
      <c r="P87" s="130"/>
    </row>
    <row r="88" spans="3:18" x14ac:dyDescent="0.3">
      <c r="C88"/>
      <c r="D88"/>
      <c r="E88"/>
      <c r="K88" s="129"/>
      <c r="L88" s="130"/>
      <c r="M88" s="130"/>
      <c r="N88" s="60"/>
      <c r="O88" s="130"/>
      <c r="P88" s="130"/>
    </row>
    <row r="89" spans="3:18" x14ac:dyDescent="0.3">
      <c r="C89"/>
      <c r="D89"/>
      <c r="E89"/>
      <c r="K89" s="2"/>
      <c r="L89" s="130"/>
      <c r="M89" s="130"/>
      <c r="N89" s="130"/>
      <c r="O89" s="130"/>
      <c r="P89" s="130"/>
    </row>
    <row r="90" spans="3:18" x14ac:dyDescent="0.3">
      <c r="C90"/>
      <c r="D90"/>
      <c r="E90"/>
      <c r="F90"/>
      <c r="G90"/>
      <c r="H90"/>
      <c r="I90"/>
    </row>
    <row r="91" spans="3:18" x14ac:dyDescent="0.3">
      <c r="C91"/>
      <c r="D91"/>
      <c r="E91"/>
      <c r="F91"/>
      <c r="G91"/>
      <c r="H91"/>
      <c r="I91"/>
      <c r="K91" s="2"/>
      <c r="L91" s="60"/>
      <c r="M91" s="2"/>
      <c r="N91" s="60"/>
      <c r="O91" s="130"/>
      <c r="P91" s="60"/>
      <c r="Q91" s="2"/>
    </row>
    <row r="92" spans="3:18" x14ac:dyDescent="0.3">
      <c r="C92"/>
      <c r="D92"/>
      <c r="E92"/>
      <c r="F92"/>
      <c r="G92"/>
      <c r="H92"/>
      <c r="I92"/>
      <c r="K92" s="2"/>
      <c r="L92" s="2"/>
      <c r="M92" s="2"/>
      <c r="N92" s="60"/>
      <c r="O92" s="60"/>
      <c r="P92" s="244"/>
      <c r="Q92" s="130"/>
      <c r="R92" s="129"/>
    </row>
    <row r="93" spans="3:18" x14ac:dyDescent="0.3">
      <c r="C93"/>
      <c r="D93"/>
      <c r="E93"/>
      <c r="F93"/>
      <c r="G93"/>
      <c r="H93"/>
      <c r="I93"/>
      <c r="K93" s="2"/>
      <c r="L93" s="60"/>
      <c r="M93" s="60"/>
      <c r="N93" s="2"/>
      <c r="O93" s="130"/>
      <c r="P93" s="60"/>
      <c r="Q93" s="130"/>
      <c r="R93" s="129"/>
    </row>
    <row r="94" spans="3:18" x14ac:dyDescent="0.3">
      <c r="C94"/>
      <c r="D94"/>
      <c r="E94"/>
      <c r="F94"/>
      <c r="G94"/>
      <c r="H94"/>
      <c r="I94"/>
      <c r="Q94" s="130"/>
      <c r="R94" s="129"/>
    </row>
    <row r="95" spans="3:18" x14ac:dyDescent="0.3">
      <c r="C95"/>
      <c r="D95"/>
      <c r="E95"/>
      <c r="F95"/>
      <c r="G95"/>
      <c r="H95"/>
      <c r="I95"/>
      <c r="K95" s="2"/>
      <c r="L95" s="2"/>
      <c r="M95" s="2"/>
    </row>
    <row r="96" spans="3:18" x14ac:dyDescent="0.3">
      <c r="C96"/>
      <c r="D96"/>
      <c r="E96"/>
      <c r="F96"/>
      <c r="G96"/>
      <c r="H96"/>
      <c r="I96"/>
      <c r="K96" s="129"/>
      <c r="L96" s="2"/>
      <c r="M96" s="244"/>
      <c r="Q96" s="130"/>
      <c r="R96" s="129"/>
    </row>
    <row r="97" spans="3:18" x14ac:dyDescent="0.3">
      <c r="C97"/>
      <c r="D97"/>
      <c r="E97"/>
      <c r="F97"/>
      <c r="G97"/>
      <c r="H97"/>
      <c r="I97"/>
      <c r="K97" s="2"/>
      <c r="L97" s="2"/>
      <c r="M97" s="244"/>
      <c r="Q97" s="60"/>
      <c r="R97" s="129"/>
    </row>
    <row r="98" spans="3:18" x14ac:dyDescent="0.3">
      <c r="C98"/>
      <c r="D98"/>
      <c r="E98"/>
      <c r="F98"/>
      <c r="G98"/>
      <c r="H98"/>
      <c r="I98"/>
      <c r="K98" s="129"/>
      <c r="L98" s="2"/>
      <c r="M98" s="244"/>
      <c r="Q98" s="60"/>
      <c r="R98" s="129"/>
    </row>
    <row r="99" spans="3:18" x14ac:dyDescent="0.3">
      <c r="C99"/>
      <c r="D99"/>
      <c r="E99"/>
      <c r="F99"/>
      <c r="G99"/>
      <c r="H99"/>
      <c r="I99"/>
      <c r="K99" s="129"/>
      <c r="L99" s="2"/>
    </row>
    <row r="100" spans="3:18" x14ac:dyDescent="0.3">
      <c r="C100"/>
      <c r="D100"/>
      <c r="E100"/>
      <c r="F100"/>
      <c r="G100"/>
      <c r="H100"/>
      <c r="I100"/>
    </row>
    <row r="101" spans="3:18" x14ac:dyDescent="0.3">
      <c r="C101"/>
      <c r="D101"/>
      <c r="E101"/>
      <c r="F101"/>
      <c r="G101"/>
      <c r="H101"/>
      <c r="I101"/>
      <c r="O101"/>
    </row>
    <row r="102" spans="3:18" x14ac:dyDescent="0.3">
      <c r="C102"/>
      <c r="D102"/>
      <c r="E102"/>
      <c r="F102"/>
      <c r="G102"/>
      <c r="H102"/>
      <c r="I102"/>
      <c r="O102"/>
    </row>
    <row r="103" spans="3:18" x14ac:dyDescent="0.3">
      <c r="C103"/>
      <c r="D103"/>
      <c r="E103"/>
      <c r="F103"/>
      <c r="G103"/>
      <c r="H103"/>
      <c r="I103"/>
      <c r="O103"/>
    </row>
    <row r="104" spans="3:18" x14ac:dyDescent="0.3">
      <c r="C104"/>
      <c r="D104"/>
      <c r="E104"/>
      <c r="F104"/>
      <c r="G104"/>
      <c r="H104"/>
      <c r="I104"/>
      <c r="O104"/>
    </row>
    <row r="105" spans="3:18" x14ac:dyDescent="0.3">
      <c r="C105"/>
      <c r="D105"/>
      <c r="E105"/>
      <c r="F105"/>
      <c r="G105"/>
      <c r="H105"/>
      <c r="I105"/>
      <c r="O105"/>
    </row>
    <row r="106" spans="3:18" x14ac:dyDescent="0.3">
      <c r="O106"/>
    </row>
    <row r="107" spans="3:18" x14ac:dyDescent="0.3">
      <c r="O107"/>
    </row>
    <row r="108" spans="3:18" x14ac:dyDescent="0.3">
      <c r="O108"/>
    </row>
    <row r="109" spans="3:18" x14ac:dyDescent="0.3">
      <c r="O109"/>
    </row>
    <row r="110" spans="3:18" x14ac:dyDescent="0.3">
      <c r="O110"/>
    </row>
    <row r="111" spans="3:18" x14ac:dyDescent="0.3">
      <c r="O111"/>
    </row>
    <row r="112" spans="3:18" x14ac:dyDescent="0.3">
      <c r="O112"/>
    </row>
    <row r="113" spans="15:15" x14ac:dyDescent="0.3">
      <c r="O113"/>
    </row>
    <row r="114" spans="15:15" x14ac:dyDescent="0.3">
      <c r="O114"/>
    </row>
    <row r="115" spans="15:15" x14ac:dyDescent="0.3">
      <c r="O115"/>
    </row>
    <row r="116" spans="15:15" x14ac:dyDescent="0.3">
      <c r="O116"/>
    </row>
    <row r="117" spans="15:15" x14ac:dyDescent="0.3">
      <c r="O117"/>
    </row>
    <row r="118" spans="15:15" x14ac:dyDescent="0.3">
      <c r="O118"/>
    </row>
    <row r="119" spans="15:15" x14ac:dyDescent="0.3">
      <c r="O119"/>
    </row>
    <row r="120" spans="15:15" x14ac:dyDescent="0.3">
      <c r="O120"/>
    </row>
    <row r="121" spans="15:15" x14ac:dyDescent="0.3">
      <c r="O121"/>
    </row>
    <row r="122" spans="15:15" x14ac:dyDescent="0.3">
      <c r="O122"/>
    </row>
    <row r="123" spans="15:15" x14ac:dyDescent="0.3">
      <c r="O123"/>
    </row>
    <row r="124" spans="15:15" x14ac:dyDescent="0.3">
      <c r="O124"/>
    </row>
    <row r="125" spans="15:15" x14ac:dyDescent="0.3">
      <c r="O125"/>
    </row>
    <row r="126" spans="15:15" x14ac:dyDescent="0.3">
      <c r="O126"/>
    </row>
    <row r="127" spans="15:15" x14ac:dyDescent="0.3">
      <c r="O127"/>
    </row>
    <row r="128" spans="15:15" x14ac:dyDescent="0.3">
      <c r="O128"/>
    </row>
    <row r="129" spans="15:15" x14ac:dyDescent="0.3">
      <c r="O129"/>
    </row>
    <row r="130" spans="15:15" x14ac:dyDescent="0.3">
      <c r="O130"/>
    </row>
    <row r="131" spans="15:15" x14ac:dyDescent="0.3">
      <c r="O131"/>
    </row>
    <row r="132" spans="15:15" x14ac:dyDescent="0.3">
      <c r="O132"/>
    </row>
    <row r="133" spans="15:15" x14ac:dyDescent="0.3">
      <c r="O133"/>
    </row>
    <row r="134" spans="15:15" x14ac:dyDescent="0.3">
      <c r="O134"/>
    </row>
    <row r="135" spans="15:15" x14ac:dyDescent="0.3">
      <c r="O135"/>
    </row>
    <row r="136" spans="15:15" x14ac:dyDescent="0.3">
      <c r="O136"/>
    </row>
    <row r="137" spans="15:15" x14ac:dyDescent="0.3">
      <c r="O137"/>
    </row>
    <row r="138" spans="15:15" x14ac:dyDescent="0.3">
      <c r="O138"/>
    </row>
    <row r="139" spans="15:15" x14ac:dyDescent="0.3">
      <c r="O139"/>
    </row>
    <row r="140" spans="15:15" x14ac:dyDescent="0.3">
      <c r="O140"/>
    </row>
    <row r="141" spans="15:15" x14ac:dyDescent="0.3">
      <c r="O141"/>
    </row>
    <row r="142" spans="15:15" x14ac:dyDescent="0.3">
      <c r="O142"/>
    </row>
    <row r="143" spans="15:15" x14ac:dyDescent="0.3">
      <c r="O143"/>
    </row>
    <row r="144" spans="15:15" x14ac:dyDescent="0.3">
      <c r="O144"/>
    </row>
    <row r="145" spans="15:15" x14ac:dyDescent="0.3">
      <c r="O145"/>
    </row>
    <row r="146" spans="15:15" x14ac:dyDescent="0.3">
      <c r="O146"/>
    </row>
    <row r="147" spans="15:15" x14ac:dyDescent="0.3">
      <c r="O147"/>
    </row>
    <row r="148" spans="15:15" x14ac:dyDescent="0.3">
      <c r="O148"/>
    </row>
    <row r="149" spans="15:15" x14ac:dyDescent="0.3">
      <c r="O149"/>
    </row>
    <row r="150" spans="15:15" x14ac:dyDescent="0.3">
      <c r="O150"/>
    </row>
    <row r="151" spans="15:15" x14ac:dyDescent="0.3">
      <c r="O151"/>
    </row>
    <row r="152" spans="15:15" x14ac:dyDescent="0.3">
      <c r="O152"/>
    </row>
    <row r="153" spans="15:15" x14ac:dyDescent="0.3">
      <c r="O153"/>
    </row>
    <row r="154" spans="15:15" x14ac:dyDescent="0.3">
      <c r="O154"/>
    </row>
    <row r="155" spans="15:15" x14ac:dyDescent="0.3">
      <c r="O155"/>
    </row>
    <row r="156" spans="15:15" x14ac:dyDescent="0.3">
      <c r="O156"/>
    </row>
    <row r="157" spans="15:15" x14ac:dyDescent="0.3">
      <c r="O157"/>
    </row>
    <row r="158" spans="15:15" x14ac:dyDescent="0.3">
      <c r="O158"/>
    </row>
    <row r="159" spans="15:15" x14ac:dyDescent="0.3">
      <c r="O159"/>
    </row>
    <row r="160" spans="15:15" x14ac:dyDescent="0.3">
      <c r="O160"/>
    </row>
    <row r="161" spans="15:15" x14ac:dyDescent="0.3">
      <c r="O161"/>
    </row>
    <row r="162" spans="15:15" x14ac:dyDescent="0.3">
      <c r="O162"/>
    </row>
  </sheetData>
  <mergeCells count="4">
    <mergeCell ref="K7:P7"/>
    <mergeCell ref="K34:N34"/>
    <mergeCell ref="B58:H58"/>
    <mergeCell ref="K58:N58"/>
  </mergeCells>
  <conditionalFormatting sqref="E55:E56">
    <cfRule type="cellIs" dxfId="253" priority="1055" operator="equal">
      <formula>"D"</formula>
    </cfRule>
  </conditionalFormatting>
  <conditionalFormatting sqref="E59 F61:F62 F64:F65 F67:F68 F70:F71 F76:F89">
    <cfRule type="cellIs" dxfId="252" priority="1545" operator="equal">
      <formula>"ne"</formula>
    </cfRule>
    <cfRule type="cellIs" dxfId="251" priority="1546" operator="equal">
      <formula>"pá"</formula>
    </cfRule>
  </conditionalFormatting>
  <conditionalFormatting sqref="F1:F56">
    <cfRule type="cellIs" dxfId="250" priority="1056" operator="equal">
      <formula>"so"</formula>
    </cfRule>
  </conditionalFormatting>
  <conditionalFormatting sqref="F4:F56">
    <cfRule type="cellIs" dxfId="249" priority="1057" operator="equal">
      <formula>"ne"</formula>
    </cfRule>
    <cfRule type="cellIs" dxfId="248" priority="1058" operator="equal">
      <formula>"pá"</formula>
    </cfRule>
  </conditionalFormatting>
  <conditionalFormatting sqref="F59">
    <cfRule type="cellIs" dxfId="247" priority="1547" operator="equal">
      <formula>"D"</formula>
    </cfRule>
  </conditionalFormatting>
  <conditionalFormatting sqref="F78:F89 F106:F1048576">
    <cfRule type="cellIs" dxfId="246" priority="1548" operator="equal">
      <formula>"so"</formula>
    </cfRule>
  </conditionalFormatting>
  <conditionalFormatting sqref="G4:G56">
    <cfRule type="cellIs" dxfId="245" priority="1059" operator="equal">
      <formula>"D"</formula>
    </cfRule>
  </conditionalFormatting>
  <conditionalFormatting sqref="G61:G62">
    <cfRule type="cellIs" dxfId="244" priority="1469" operator="equal">
      <formula>"D"</formula>
    </cfRule>
  </conditionalFormatting>
  <conditionalFormatting sqref="G64:G65">
    <cfRule type="cellIs" dxfId="243" priority="1468" operator="equal">
      <formula>"D"</formula>
    </cfRule>
  </conditionalFormatting>
  <conditionalFormatting sqref="G67:G68">
    <cfRule type="cellIs" dxfId="242" priority="1467" operator="equal">
      <formula>"D"</formula>
    </cfRule>
  </conditionalFormatting>
  <conditionalFormatting sqref="G70:G89">
    <cfRule type="cellIs" dxfId="241" priority="1466" operator="equal">
      <formula>"D"</formula>
    </cfRule>
  </conditionalFormatting>
  <conditionalFormatting sqref="G106:G209">
    <cfRule type="cellIs" dxfId="240" priority="1566" operator="equal">
      <formula>"D"</formula>
    </cfRule>
  </conditionalFormatting>
  <conditionalFormatting sqref="N60:N73 N75">
    <cfRule type="cellIs" dxfId="239" priority="1540" operator="lessThan">
      <formula>0</formula>
    </cfRule>
  </conditionalFormatting>
  <conditionalFormatting sqref="N75">
    <cfRule type="cellIs" dxfId="238" priority="1539" operator="equal">
      <formula>0</formula>
    </cfRule>
  </conditionalFormatting>
  <conditionalFormatting sqref="O6 F106:F201">
    <cfRule type="cellIs" dxfId="237" priority="1564" operator="equal">
      <formula>"ne"</formula>
    </cfRule>
    <cfRule type="cellIs" dxfId="236" priority="1565" operator="equal">
      <formula>"pá"</formula>
    </cfRule>
  </conditionalFormatting>
  <conditionalFormatting sqref="O9:O16">
    <cfRule type="cellIs" dxfId="235" priority="1" operator="equal">
      <formula>"so"</formula>
    </cfRule>
  </conditionalFormatting>
  <conditionalFormatting sqref="O9:O23">
    <cfRule type="cellIs" dxfId="234" priority="2" operator="equal">
      <formula>"ne"</formula>
    </cfRule>
    <cfRule type="cellIs" dxfId="233" priority="3" operator="equal">
      <formula>"pá"</formula>
    </cfRule>
  </conditionalFormatting>
  <conditionalFormatting sqref="O26:O31">
    <cfRule type="cellIs" dxfId="232" priority="1562" operator="equal">
      <formula>"ne"</formula>
    </cfRule>
    <cfRule type="cellIs" dxfId="231" priority="1563" operator="equal">
      <formula>"pá"</formula>
    </cfRule>
  </conditionalFormatting>
  <conditionalFormatting sqref="P9:P16">
    <cfRule type="cellIs" dxfId="230" priority="1538" operator="equal">
      <formula>"D"</formula>
    </cfRule>
  </conditionalFormatting>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117"/>
  <sheetViews>
    <sheetView zoomScaleNormal="100" workbookViewId="0">
      <pane xSplit="7" ySplit="2" topLeftCell="H3" activePane="bottomRight" state="frozen"/>
      <selection activeCell="L12" sqref="L12"/>
      <selection pane="topRight" activeCell="L12" sqref="L12"/>
      <selection pane="bottomLeft" activeCell="L12" sqref="L12"/>
      <selection pane="bottomRight" activeCell="I1" sqref="I1:J1048576"/>
    </sheetView>
  </sheetViews>
  <sheetFormatPr defaultRowHeight="14.4" x14ac:dyDescent="0.3"/>
  <cols>
    <col min="1" max="1" width="14.88671875" customWidth="1"/>
    <col min="2" max="2" width="11.109375" customWidth="1"/>
    <col min="3" max="4" width="11.33203125" style="2" customWidth="1"/>
    <col min="5" max="5" width="15" style="2" customWidth="1"/>
    <col min="6" max="6" width="18" style="2" customWidth="1"/>
    <col min="7" max="8" width="22.6640625" style="1058" customWidth="1"/>
    <col min="9" max="10" width="22.6640625" style="259" customWidth="1"/>
    <col min="11" max="12" width="22.6640625" style="1058" customWidth="1"/>
    <col min="13" max="13" width="18" style="2" customWidth="1"/>
    <col min="14" max="14" width="16.44140625" style="2" customWidth="1"/>
    <col min="15" max="15" width="15.6640625" style="2" customWidth="1"/>
    <col min="16" max="16" width="18.33203125" style="168" customWidth="1"/>
    <col min="17" max="17" width="16.6640625" style="2" customWidth="1"/>
    <col min="18" max="18" width="23.88671875" style="2" customWidth="1"/>
    <col min="19" max="19" width="22.33203125" style="2" customWidth="1"/>
    <col min="20" max="20" width="17.88671875" style="2" customWidth="1"/>
    <col min="21" max="21" width="16.109375" style="2" customWidth="1"/>
    <col min="22" max="22" width="14.44140625" style="242" customWidth="1"/>
    <col min="23" max="25" width="11.109375" style="1058" customWidth="1"/>
    <col min="26" max="26" width="12.88671875" style="1058" customWidth="1"/>
    <col min="27" max="27" width="36.5546875" style="1061" customWidth="1"/>
    <col min="28" max="28" width="65.33203125" style="168" customWidth="1"/>
    <col min="29" max="29" width="61.109375" style="2" customWidth="1"/>
    <col min="30" max="30" width="60" style="2" customWidth="1"/>
    <col min="31" max="31" width="59.88671875" style="2" customWidth="1"/>
    <col min="32" max="32" width="57.33203125" style="2" customWidth="1"/>
    <col min="33" max="34" width="55.88671875" style="2" customWidth="1"/>
    <col min="35" max="35" width="55.88671875" style="242" customWidth="1"/>
    <col min="36" max="36" width="55.88671875" style="2" customWidth="1"/>
    <col min="37" max="37" width="17.109375" customWidth="1"/>
  </cols>
  <sheetData>
    <row r="1" spans="1:37" x14ac:dyDescent="0.3">
      <c r="P1" s="1149"/>
      <c r="Q1" s="1151"/>
      <c r="R1" s="1149"/>
      <c r="S1" s="1151"/>
      <c r="T1" s="1149"/>
      <c r="U1" s="1150"/>
      <c r="V1" s="1151"/>
      <c r="W1" s="1152"/>
      <c r="X1" s="1153"/>
      <c r="Y1" s="1153"/>
      <c r="Z1" s="1150"/>
      <c r="AA1" s="1150"/>
      <c r="AB1" s="1149"/>
      <c r="AC1" s="1150"/>
      <c r="AD1" s="1150"/>
      <c r="AE1" s="1150"/>
      <c r="AF1" s="1150"/>
      <c r="AG1" s="1150"/>
      <c r="AH1" s="1150"/>
      <c r="AI1" s="1151"/>
    </row>
    <row r="2" spans="1:37" s="2" customFormat="1" x14ac:dyDescent="0.3">
      <c r="A2" s="1051" t="s">
        <v>1053</v>
      </c>
      <c r="B2" s="2" t="s">
        <v>785</v>
      </c>
      <c r="C2" s="2" t="s">
        <v>14</v>
      </c>
      <c r="D2" s="2" t="s">
        <v>11</v>
      </c>
      <c r="E2" s="2" t="s">
        <v>15</v>
      </c>
      <c r="F2" s="2" t="s">
        <v>13</v>
      </c>
      <c r="G2" s="987" t="s">
        <v>157</v>
      </c>
      <c r="H2" s="987" t="s">
        <v>1047</v>
      </c>
      <c r="I2" s="1089" t="s">
        <v>6063</v>
      </c>
      <c r="J2" s="1089" t="s">
        <v>6064</v>
      </c>
      <c r="K2" s="1051" t="s">
        <v>6177</v>
      </c>
      <c r="L2" s="1051" t="s">
        <v>6178</v>
      </c>
      <c r="M2" s="987" t="s">
        <v>707</v>
      </c>
      <c r="N2" s="2" t="s">
        <v>708</v>
      </c>
      <c r="O2" s="2" t="s">
        <v>759</v>
      </c>
      <c r="P2" s="1052" t="s">
        <v>6180</v>
      </c>
      <c r="Q2" s="1051" t="s">
        <v>6181</v>
      </c>
      <c r="R2" s="1052" t="s">
        <v>6182</v>
      </c>
      <c r="S2" s="1052" t="s">
        <v>6183</v>
      </c>
      <c r="T2" s="1052" t="s">
        <v>6184</v>
      </c>
      <c r="U2" s="1051" t="s">
        <v>6185</v>
      </c>
      <c r="V2" s="1051" t="s">
        <v>6186</v>
      </c>
      <c r="W2" s="1062" t="s">
        <v>6059</v>
      </c>
      <c r="X2" s="1063" t="s">
        <v>6060</v>
      </c>
      <c r="Y2" s="1063" t="s">
        <v>6061</v>
      </c>
      <c r="Z2" s="1063" t="s">
        <v>6062</v>
      </c>
      <c r="AA2" s="170" t="s">
        <v>698</v>
      </c>
      <c r="AB2" s="169" t="s">
        <v>699</v>
      </c>
      <c r="AC2" s="170" t="s">
        <v>700</v>
      </c>
      <c r="AD2" s="170" t="s">
        <v>701</v>
      </c>
      <c r="AE2" s="170" t="s">
        <v>702</v>
      </c>
      <c r="AF2" s="170" t="s">
        <v>703</v>
      </c>
      <c r="AG2" s="170" t="s">
        <v>704</v>
      </c>
      <c r="AH2" s="170" t="s">
        <v>854</v>
      </c>
      <c r="AI2" s="171" t="s">
        <v>5166</v>
      </c>
      <c r="AJ2" s="2" t="s">
        <v>3878</v>
      </c>
      <c r="AK2" s="2" t="s">
        <v>4614</v>
      </c>
    </row>
    <row r="3" spans="1:37" x14ac:dyDescent="0.3">
      <c r="A3" s="985" t="s">
        <v>6199</v>
      </c>
      <c r="B3" s="2">
        <v>1</v>
      </c>
      <c r="C3" s="2">
        <v>1</v>
      </c>
      <c r="D3" s="4">
        <v>43721</v>
      </c>
      <c r="E3" s="2" t="s">
        <v>6179</v>
      </c>
      <c r="F3" s="2" t="s">
        <v>17</v>
      </c>
      <c r="G3" s="1058" t="s">
        <v>6118</v>
      </c>
      <c r="H3" s="1058" t="s">
        <v>16</v>
      </c>
      <c r="I3" s="259">
        <v>2</v>
      </c>
      <c r="J3" s="259">
        <v>1</v>
      </c>
      <c r="K3" s="2">
        <v>2</v>
      </c>
      <c r="L3" s="2">
        <v>1</v>
      </c>
      <c r="M3" s="2">
        <v>3</v>
      </c>
      <c r="N3" s="2">
        <v>0</v>
      </c>
      <c r="O3" s="2">
        <v>3</v>
      </c>
      <c r="P3" s="168">
        <v>0</v>
      </c>
      <c r="Q3" s="2">
        <v>0</v>
      </c>
      <c r="R3" s="2">
        <v>0</v>
      </c>
      <c r="S3" s="2">
        <v>0</v>
      </c>
      <c r="T3" s="2">
        <v>4</v>
      </c>
      <c r="U3" s="2">
        <v>3</v>
      </c>
      <c r="V3" s="242">
        <v>5976</v>
      </c>
      <c r="W3" s="1058" t="s">
        <v>6187</v>
      </c>
      <c r="X3" s="1058" t="s">
        <v>6120</v>
      </c>
      <c r="Y3" s="1058" t="s">
        <v>6188</v>
      </c>
      <c r="AA3" s="1058" t="s">
        <v>3052</v>
      </c>
      <c r="AB3" s="168" t="s">
        <v>3248</v>
      </c>
      <c r="AC3" s="2" t="s">
        <v>3249</v>
      </c>
      <c r="AK3" s="8" t="s">
        <v>3053</v>
      </c>
    </row>
    <row r="4" spans="1:37" x14ac:dyDescent="0.3">
      <c r="A4" s="985" t="str">
        <f>A3</f>
        <v>Sezóna 19/20</v>
      </c>
      <c r="B4" s="2">
        <v>2</v>
      </c>
      <c r="C4" s="2">
        <v>2</v>
      </c>
      <c r="D4" s="4">
        <v>43723</v>
      </c>
      <c r="E4" s="2" t="s">
        <v>331</v>
      </c>
      <c r="F4" s="2" t="s">
        <v>16</v>
      </c>
      <c r="G4" s="1058" t="s">
        <v>6171</v>
      </c>
      <c r="H4" s="1058" t="s">
        <v>743</v>
      </c>
      <c r="I4" s="259">
        <v>0</v>
      </c>
      <c r="J4" s="259">
        <v>2</v>
      </c>
      <c r="K4" s="2">
        <v>0</v>
      </c>
      <c r="L4" s="2">
        <v>2</v>
      </c>
      <c r="M4" s="2">
        <v>10</v>
      </c>
      <c r="N4" s="2">
        <v>0</v>
      </c>
      <c r="O4" s="2">
        <v>3</v>
      </c>
      <c r="P4" s="168">
        <v>0</v>
      </c>
      <c r="Q4" s="2">
        <v>0</v>
      </c>
      <c r="R4" s="2">
        <v>0</v>
      </c>
      <c r="S4" s="2">
        <v>1</v>
      </c>
      <c r="T4" s="2">
        <v>3</v>
      </c>
      <c r="U4" s="2">
        <v>9</v>
      </c>
      <c r="V4" s="242">
        <v>5736</v>
      </c>
      <c r="W4" s="1058" t="s">
        <v>6189</v>
      </c>
      <c r="X4" s="1058" t="s">
        <v>6188</v>
      </c>
      <c r="Y4" s="1058" t="s">
        <v>6189</v>
      </c>
      <c r="AA4" s="1058" t="s">
        <v>6171</v>
      </c>
      <c r="AB4" s="168" t="s">
        <v>515</v>
      </c>
      <c r="AK4" s="181" t="s">
        <v>3053</v>
      </c>
    </row>
    <row r="5" spans="1:37" x14ac:dyDescent="0.3">
      <c r="A5" s="985" t="str">
        <f t="shared" ref="A5:A54" si="0">A4</f>
        <v>Sezóna 19/20</v>
      </c>
      <c r="B5" s="2">
        <v>3</v>
      </c>
      <c r="C5" s="2">
        <v>3</v>
      </c>
      <c r="D5" s="4">
        <v>43728</v>
      </c>
      <c r="E5" s="2" t="s">
        <v>327</v>
      </c>
      <c r="F5" s="2" t="s">
        <v>17</v>
      </c>
      <c r="G5" s="1058" t="s">
        <v>6097</v>
      </c>
      <c r="H5" s="1058" t="s">
        <v>743</v>
      </c>
      <c r="I5" s="259">
        <v>1</v>
      </c>
      <c r="J5" s="259">
        <v>2</v>
      </c>
      <c r="K5" s="2">
        <v>1</v>
      </c>
      <c r="L5" s="2">
        <v>2</v>
      </c>
      <c r="M5" s="2">
        <v>11</v>
      </c>
      <c r="N5" s="2">
        <v>-3</v>
      </c>
      <c r="O5" s="2">
        <v>3</v>
      </c>
      <c r="P5" s="168">
        <v>0</v>
      </c>
      <c r="Q5" s="2">
        <v>0</v>
      </c>
      <c r="R5" s="2">
        <v>0</v>
      </c>
      <c r="S5" s="2">
        <v>0</v>
      </c>
      <c r="T5" s="2">
        <v>3</v>
      </c>
      <c r="U5" s="2">
        <v>4</v>
      </c>
      <c r="V5" s="242">
        <v>5021</v>
      </c>
      <c r="W5" s="1058" t="s">
        <v>6189</v>
      </c>
      <c r="X5" s="1058" t="s">
        <v>6120</v>
      </c>
      <c r="Y5" s="1058" t="s">
        <v>6189</v>
      </c>
      <c r="AA5" s="1058" t="s">
        <v>3062</v>
      </c>
      <c r="AB5" s="168" t="s">
        <v>3669</v>
      </c>
      <c r="AK5" s="8" t="s">
        <v>3064</v>
      </c>
    </row>
    <row r="6" spans="1:37" x14ac:dyDescent="0.3">
      <c r="A6" s="985" t="str">
        <f t="shared" si="0"/>
        <v>Sezóna 19/20</v>
      </c>
      <c r="B6" s="2">
        <v>4</v>
      </c>
      <c r="C6" s="2">
        <v>4</v>
      </c>
      <c r="D6" s="4">
        <v>43730</v>
      </c>
      <c r="E6" s="2" t="s">
        <v>334</v>
      </c>
      <c r="F6" s="2" t="s">
        <v>16</v>
      </c>
      <c r="G6" s="1058" t="s">
        <v>6146</v>
      </c>
      <c r="H6" s="1058" t="s">
        <v>743</v>
      </c>
      <c r="I6" s="259">
        <v>2</v>
      </c>
      <c r="J6" s="259">
        <v>3</v>
      </c>
      <c r="K6" s="2">
        <v>2</v>
      </c>
      <c r="L6" s="2">
        <v>3</v>
      </c>
      <c r="M6" s="2">
        <v>12</v>
      </c>
      <c r="N6" s="2">
        <v>-3</v>
      </c>
      <c r="O6" s="2">
        <v>3</v>
      </c>
      <c r="P6" s="168">
        <v>0</v>
      </c>
      <c r="Q6" s="2">
        <v>0</v>
      </c>
      <c r="R6" s="2">
        <v>0</v>
      </c>
      <c r="S6" s="2">
        <v>0</v>
      </c>
      <c r="T6" s="2">
        <v>3</v>
      </c>
      <c r="U6" s="2">
        <v>7</v>
      </c>
      <c r="V6" s="242">
        <v>4037</v>
      </c>
      <c r="W6" s="1058" t="s">
        <v>6189</v>
      </c>
      <c r="X6" s="1058" t="s">
        <v>6097</v>
      </c>
      <c r="Y6" s="1058" t="s">
        <v>6120</v>
      </c>
      <c r="AA6" s="1058" t="s">
        <v>3061</v>
      </c>
      <c r="AB6" s="168" t="s">
        <v>3250</v>
      </c>
      <c r="AC6" s="2" t="s">
        <v>3251</v>
      </c>
      <c r="AK6" s="8" t="s">
        <v>3063</v>
      </c>
    </row>
    <row r="7" spans="1:37" x14ac:dyDescent="0.3">
      <c r="A7" s="985" t="str">
        <f>A6</f>
        <v>Sezóna 19/20</v>
      </c>
      <c r="B7" s="2">
        <v>5</v>
      </c>
      <c r="C7" s="2">
        <v>5</v>
      </c>
      <c r="D7" s="4">
        <v>43735</v>
      </c>
      <c r="E7" s="2" t="s">
        <v>610</v>
      </c>
      <c r="F7" s="2" t="s">
        <v>17</v>
      </c>
      <c r="G7" s="1058" t="s">
        <v>6203</v>
      </c>
      <c r="H7" s="1058" t="s">
        <v>743</v>
      </c>
      <c r="I7" s="259">
        <v>4</v>
      </c>
      <c r="J7" s="259">
        <v>5</v>
      </c>
      <c r="K7" s="2">
        <v>4</v>
      </c>
      <c r="L7" s="2">
        <v>5</v>
      </c>
      <c r="M7" s="2">
        <v>13</v>
      </c>
      <c r="N7" s="2">
        <v>-6</v>
      </c>
      <c r="O7" s="2">
        <v>3</v>
      </c>
      <c r="P7" s="168">
        <v>0</v>
      </c>
      <c r="Q7" s="2">
        <v>0</v>
      </c>
      <c r="R7" s="2">
        <v>0</v>
      </c>
      <c r="S7" s="2">
        <v>1</v>
      </c>
      <c r="T7" s="2">
        <v>2</v>
      </c>
      <c r="U7" s="2">
        <v>3</v>
      </c>
      <c r="V7" s="242">
        <v>4538</v>
      </c>
      <c r="W7" s="1058" t="s">
        <v>6188</v>
      </c>
      <c r="X7" s="1058" t="s">
        <v>6082</v>
      </c>
      <c r="Y7" s="1058" t="s">
        <v>6118</v>
      </c>
      <c r="AA7" s="1058" t="s">
        <v>3102</v>
      </c>
      <c r="AB7" s="168" t="s">
        <v>3252</v>
      </c>
      <c r="AC7" s="2" t="s">
        <v>3253</v>
      </c>
      <c r="AD7" s="2" t="s">
        <v>3254</v>
      </c>
      <c r="AE7" s="2" t="s">
        <v>3255</v>
      </c>
      <c r="AK7" s="181" t="s">
        <v>3136</v>
      </c>
    </row>
    <row r="8" spans="1:37" x14ac:dyDescent="0.3">
      <c r="A8" s="985" t="str">
        <f t="shared" si="0"/>
        <v>Sezóna 19/20</v>
      </c>
      <c r="B8" s="2">
        <v>6</v>
      </c>
      <c r="C8" s="2">
        <v>7</v>
      </c>
      <c r="D8" s="4">
        <v>43742</v>
      </c>
      <c r="E8" s="2" t="s">
        <v>6086</v>
      </c>
      <c r="F8" s="2" t="s">
        <v>16</v>
      </c>
      <c r="G8" s="1058" t="s">
        <v>6084</v>
      </c>
      <c r="H8" s="1058" t="s">
        <v>743</v>
      </c>
      <c r="I8" s="259">
        <v>1</v>
      </c>
      <c r="J8" s="259">
        <v>5</v>
      </c>
      <c r="K8" s="2">
        <v>1</v>
      </c>
      <c r="L8" s="2">
        <v>5</v>
      </c>
      <c r="M8" s="2">
        <v>12</v>
      </c>
      <c r="N8" s="2">
        <v>-6</v>
      </c>
      <c r="O8" s="2">
        <v>3</v>
      </c>
      <c r="P8" s="168">
        <v>0</v>
      </c>
      <c r="Q8" s="2">
        <v>0</v>
      </c>
      <c r="R8" s="2">
        <v>0</v>
      </c>
      <c r="S8" s="2">
        <v>0</v>
      </c>
      <c r="T8" s="2">
        <v>4</v>
      </c>
      <c r="U8" s="2">
        <v>3</v>
      </c>
      <c r="V8" s="242">
        <v>3345</v>
      </c>
      <c r="W8" s="1058" t="s">
        <v>6188</v>
      </c>
      <c r="X8" s="1058" t="s">
        <v>6206</v>
      </c>
      <c r="Y8" s="1058" t="s">
        <v>6120</v>
      </c>
      <c r="AA8" s="1058" t="s">
        <v>3242</v>
      </c>
      <c r="AB8" s="168" t="s">
        <v>3267</v>
      </c>
      <c r="AK8" s="8" t="s">
        <v>3256</v>
      </c>
    </row>
    <row r="9" spans="1:37" x14ac:dyDescent="0.3">
      <c r="A9" s="985" t="str">
        <f t="shared" si="0"/>
        <v>Sezóna 19/20</v>
      </c>
      <c r="B9" s="2">
        <v>7</v>
      </c>
      <c r="C9" s="2">
        <v>8</v>
      </c>
      <c r="D9" s="4">
        <v>43744</v>
      </c>
      <c r="E9" s="2" t="s">
        <v>1274</v>
      </c>
      <c r="F9" s="2" t="s">
        <v>17</v>
      </c>
      <c r="G9" s="1058" t="s">
        <v>6214</v>
      </c>
      <c r="H9" s="1058" t="s">
        <v>16</v>
      </c>
      <c r="I9" s="259">
        <v>6</v>
      </c>
      <c r="J9" s="259">
        <v>5</v>
      </c>
      <c r="K9" s="2">
        <v>6</v>
      </c>
      <c r="L9" s="2">
        <v>5</v>
      </c>
      <c r="M9" s="2">
        <v>12</v>
      </c>
      <c r="N9" s="2">
        <v>-6</v>
      </c>
      <c r="O9" s="2">
        <v>6</v>
      </c>
      <c r="P9" s="168">
        <v>1</v>
      </c>
      <c r="Q9" s="2">
        <v>0</v>
      </c>
      <c r="R9" s="2">
        <v>0</v>
      </c>
      <c r="S9" s="2">
        <v>0</v>
      </c>
      <c r="T9" s="2">
        <v>4</v>
      </c>
      <c r="U9" s="2">
        <v>3</v>
      </c>
      <c r="V9" s="242">
        <v>4156</v>
      </c>
      <c r="W9" s="1058" t="s">
        <v>6097</v>
      </c>
      <c r="X9" s="1058" t="s">
        <v>6194</v>
      </c>
      <c r="Y9" s="1058" t="s">
        <v>6100</v>
      </c>
      <c r="AA9" s="1058" t="s">
        <v>3243</v>
      </c>
      <c r="AB9" s="168" t="s">
        <v>3268</v>
      </c>
      <c r="AC9" s="2" t="s">
        <v>3269</v>
      </c>
      <c r="AD9" s="2" t="s">
        <v>3270</v>
      </c>
      <c r="AE9" s="2" t="s">
        <v>3271</v>
      </c>
      <c r="AF9" s="2" t="s">
        <v>3272</v>
      </c>
      <c r="AG9" s="2" t="s">
        <v>3273</v>
      </c>
      <c r="AK9" s="8" t="s">
        <v>3257</v>
      </c>
    </row>
    <row r="10" spans="1:37" x14ac:dyDescent="0.3">
      <c r="A10" s="985" t="str">
        <f t="shared" si="0"/>
        <v>Sezóna 19/20</v>
      </c>
      <c r="B10" s="2">
        <v>8</v>
      </c>
      <c r="C10" s="2">
        <v>9</v>
      </c>
      <c r="D10" s="4">
        <v>43747</v>
      </c>
      <c r="E10" s="2" t="s">
        <v>6076</v>
      </c>
      <c r="F10" s="2" t="s">
        <v>16</v>
      </c>
      <c r="G10" s="1058" t="s">
        <v>163</v>
      </c>
      <c r="H10" s="1058" t="s">
        <v>794</v>
      </c>
      <c r="I10" s="259">
        <v>3</v>
      </c>
      <c r="J10" s="259">
        <v>4</v>
      </c>
      <c r="K10" s="2">
        <v>3</v>
      </c>
      <c r="L10" s="2">
        <v>3</v>
      </c>
      <c r="M10" s="2">
        <v>12</v>
      </c>
      <c r="N10" s="2">
        <v>-5</v>
      </c>
      <c r="O10" s="2">
        <v>7</v>
      </c>
      <c r="P10" s="168">
        <v>0</v>
      </c>
      <c r="Q10" s="2">
        <v>0</v>
      </c>
      <c r="R10" s="2">
        <v>0</v>
      </c>
      <c r="S10" s="2">
        <v>1</v>
      </c>
      <c r="T10" s="2">
        <v>1</v>
      </c>
      <c r="U10" s="2">
        <v>3</v>
      </c>
      <c r="V10" s="242">
        <v>3399</v>
      </c>
      <c r="W10" s="1058" t="s">
        <v>6097</v>
      </c>
      <c r="X10" s="1058" t="s">
        <v>6120</v>
      </c>
      <c r="Y10" s="1058" t="s">
        <v>6187</v>
      </c>
      <c r="Z10" s="1058" t="s">
        <v>3213</v>
      </c>
      <c r="AA10" s="1058" t="s">
        <v>3261</v>
      </c>
      <c r="AB10" s="168" t="s">
        <v>3260</v>
      </c>
      <c r="AC10" s="2" t="s">
        <v>3291</v>
      </c>
      <c r="AD10" s="2" t="s">
        <v>3292</v>
      </c>
      <c r="AK10" s="8" t="s">
        <v>3259</v>
      </c>
    </row>
    <row r="11" spans="1:37" x14ac:dyDescent="0.3">
      <c r="A11" s="985" t="str">
        <f t="shared" si="0"/>
        <v>Sezóna 19/20</v>
      </c>
      <c r="B11" s="2">
        <v>9</v>
      </c>
      <c r="C11" s="2">
        <v>10</v>
      </c>
      <c r="D11" s="4">
        <v>43751</v>
      </c>
      <c r="E11" s="2" t="s">
        <v>326</v>
      </c>
      <c r="F11" s="2" t="s">
        <v>17</v>
      </c>
      <c r="G11" s="1058" t="s">
        <v>6190</v>
      </c>
      <c r="H11" s="1058" t="s">
        <v>16</v>
      </c>
      <c r="I11" s="259">
        <v>5</v>
      </c>
      <c r="J11" s="259">
        <v>1</v>
      </c>
      <c r="K11" s="2">
        <v>5</v>
      </c>
      <c r="L11" s="2">
        <v>1</v>
      </c>
      <c r="M11" s="2">
        <v>12</v>
      </c>
      <c r="N11" s="2">
        <v>-5</v>
      </c>
      <c r="O11" s="2">
        <v>10</v>
      </c>
      <c r="P11" s="168">
        <v>1</v>
      </c>
      <c r="Q11" s="2">
        <v>0</v>
      </c>
      <c r="R11" s="2">
        <v>0</v>
      </c>
      <c r="S11" s="2">
        <v>1</v>
      </c>
      <c r="T11" s="2">
        <v>4</v>
      </c>
      <c r="U11" s="2">
        <v>8</v>
      </c>
      <c r="V11" s="242">
        <v>4892</v>
      </c>
      <c r="W11" s="1058" t="s">
        <v>6189</v>
      </c>
      <c r="X11" s="1058" t="s">
        <v>6110</v>
      </c>
      <c r="Y11" s="1058" t="s">
        <v>6089</v>
      </c>
      <c r="AA11" s="1058" t="s">
        <v>3263</v>
      </c>
      <c r="AB11" s="168" t="s">
        <v>3293</v>
      </c>
      <c r="AC11" s="2" t="s">
        <v>3294</v>
      </c>
      <c r="AD11" s="2" t="s">
        <v>3295</v>
      </c>
      <c r="AE11" s="2" t="s">
        <v>3296</v>
      </c>
      <c r="AF11" s="2" t="s">
        <v>3673</v>
      </c>
      <c r="AK11" s="8" t="s">
        <v>3264</v>
      </c>
    </row>
    <row r="12" spans="1:37" x14ac:dyDescent="0.3">
      <c r="A12" s="985" t="str">
        <f t="shared" si="0"/>
        <v>Sezóna 19/20</v>
      </c>
      <c r="B12" s="2">
        <v>10</v>
      </c>
      <c r="C12" s="2">
        <v>6</v>
      </c>
      <c r="D12" s="4">
        <v>43753</v>
      </c>
      <c r="E12" s="2" t="s">
        <v>325</v>
      </c>
      <c r="F12" s="2" t="s">
        <v>16</v>
      </c>
      <c r="G12" s="1058" t="s">
        <v>359</v>
      </c>
      <c r="H12" s="1058" t="s">
        <v>794</v>
      </c>
      <c r="I12" s="259">
        <v>4</v>
      </c>
      <c r="J12" s="259">
        <v>5</v>
      </c>
      <c r="K12" s="2">
        <v>4</v>
      </c>
      <c r="L12" s="2">
        <v>4</v>
      </c>
      <c r="M12" s="2">
        <v>12</v>
      </c>
      <c r="N12" s="2">
        <v>-4</v>
      </c>
      <c r="O12" s="2">
        <v>11</v>
      </c>
      <c r="P12" s="168">
        <v>0</v>
      </c>
      <c r="Q12" s="2">
        <v>0</v>
      </c>
      <c r="R12" s="2">
        <v>0</v>
      </c>
      <c r="S12" s="2">
        <v>0</v>
      </c>
      <c r="T12" s="2">
        <v>2</v>
      </c>
      <c r="U12" s="2">
        <v>3</v>
      </c>
      <c r="V12" s="242">
        <v>8810</v>
      </c>
      <c r="W12" s="1058" t="s">
        <v>6100</v>
      </c>
      <c r="X12" s="1058" t="s">
        <v>6171</v>
      </c>
      <c r="Y12" s="1058" t="s">
        <v>6187</v>
      </c>
      <c r="Z12" s="1058" t="s">
        <v>3213</v>
      </c>
      <c r="AA12" s="1058" t="s">
        <v>3266</v>
      </c>
      <c r="AB12" s="168" t="s">
        <v>3297</v>
      </c>
      <c r="AC12" s="2" t="s">
        <v>3298</v>
      </c>
      <c r="AD12" s="2" t="s">
        <v>3299</v>
      </c>
      <c r="AE12" s="2" t="s">
        <v>3300</v>
      </c>
      <c r="AK12" s="8" t="s">
        <v>3265</v>
      </c>
    </row>
    <row r="13" spans="1:37" x14ac:dyDescent="0.3">
      <c r="A13" s="985" t="str">
        <f t="shared" si="0"/>
        <v>Sezóna 19/20</v>
      </c>
      <c r="B13" s="2">
        <v>11</v>
      </c>
      <c r="C13" s="2">
        <v>11</v>
      </c>
      <c r="D13" s="4">
        <v>43756</v>
      </c>
      <c r="E13" s="2" t="s">
        <v>328</v>
      </c>
      <c r="F13" s="2" t="s">
        <v>16</v>
      </c>
      <c r="G13" s="1058" t="s">
        <v>6171</v>
      </c>
      <c r="H13" s="1058" t="s">
        <v>743</v>
      </c>
      <c r="I13" s="259">
        <v>0</v>
      </c>
      <c r="J13" s="259">
        <v>2</v>
      </c>
      <c r="K13" s="2">
        <v>0</v>
      </c>
      <c r="L13" s="2">
        <v>1</v>
      </c>
      <c r="M13" s="2">
        <v>13</v>
      </c>
      <c r="N13" s="2">
        <v>-4</v>
      </c>
      <c r="O13" s="2">
        <v>11</v>
      </c>
      <c r="P13" s="168">
        <v>0</v>
      </c>
      <c r="Q13" s="2">
        <v>0</v>
      </c>
      <c r="R13" s="2">
        <v>0</v>
      </c>
      <c r="S13" s="2">
        <v>0</v>
      </c>
      <c r="T13" s="2">
        <v>2</v>
      </c>
      <c r="U13" s="2">
        <v>2</v>
      </c>
      <c r="V13" s="242">
        <v>4007</v>
      </c>
      <c r="W13" s="1058" t="s">
        <v>6188</v>
      </c>
      <c r="X13" s="1058" t="s">
        <v>6189</v>
      </c>
      <c r="Y13" s="1058" t="s">
        <v>6189</v>
      </c>
      <c r="AA13" s="1058" t="s">
        <v>6171</v>
      </c>
      <c r="AB13" s="168" t="s">
        <v>515</v>
      </c>
      <c r="AK13" s="8" t="s">
        <v>3290</v>
      </c>
    </row>
    <row r="14" spans="1:37" x14ac:dyDescent="0.3">
      <c r="A14" s="985" t="str">
        <f t="shared" si="0"/>
        <v>Sezóna 19/20</v>
      </c>
      <c r="B14" s="2">
        <v>12</v>
      </c>
      <c r="C14" s="2">
        <v>12</v>
      </c>
      <c r="D14" s="4">
        <v>43758</v>
      </c>
      <c r="E14" s="2" t="s">
        <v>626</v>
      </c>
      <c r="F14" s="2" t="s">
        <v>17</v>
      </c>
      <c r="G14" s="1058" t="s">
        <v>6211</v>
      </c>
      <c r="H14" s="1058" t="s">
        <v>743</v>
      </c>
      <c r="I14" s="259">
        <v>3</v>
      </c>
      <c r="J14" s="259">
        <v>4</v>
      </c>
      <c r="K14" s="2">
        <v>3</v>
      </c>
      <c r="L14" s="2">
        <v>4</v>
      </c>
      <c r="M14" s="2">
        <v>13</v>
      </c>
      <c r="N14" s="2">
        <v>-7</v>
      </c>
      <c r="O14" s="2">
        <v>11</v>
      </c>
      <c r="P14" s="168">
        <v>1</v>
      </c>
      <c r="Q14" s="2">
        <v>1</v>
      </c>
      <c r="R14" s="2">
        <v>1</v>
      </c>
      <c r="S14" s="2">
        <v>1</v>
      </c>
      <c r="T14" s="2">
        <v>5</v>
      </c>
      <c r="U14" s="2">
        <v>3</v>
      </c>
      <c r="V14" s="242">
        <v>4462</v>
      </c>
      <c r="W14" s="1058" t="s">
        <v>6188</v>
      </c>
      <c r="X14" s="1058" t="s">
        <v>6187</v>
      </c>
      <c r="Y14" s="1058" t="s">
        <v>6146</v>
      </c>
      <c r="AA14" s="1058" t="s">
        <v>3281</v>
      </c>
      <c r="AB14" s="168" t="s">
        <v>3318</v>
      </c>
      <c r="AC14" s="2" t="s">
        <v>3319</v>
      </c>
      <c r="AD14" s="2" t="s">
        <v>3320</v>
      </c>
      <c r="AK14" s="8" t="s">
        <v>3289</v>
      </c>
    </row>
    <row r="15" spans="1:37" s="191" customFormat="1" x14ac:dyDescent="0.3">
      <c r="A15" s="985" t="str">
        <f t="shared" si="0"/>
        <v>Sezóna 19/20</v>
      </c>
      <c r="B15" s="170">
        <v>13</v>
      </c>
      <c r="C15" s="170">
        <v>13</v>
      </c>
      <c r="D15" s="4">
        <v>43763</v>
      </c>
      <c r="E15" s="170" t="s">
        <v>332</v>
      </c>
      <c r="F15" s="170" t="s">
        <v>16</v>
      </c>
      <c r="G15" s="1059" t="s">
        <v>351</v>
      </c>
      <c r="H15" s="1059" t="s">
        <v>793</v>
      </c>
      <c r="I15" s="1091">
        <v>3</v>
      </c>
      <c r="J15" s="1091">
        <v>2</v>
      </c>
      <c r="K15" s="170">
        <v>2</v>
      </c>
      <c r="L15" s="170">
        <v>2</v>
      </c>
      <c r="M15" s="269">
        <v>11</v>
      </c>
      <c r="N15" s="269">
        <v>-5</v>
      </c>
      <c r="O15" s="269">
        <v>13</v>
      </c>
      <c r="P15" s="169">
        <v>0</v>
      </c>
      <c r="Q15" s="170">
        <v>0</v>
      </c>
      <c r="R15" s="170">
        <v>0</v>
      </c>
      <c r="S15" s="170">
        <v>1</v>
      </c>
      <c r="T15" s="170">
        <v>3</v>
      </c>
      <c r="U15" s="170">
        <v>3</v>
      </c>
      <c r="V15" s="171">
        <v>4589</v>
      </c>
      <c r="W15" s="1059" t="s">
        <v>6189</v>
      </c>
      <c r="X15" s="1059" t="s">
        <v>6089</v>
      </c>
      <c r="Y15" s="1059" t="s">
        <v>6189</v>
      </c>
      <c r="Z15" s="1059" t="s">
        <v>756</v>
      </c>
      <c r="AA15" s="1059" t="s">
        <v>3287</v>
      </c>
      <c r="AB15" s="169" t="s">
        <v>3333</v>
      </c>
      <c r="AC15" s="170" t="s">
        <v>3334</v>
      </c>
      <c r="AD15" s="170" t="s">
        <v>3335</v>
      </c>
      <c r="AE15" s="170"/>
      <c r="AF15" s="170"/>
      <c r="AG15" s="170"/>
      <c r="AH15" s="170"/>
      <c r="AI15" s="171"/>
      <c r="AJ15" s="170"/>
      <c r="AK15" s="268" t="s">
        <v>3288</v>
      </c>
    </row>
    <row r="16" spans="1:37" x14ac:dyDescent="0.3">
      <c r="A16" s="985" t="str">
        <f t="shared" si="0"/>
        <v>Sezóna 19/20</v>
      </c>
      <c r="B16" s="2">
        <v>14</v>
      </c>
      <c r="C16" s="2">
        <v>14</v>
      </c>
      <c r="D16" s="4">
        <v>43765</v>
      </c>
      <c r="E16" s="2" t="s">
        <v>6179</v>
      </c>
      <c r="F16" s="2" t="s">
        <v>16</v>
      </c>
      <c r="G16" s="1058" t="s">
        <v>354</v>
      </c>
      <c r="H16" s="1058" t="s">
        <v>794</v>
      </c>
      <c r="I16" s="259">
        <v>3</v>
      </c>
      <c r="J16" s="259">
        <v>4</v>
      </c>
      <c r="K16" s="2">
        <v>3</v>
      </c>
      <c r="L16" s="2">
        <v>3</v>
      </c>
      <c r="M16" s="2">
        <v>11</v>
      </c>
      <c r="N16" s="2">
        <v>-4</v>
      </c>
      <c r="O16" s="2">
        <v>14</v>
      </c>
      <c r="P16" s="168">
        <v>1</v>
      </c>
      <c r="Q16" s="2">
        <v>1</v>
      </c>
      <c r="R16" s="2">
        <v>0</v>
      </c>
      <c r="S16" s="2">
        <v>0</v>
      </c>
      <c r="T16" s="2">
        <v>1</v>
      </c>
      <c r="U16" s="2">
        <v>2</v>
      </c>
      <c r="V16" s="242">
        <v>7389</v>
      </c>
      <c r="W16" s="1058" t="s">
        <v>6171</v>
      </c>
      <c r="X16" s="1058" t="s">
        <v>6118</v>
      </c>
      <c r="Y16" s="1058" t="s">
        <v>6120</v>
      </c>
      <c r="Z16" s="1058" t="s">
        <v>161</v>
      </c>
      <c r="AA16" s="1058" t="s">
        <v>3306</v>
      </c>
      <c r="AB16" s="168" t="s">
        <v>3336</v>
      </c>
      <c r="AC16" s="2" t="s">
        <v>3337</v>
      </c>
      <c r="AD16" s="2" t="s">
        <v>3338</v>
      </c>
      <c r="AK16" s="8" t="s">
        <v>3288</v>
      </c>
    </row>
    <row r="17" spans="1:37" x14ac:dyDescent="0.3">
      <c r="A17" s="985" t="str">
        <f t="shared" si="0"/>
        <v>Sezóna 19/20</v>
      </c>
      <c r="B17" s="2">
        <v>15</v>
      </c>
      <c r="C17" s="2">
        <v>15</v>
      </c>
      <c r="D17" s="4">
        <v>43767</v>
      </c>
      <c r="E17" s="2" t="s">
        <v>331</v>
      </c>
      <c r="F17" s="2" t="s">
        <v>17</v>
      </c>
      <c r="G17" s="1058" t="s">
        <v>6102</v>
      </c>
      <c r="H17" s="1058" t="s">
        <v>743</v>
      </c>
      <c r="I17" s="259">
        <v>1</v>
      </c>
      <c r="J17" s="259">
        <v>3</v>
      </c>
      <c r="K17" s="2">
        <v>1</v>
      </c>
      <c r="L17" s="2">
        <v>2</v>
      </c>
      <c r="M17" s="2">
        <v>12</v>
      </c>
      <c r="N17" s="2">
        <v>-7</v>
      </c>
      <c r="O17" s="2">
        <v>14</v>
      </c>
      <c r="P17" s="168">
        <v>0</v>
      </c>
      <c r="Q17" s="2">
        <v>0</v>
      </c>
      <c r="R17" s="2">
        <v>0</v>
      </c>
      <c r="S17" s="2">
        <v>0</v>
      </c>
      <c r="T17" s="2">
        <v>3</v>
      </c>
      <c r="U17" s="2">
        <v>4</v>
      </c>
      <c r="V17" s="242">
        <v>4896</v>
      </c>
      <c r="W17" s="1058" t="s">
        <v>6188</v>
      </c>
      <c r="X17" s="1058" t="s">
        <v>6189</v>
      </c>
      <c r="Y17" s="1058" t="s">
        <v>6097</v>
      </c>
      <c r="AA17" s="1058" t="s">
        <v>3307</v>
      </c>
      <c r="AB17" s="168" t="s">
        <v>3339</v>
      </c>
      <c r="AK17" s="8" t="s">
        <v>3308</v>
      </c>
    </row>
    <row r="18" spans="1:37" x14ac:dyDescent="0.3">
      <c r="A18" s="985" t="str">
        <f t="shared" si="0"/>
        <v>Sezóna 19/20</v>
      </c>
      <c r="B18" s="2">
        <v>16</v>
      </c>
      <c r="C18" s="2">
        <v>16</v>
      </c>
      <c r="D18" s="4">
        <v>43770</v>
      </c>
      <c r="E18" s="2" t="s">
        <v>327</v>
      </c>
      <c r="F18" s="2" t="s">
        <v>16</v>
      </c>
      <c r="G18" s="1058" t="s">
        <v>6192</v>
      </c>
      <c r="H18" s="1058" t="s">
        <v>16</v>
      </c>
      <c r="I18" s="259">
        <v>4</v>
      </c>
      <c r="J18" s="259">
        <v>3</v>
      </c>
      <c r="K18" s="2">
        <v>4</v>
      </c>
      <c r="L18" s="2">
        <v>3</v>
      </c>
      <c r="M18" s="2">
        <v>11</v>
      </c>
      <c r="N18" s="2">
        <v>-4</v>
      </c>
      <c r="O18" s="2">
        <v>17</v>
      </c>
      <c r="P18" s="168">
        <v>2</v>
      </c>
      <c r="Q18" s="2">
        <v>1</v>
      </c>
      <c r="R18" s="2">
        <v>1</v>
      </c>
      <c r="S18" s="2">
        <v>0</v>
      </c>
      <c r="T18" s="2">
        <v>3</v>
      </c>
      <c r="U18" s="2">
        <v>5</v>
      </c>
      <c r="V18" s="242">
        <v>6722</v>
      </c>
      <c r="W18" s="1058" t="s">
        <v>6089</v>
      </c>
      <c r="X18" s="1058" t="s">
        <v>6089</v>
      </c>
      <c r="Y18" s="1058" t="s">
        <v>6079</v>
      </c>
      <c r="AA18" s="1058" t="s">
        <v>3313</v>
      </c>
      <c r="AB18" s="168" t="s">
        <v>3340</v>
      </c>
      <c r="AC18" s="2" t="s">
        <v>3341</v>
      </c>
      <c r="AD18" s="2" t="s">
        <v>3342</v>
      </c>
      <c r="AE18" s="2" t="s">
        <v>3343</v>
      </c>
      <c r="AK18" s="8" t="s">
        <v>3314</v>
      </c>
    </row>
    <row r="19" spans="1:37" x14ac:dyDescent="0.3">
      <c r="A19" s="985" t="str">
        <f t="shared" si="0"/>
        <v>Sezóna 19/20</v>
      </c>
      <c r="B19" s="2">
        <v>17</v>
      </c>
      <c r="C19" s="2">
        <v>17</v>
      </c>
      <c r="D19" s="4">
        <v>43771</v>
      </c>
      <c r="E19" s="2" t="s">
        <v>334</v>
      </c>
      <c r="F19" s="2" t="s">
        <v>16</v>
      </c>
      <c r="G19" s="1058" t="s">
        <v>6171</v>
      </c>
      <c r="H19" s="1058" t="s">
        <v>743</v>
      </c>
      <c r="I19" s="259">
        <v>0</v>
      </c>
      <c r="J19" s="259">
        <v>2</v>
      </c>
      <c r="K19" s="2">
        <v>0</v>
      </c>
      <c r="L19" s="2">
        <v>2</v>
      </c>
      <c r="M19" s="2">
        <v>12</v>
      </c>
      <c r="N19" s="2">
        <v>-4</v>
      </c>
      <c r="O19" s="2">
        <v>17</v>
      </c>
      <c r="P19" s="168">
        <v>0</v>
      </c>
      <c r="Q19" s="2">
        <v>0</v>
      </c>
      <c r="R19" s="2">
        <v>0</v>
      </c>
      <c r="S19" s="2">
        <v>1</v>
      </c>
      <c r="T19" s="2">
        <v>3</v>
      </c>
      <c r="U19" s="2">
        <v>2</v>
      </c>
      <c r="V19" s="242">
        <v>4467</v>
      </c>
      <c r="W19" s="1058" t="s">
        <v>6189</v>
      </c>
      <c r="X19" s="1058" t="s">
        <v>6189</v>
      </c>
      <c r="Y19" s="1058" t="s">
        <v>6188</v>
      </c>
      <c r="AA19" s="1058" t="s">
        <v>6171</v>
      </c>
      <c r="AB19" s="168" t="s">
        <v>515</v>
      </c>
      <c r="AK19" s="8" t="s">
        <v>3317</v>
      </c>
    </row>
    <row r="20" spans="1:37" x14ac:dyDescent="0.3">
      <c r="A20" s="985" t="str">
        <f t="shared" si="0"/>
        <v>Sezóna 19/20</v>
      </c>
      <c r="B20" s="2">
        <v>18</v>
      </c>
      <c r="C20" s="2">
        <v>18</v>
      </c>
      <c r="D20" s="4">
        <v>43784</v>
      </c>
      <c r="E20" s="2" t="s">
        <v>610</v>
      </c>
      <c r="F20" s="2" t="s">
        <v>16</v>
      </c>
      <c r="G20" s="1058" t="s">
        <v>6215</v>
      </c>
      <c r="H20" s="1058" t="s">
        <v>743</v>
      </c>
      <c r="I20" s="259">
        <v>1</v>
      </c>
      <c r="J20" s="259">
        <v>6</v>
      </c>
      <c r="K20" s="2">
        <v>1</v>
      </c>
      <c r="L20" s="2">
        <v>6</v>
      </c>
      <c r="M20" s="2">
        <v>13</v>
      </c>
      <c r="N20" s="2">
        <v>-4</v>
      </c>
      <c r="O20" s="2">
        <v>17</v>
      </c>
      <c r="P20" s="168">
        <v>0</v>
      </c>
      <c r="Q20" s="2">
        <v>0</v>
      </c>
      <c r="R20" s="2">
        <v>0</v>
      </c>
      <c r="S20" s="2">
        <v>1</v>
      </c>
      <c r="T20" s="2">
        <v>2</v>
      </c>
      <c r="U20" s="2">
        <v>3</v>
      </c>
      <c r="V20" s="242">
        <v>6595</v>
      </c>
      <c r="W20" s="1058" t="s">
        <v>6188</v>
      </c>
      <c r="X20" s="1058" t="s">
        <v>6102</v>
      </c>
      <c r="Y20" s="1058" t="s">
        <v>6079</v>
      </c>
      <c r="AA20" s="1058" t="s">
        <v>3331</v>
      </c>
      <c r="AB20" s="168" t="s">
        <v>3384</v>
      </c>
      <c r="AK20" s="8" t="s">
        <v>3344</v>
      </c>
    </row>
    <row r="21" spans="1:37" x14ac:dyDescent="0.3">
      <c r="A21" s="985" t="str">
        <f t="shared" si="0"/>
        <v>Sezóna 19/20</v>
      </c>
      <c r="B21" s="2">
        <v>19</v>
      </c>
      <c r="C21" s="2">
        <v>19</v>
      </c>
      <c r="D21" s="4">
        <v>43786</v>
      </c>
      <c r="E21" s="2" t="s">
        <v>325</v>
      </c>
      <c r="F21" s="2" t="s">
        <v>17</v>
      </c>
      <c r="G21" s="1058" t="s">
        <v>163</v>
      </c>
      <c r="H21" s="1058" t="s">
        <v>794</v>
      </c>
      <c r="I21" s="259">
        <v>3</v>
      </c>
      <c r="J21" s="259">
        <v>4</v>
      </c>
      <c r="K21" s="2">
        <v>3</v>
      </c>
      <c r="L21" s="2">
        <v>3</v>
      </c>
      <c r="M21" s="2">
        <v>13</v>
      </c>
      <c r="N21" s="2">
        <v>-6</v>
      </c>
      <c r="O21" s="2">
        <v>18</v>
      </c>
      <c r="P21" s="168">
        <v>0</v>
      </c>
      <c r="Q21" s="2">
        <v>0</v>
      </c>
      <c r="R21" s="2">
        <v>0</v>
      </c>
      <c r="S21" s="2">
        <v>1</v>
      </c>
      <c r="T21" s="2">
        <v>5</v>
      </c>
      <c r="U21" s="2">
        <v>2</v>
      </c>
      <c r="V21" s="242">
        <v>5969</v>
      </c>
      <c r="W21" s="1058" t="s">
        <v>6118</v>
      </c>
      <c r="X21" s="1058" t="s">
        <v>6097</v>
      </c>
      <c r="Y21" s="1058" t="s">
        <v>6188</v>
      </c>
      <c r="Z21" s="1058" t="s">
        <v>3213</v>
      </c>
      <c r="AA21" s="1058" t="s">
        <v>3332</v>
      </c>
      <c r="AB21" s="168" t="s">
        <v>3385</v>
      </c>
      <c r="AC21" s="2" t="s">
        <v>3386</v>
      </c>
      <c r="AD21" s="2" t="s">
        <v>3387</v>
      </c>
      <c r="AK21" s="8" t="s">
        <v>3345</v>
      </c>
    </row>
    <row r="22" spans="1:37" x14ac:dyDescent="0.3">
      <c r="A22" s="985" t="str">
        <f t="shared" si="0"/>
        <v>Sezóna 19/20</v>
      </c>
      <c r="B22" s="2">
        <v>20</v>
      </c>
      <c r="C22" s="2">
        <v>20</v>
      </c>
      <c r="D22" s="4">
        <v>43791</v>
      </c>
      <c r="E22" s="2" t="s">
        <v>6086</v>
      </c>
      <c r="F22" s="2" t="s">
        <v>17</v>
      </c>
      <c r="G22" s="1058" t="s">
        <v>6104</v>
      </c>
      <c r="H22" s="1058" t="s">
        <v>743</v>
      </c>
      <c r="I22" s="259">
        <v>2</v>
      </c>
      <c r="J22" s="259">
        <v>5</v>
      </c>
      <c r="K22" s="2">
        <v>2</v>
      </c>
      <c r="L22" s="2">
        <v>5</v>
      </c>
      <c r="M22" s="2">
        <v>13</v>
      </c>
      <c r="N22" s="2">
        <v>-9</v>
      </c>
      <c r="O22" s="2">
        <v>18</v>
      </c>
      <c r="P22" s="168">
        <v>1</v>
      </c>
      <c r="Q22" s="2">
        <v>0</v>
      </c>
      <c r="R22" s="2">
        <v>0</v>
      </c>
      <c r="S22" s="2">
        <v>1</v>
      </c>
      <c r="T22" s="2">
        <v>5</v>
      </c>
      <c r="U22" s="2">
        <v>4</v>
      </c>
      <c r="V22" s="242">
        <v>4039</v>
      </c>
      <c r="W22" s="1058" t="s">
        <v>6079</v>
      </c>
      <c r="X22" s="1058" t="s">
        <v>6189</v>
      </c>
      <c r="Y22" s="1058" t="s">
        <v>6118</v>
      </c>
      <c r="AA22" s="1058" t="s">
        <v>3352</v>
      </c>
      <c r="AB22" s="168" t="s">
        <v>3388</v>
      </c>
      <c r="AC22" s="2" t="s">
        <v>3389</v>
      </c>
      <c r="AK22" s="8" t="s">
        <v>3354</v>
      </c>
    </row>
    <row r="23" spans="1:37" x14ac:dyDescent="0.3">
      <c r="A23" s="985" t="str">
        <f t="shared" si="0"/>
        <v>Sezóna 19/20</v>
      </c>
      <c r="B23" s="2">
        <v>21</v>
      </c>
      <c r="C23" s="2">
        <v>21</v>
      </c>
      <c r="D23" s="4">
        <v>43793</v>
      </c>
      <c r="E23" s="2" t="s">
        <v>1274</v>
      </c>
      <c r="F23" s="2" t="s">
        <v>16</v>
      </c>
      <c r="G23" s="1058" t="s">
        <v>6210</v>
      </c>
      <c r="H23" s="1058" t="s">
        <v>743</v>
      </c>
      <c r="I23" s="259">
        <v>2</v>
      </c>
      <c r="J23" s="259">
        <v>6</v>
      </c>
      <c r="K23" s="2">
        <v>2</v>
      </c>
      <c r="L23" s="2">
        <v>6</v>
      </c>
      <c r="M23" s="2">
        <v>13</v>
      </c>
      <c r="N23" s="2">
        <v>-9</v>
      </c>
      <c r="O23" s="2">
        <v>18</v>
      </c>
      <c r="P23" s="168">
        <v>1</v>
      </c>
      <c r="Q23" s="2">
        <v>0</v>
      </c>
      <c r="R23" s="2">
        <v>0</v>
      </c>
      <c r="S23" s="2">
        <v>1</v>
      </c>
      <c r="T23" s="2">
        <v>4</v>
      </c>
      <c r="U23" s="2">
        <v>4</v>
      </c>
      <c r="V23" s="242">
        <v>4376</v>
      </c>
      <c r="W23" s="1058" t="s">
        <v>6189</v>
      </c>
      <c r="X23" s="1058" t="s">
        <v>6102</v>
      </c>
      <c r="Y23" s="1058" t="s">
        <v>6097</v>
      </c>
      <c r="AA23" s="1058" t="s">
        <v>3353</v>
      </c>
      <c r="AB23" s="168" t="s">
        <v>3390</v>
      </c>
      <c r="AC23" s="2" t="s">
        <v>3391</v>
      </c>
      <c r="AK23" s="8" t="s">
        <v>3355</v>
      </c>
    </row>
    <row r="24" spans="1:37" ht="16.8" x14ac:dyDescent="0.4">
      <c r="A24" s="985" t="str">
        <f t="shared" si="0"/>
        <v>Sezóna 19/20</v>
      </c>
      <c r="B24" s="2">
        <v>22</v>
      </c>
      <c r="C24" s="2">
        <v>22</v>
      </c>
      <c r="D24" s="4">
        <v>43795</v>
      </c>
      <c r="E24" s="2" t="s">
        <v>6076</v>
      </c>
      <c r="F24" s="2" t="s">
        <v>17</v>
      </c>
      <c r="G24" s="1058" t="s">
        <v>6118</v>
      </c>
      <c r="H24" s="1058" t="s">
        <v>16</v>
      </c>
      <c r="I24" s="259">
        <v>2</v>
      </c>
      <c r="J24" s="259">
        <v>1</v>
      </c>
      <c r="K24" s="2">
        <v>2</v>
      </c>
      <c r="L24" s="2">
        <v>1</v>
      </c>
      <c r="M24" s="2">
        <v>13</v>
      </c>
      <c r="N24" s="2">
        <v>-9</v>
      </c>
      <c r="O24" s="2">
        <v>21</v>
      </c>
      <c r="P24" s="168">
        <v>1</v>
      </c>
      <c r="Q24" s="2">
        <v>0</v>
      </c>
      <c r="R24" s="2">
        <v>0</v>
      </c>
      <c r="S24" s="2">
        <v>0</v>
      </c>
      <c r="T24" s="2">
        <v>6</v>
      </c>
      <c r="U24" s="2">
        <v>2</v>
      </c>
      <c r="V24" s="242">
        <v>3682</v>
      </c>
      <c r="W24" s="1058" t="s">
        <v>6118</v>
      </c>
      <c r="X24" s="1058" t="s">
        <v>6188</v>
      </c>
      <c r="Y24" s="1058" t="s">
        <v>6188</v>
      </c>
      <c r="AA24" s="1058" t="s">
        <v>3356</v>
      </c>
      <c r="AB24" s="168" t="s">
        <v>3480</v>
      </c>
      <c r="AC24" s="2" t="s">
        <v>3392</v>
      </c>
      <c r="AK24" s="390" t="s">
        <v>3357</v>
      </c>
    </row>
    <row r="25" spans="1:37" x14ac:dyDescent="0.3">
      <c r="A25" s="985" t="str">
        <f t="shared" si="0"/>
        <v>Sezóna 19/20</v>
      </c>
      <c r="B25" s="2">
        <v>23</v>
      </c>
      <c r="C25" s="2">
        <v>23</v>
      </c>
      <c r="D25" s="4">
        <v>43798</v>
      </c>
      <c r="E25" s="2" t="s">
        <v>326</v>
      </c>
      <c r="F25" s="2" t="s">
        <v>16</v>
      </c>
      <c r="G25" s="1058" t="s">
        <v>6102</v>
      </c>
      <c r="H25" s="1058" t="s">
        <v>743</v>
      </c>
      <c r="I25" s="259">
        <v>1</v>
      </c>
      <c r="J25" s="259">
        <v>3</v>
      </c>
      <c r="K25" s="2">
        <v>1</v>
      </c>
      <c r="L25" s="2">
        <v>2</v>
      </c>
      <c r="M25" s="397">
        <v>14</v>
      </c>
      <c r="N25" s="2">
        <v>-9</v>
      </c>
      <c r="O25" s="2">
        <v>21</v>
      </c>
      <c r="P25" s="168">
        <v>0</v>
      </c>
      <c r="Q25" s="2">
        <v>0</v>
      </c>
      <c r="R25" s="2">
        <v>0</v>
      </c>
      <c r="S25" s="2">
        <v>0</v>
      </c>
      <c r="T25" s="2">
        <v>3</v>
      </c>
      <c r="U25" s="2">
        <v>2</v>
      </c>
      <c r="V25" s="242">
        <v>4398</v>
      </c>
      <c r="W25" s="1058" t="s">
        <v>6187</v>
      </c>
      <c r="X25" s="1058" t="s">
        <v>6188</v>
      </c>
      <c r="Y25" s="1058" t="s">
        <v>6171</v>
      </c>
      <c r="AA25" s="1058" t="s">
        <v>3307</v>
      </c>
      <c r="AB25" s="168" t="s">
        <v>3393</v>
      </c>
      <c r="AK25" s="8" t="s">
        <v>3365</v>
      </c>
    </row>
    <row r="26" spans="1:37" x14ac:dyDescent="0.3">
      <c r="A26" s="985" t="str">
        <f t="shared" si="0"/>
        <v>Sezóna 19/20</v>
      </c>
      <c r="B26" s="2">
        <v>24</v>
      </c>
      <c r="C26" s="2">
        <v>24</v>
      </c>
      <c r="D26" s="4">
        <v>43800</v>
      </c>
      <c r="E26" s="2" t="s">
        <v>328</v>
      </c>
      <c r="F26" s="2" t="s">
        <v>17</v>
      </c>
      <c r="G26" s="1058" t="s">
        <v>6137</v>
      </c>
      <c r="H26" s="1058" t="s">
        <v>16</v>
      </c>
      <c r="I26" s="259">
        <v>6</v>
      </c>
      <c r="J26" s="259">
        <v>2</v>
      </c>
      <c r="K26" s="2">
        <v>6</v>
      </c>
      <c r="L26" s="2">
        <v>2</v>
      </c>
      <c r="M26" s="2">
        <v>13</v>
      </c>
      <c r="N26" s="2">
        <v>-9</v>
      </c>
      <c r="O26" s="2">
        <v>24</v>
      </c>
      <c r="P26" s="168">
        <v>0</v>
      </c>
      <c r="Q26" s="2">
        <v>0</v>
      </c>
      <c r="R26" s="2">
        <v>0</v>
      </c>
      <c r="S26" s="2">
        <v>0</v>
      </c>
      <c r="T26" s="2">
        <v>2</v>
      </c>
      <c r="U26" s="2">
        <v>3</v>
      </c>
      <c r="V26" s="242">
        <v>3267</v>
      </c>
      <c r="W26" s="1058" t="s">
        <v>6187</v>
      </c>
      <c r="X26" s="1058" t="s">
        <v>6100</v>
      </c>
      <c r="Y26" s="1058" t="s">
        <v>6089</v>
      </c>
      <c r="AA26" s="1058" t="s">
        <v>3362</v>
      </c>
      <c r="AB26" s="168" t="s">
        <v>3394</v>
      </c>
      <c r="AC26" s="2" t="s">
        <v>3395</v>
      </c>
      <c r="AD26" s="2" t="s">
        <v>3396</v>
      </c>
      <c r="AE26" s="2" t="s">
        <v>3397</v>
      </c>
      <c r="AF26" s="2" t="s">
        <v>3398</v>
      </c>
      <c r="AG26" s="2" t="s">
        <v>3399</v>
      </c>
      <c r="AK26" s="8" t="s">
        <v>3366</v>
      </c>
    </row>
    <row r="27" spans="1:37" x14ac:dyDescent="0.3">
      <c r="A27" s="985" t="str">
        <f t="shared" si="0"/>
        <v>Sezóna 19/20</v>
      </c>
      <c r="B27" s="2">
        <v>25</v>
      </c>
      <c r="C27" s="2">
        <v>33</v>
      </c>
      <c r="D27" s="4">
        <v>43802</v>
      </c>
      <c r="E27" s="2" t="s">
        <v>6086</v>
      </c>
      <c r="F27" s="2" t="s">
        <v>16</v>
      </c>
      <c r="G27" s="1058" t="s">
        <v>6191</v>
      </c>
      <c r="H27" s="1058" t="s">
        <v>16</v>
      </c>
      <c r="I27" s="259">
        <v>6</v>
      </c>
      <c r="J27" s="259">
        <v>4</v>
      </c>
      <c r="K27" s="2">
        <v>6</v>
      </c>
      <c r="L27" s="2">
        <v>4</v>
      </c>
      <c r="M27" s="2">
        <v>12</v>
      </c>
      <c r="N27" s="2">
        <v>-6</v>
      </c>
      <c r="O27" s="2">
        <v>27</v>
      </c>
      <c r="P27" s="168">
        <v>0</v>
      </c>
      <c r="Q27" s="2">
        <v>1</v>
      </c>
      <c r="R27" s="2">
        <v>1</v>
      </c>
      <c r="S27" s="2">
        <v>0</v>
      </c>
      <c r="T27" s="2">
        <v>4</v>
      </c>
      <c r="U27" s="2">
        <v>3</v>
      </c>
      <c r="V27" s="242">
        <v>2538</v>
      </c>
      <c r="W27" s="1058" t="s">
        <v>6097</v>
      </c>
      <c r="X27" s="1058" t="s">
        <v>6171</v>
      </c>
      <c r="Y27" s="1058" t="s">
        <v>6175</v>
      </c>
      <c r="AA27" s="1058" t="s">
        <v>3374</v>
      </c>
      <c r="AB27" s="168" t="s">
        <v>3415</v>
      </c>
      <c r="AC27" s="2" t="s">
        <v>3416</v>
      </c>
      <c r="AD27" s="2" t="s">
        <v>3417</v>
      </c>
      <c r="AE27" s="2" t="s">
        <v>3418</v>
      </c>
      <c r="AF27" s="2" t="s">
        <v>3419</v>
      </c>
      <c r="AG27" s="2" t="s">
        <v>3420</v>
      </c>
      <c r="AK27" s="8" t="s">
        <v>3375</v>
      </c>
    </row>
    <row r="28" spans="1:37" s="191" customFormat="1" x14ac:dyDescent="0.3">
      <c r="A28" s="985" t="str">
        <f t="shared" si="0"/>
        <v>Sezóna 19/20</v>
      </c>
      <c r="B28" s="170">
        <v>26</v>
      </c>
      <c r="C28" s="170">
        <v>25</v>
      </c>
      <c r="D28" s="4">
        <v>43805</v>
      </c>
      <c r="E28" s="170" t="s">
        <v>626</v>
      </c>
      <c r="F28" s="170" t="s">
        <v>16</v>
      </c>
      <c r="G28" s="1059" t="s">
        <v>6102</v>
      </c>
      <c r="H28" s="1059" t="s">
        <v>743</v>
      </c>
      <c r="I28" s="1091">
        <v>1</v>
      </c>
      <c r="J28" s="1091">
        <v>3</v>
      </c>
      <c r="K28" s="170">
        <v>1</v>
      </c>
      <c r="L28" s="170">
        <v>2</v>
      </c>
      <c r="M28" s="269">
        <v>12</v>
      </c>
      <c r="N28" s="269">
        <v>-6</v>
      </c>
      <c r="O28" s="269">
        <v>27</v>
      </c>
      <c r="P28" s="169">
        <v>1</v>
      </c>
      <c r="Q28" s="170">
        <v>0</v>
      </c>
      <c r="R28" s="170">
        <v>0</v>
      </c>
      <c r="S28" s="170">
        <v>1</v>
      </c>
      <c r="T28" s="170">
        <v>2</v>
      </c>
      <c r="U28" s="170">
        <v>2</v>
      </c>
      <c r="V28" s="171">
        <v>3468</v>
      </c>
      <c r="W28" s="1059" t="s">
        <v>6189</v>
      </c>
      <c r="X28" s="1059" t="s">
        <v>6189</v>
      </c>
      <c r="Y28" s="1059" t="s">
        <v>6187</v>
      </c>
      <c r="Z28" s="1059"/>
      <c r="AA28" s="1059" t="s">
        <v>3377</v>
      </c>
      <c r="AB28" s="169" t="s">
        <v>3421</v>
      </c>
      <c r="AC28" s="170"/>
      <c r="AD28" s="170"/>
      <c r="AE28" s="170"/>
      <c r="AF28" s="170"/>
      <c r="AG28" s="170"/>
      <c r="AH28" s="170"/>
      <c r="AI28" s="171"/>
      <c r="AJ28" s="170"/>
      <c r="AK28" s="268" t="s">
        <v>3376</v>
      </c>
    </row>
    <row r="29" spans="1:37" x14ac:dyDescent="0.3">
      <c r="A29" s="985" t="str">
        <f t="shared" si="0"/>
        <v>Sezóna 19/20</v>
      </c>
      <c r="B29" s="2">
        <v>27</v>
      </c>
      <c r="C29" s="2">
        <v>26</v>
      </c>
      <c r="D29" s="4">
        <v>43807</v>
      </c>
      <c r="E29" s="2" t="s">
        <v>332</v>
      </c>
      <c r="F29" s="2" t="s">
        <v>17</v>
      </c>
      <c r="G29" s="1058" t="s">
        <v>6148</v>
      </c>
      <c r="H29" s="1058" t="s">
        <v>16</v>
      </c>
      <c r="I29" s="259">
        <v>4</v>
      </c>
      <c r="J29" s="259">
        <v>1</v>
      </c>
      <c r="K29" s="2">
        <v>4</v>
      </c>
      <c r="L29" s="2">
        <v>1</v>
      </c>
      <c r="M29" s="2">
        <v>12</v>
      </c>
      <c r="N29" s="2">
        <v>-6</v>
      </c>
      <c r="O29" s="2">
        <v>30</v>
      </c>
      <c r="P29" s="168">
        <v>1</v>
      </c>
      <c r="Q29" s="2">
        <v>0</v>
      </c>
      <c r="R29" s="2">
        <v>0</v>
      </c>
      <c r="S29" s="2">
        <v>1</v>
      </c>
      <c r="T29" s="2">
        <v>3</v>
      </c>
      <c r="U29" s="2">
        <v>4</v>
      </c>
      <c r="V29" s="242">
        <v>6011</v>
      </c>
      <c r="W29" s="1058" t="s">
        <v>6188</v>
      </c>
      <c r="X29" s="1058" t="s">
        <v>6188</v>
      </c>
      <c r="Y29" s="1058" t="s">
        <v>6148</v>
      </c>
      <c r="AA29" s="1058" t="s">
        <v>3202</v>
      </c>
      <c r="AB29" s="168" t="s">
        <v>3422</v>
      </c>
      <c r="AC29" s="2" t="s">
        <v>3423</v>
      </c>
      <c r="AD29" s="2" t="s">
        <v>3424</v>
      </c>
      <c r="AE29" s="2" t="s">
        <v>3425</v>
      </c>
      <c r="AK29" s="8" t="s">
        <v>3378</v>
      </c>
    </row>
    <row r="30" spans="1:37" x14ac:dyDescent="0.3">
      <c r="A30" s="985" t="str">
        <f t="shared" si="0"/>
        <v>Sezóna 19/20</v>
      </c>
      <c r="B30" s="2">
        <v>28</v>
      </c>
      <c r="C30" s="2">
        <v>27</v>
      </c>
      <c r="D30" s="4">
        <v>43817</v>
      </c>
      <c r="E30" s="2" t="s">
        <v>6179</v>
      </c>
      <c r="F30" s="2" t="s">
        <v>17</v>
      </c>
      <c r="G30" s="1058" t="s">
        <v>6133</v>
      </c>
      <c r="H30" s="1058" t="s">
        <v>16</v>
      </c>
      <c r="I30" s="259">
        <v>5</v>
      </c>
      <c r="J30" s="259">
        <v>2</v>
      </c>
      <c r="K30" s="2">
        <v>4</v>
      </c>
      <c r="L30" s="2">
        <v>2</v>
      </c>
      <c r="M30" s="2">
        <v>10</v>
      </c>
      <c r="N30" s="2">
        <v>-6</v>
      </c>
      <c r="O30" s="2">
        <v>33</v>
      </c>
      <c r="P30" s="168">
        <v>1</v>
      </c>
      <c r="Q30" s="2">
        <v>0</v>
      </c>
      <c r="R30" s="2">
        <v>0</v>
      </c>
      <c r="S30" s="2">
        <v>0</v>
      </c>
      <c r="T30" s="2">
        <v>3</v>
      </c>
      <c r="U30" s="2">
        <v>3</v>
      </c>
      <c r="V30" s="242">
        <v>5081</v>
      </c>
      <c r="W30" s="1058" t="s">
        <v>6171</v>
      </c>
      <c r="X30" s="1058" t="s">
        <v>6120</v>
      </c>
      <c r="Y30" s="1058" t="s">
        <v>6202</v>
      </c>
      <c r="AA30" s="1058" t="s">
        <v>3381</v>
      </c>
      <c r="AB30" s="168" t="s">
        <v>3445</v>
      </c>
      <c r="AC30" s="2" t="s">
        <v>3446</v>
      </c>
      <c r="AD30" s="2" t="s">
        <v>3447</v>
      </c>
      <c r="AE30" s="2" t="s">
        <v>3448</v>
      </c>
      <c r="AF30" s="2" t="s">
        <v>3449</v>
      </c>
      <c r="AK30" s="8" t="s">
        <v>3380</v>
      </c>
    </row>
    <row r="31" spans="1:37" x14ac:dyDescent="0.3">
      <c r="A31" s="985" t="str">
        <f t="shared" si="0"/>
        <v>Sezóna 19/20</v>
      </c>
      <c r="B31" s="2">
        <v>29</v>
      </c>
      <c r="C31" s="2">
        <v>28</v>
      </c>
      <c r="D31" s="4">
        <v>43819</v>
      </c>
      <c r="E31" s="2" t="s">
        <v>331</v>
      </c>
      <c r="F31" s="2" t="s">
        <v>16</v>
      </c>
      <c r="G31" s="1058" t="s">
        <v>6210</v>
      </c>
      <c r="H31" s="1058" t="s">
        <v>743</v>
      </c>
      <c r="I31" s="259">
        <v>2</v>
      </c>
      <c r="J31" s="259">
        <v>6</v>
      </c>
      <c r="K31" s="2">
        <v>2</v>
      </c>
      <c r="L31" s="2">
        <v>6</v>
      </c>
      <c r="M31" s="2">
        <v>13</v>
      </c>
      <c r="N31" s="2">
        <v>-6</v>
      </c>
      <c r="O31" s="2">
        <v>33</v>
      </c>
      <c r="P31" s="168">
        <v>1</v>
      </c>
      <c r="Q31" s="2">
        <v>0</v>
      </c>
      <c r="R31" s="2">
        <v>0</v>
      </c>
      <c r="S31" s="2">
        <v>4</v>
      </c>
      <c r="T31" s="2">
        <v>5</v>
      </c>
      <c r="U31" s="2">
        <v>7</v>
      </c>
      <c r="V31" s="242">
        <v>5885</v>
      </c>
      <c r="W31" s="1058" t="s">
        <v>6128</v>
      </c>
      <c r="X31" s="1058" t="s">
        <v>6097</v>
      </c>
      <c r="Y31" s="1058" t="s">
        <v>6188</v>
      </c>
      <c r="AA31" s="1058" t="s">
        <v>3382</v>
      </c>
      <c r="AB31" s="168" t="s">
        <v>3450</v>
      </c>
      <c r="AC31" s="2" t="s">
        <v>3451</v>
      </c>
      <c r="AK31" s="8" t="s">
        <v>3383</v>
      </c>
    </row>
    <row r="32" spans="1:37" x14ac:dyDescent="0.3">
      <c r="A32" s="985" t="str">
        <f t="shared" si="0"/>
        <v>Sezóna 19/20</v>
      </c>
      <c r="B32" s="2">
        <v>30</v>
      </c>
      <c r="C32" s="2">
        <v>29</v>
      </c>
      <c r="D32" s="4">
        <v>43821</v>
      </c>
      <c r="E32" s="2" t="s">
        <v>327</v>
      </c>
      <c r="F32" s="2" t="s">
        <v>17</v>
      </c>
      <c r="G32" s="1058" t="s">
        <v>159</v>
      </c>
      <c r="H32" s="1058" t="s">
        <v>793</v>
      </c>
      <c r="I32" s="259">
        <v>4</v>
      </c>
      <c r="J32" s="259">
        <v>3</v>
      </c>
      <c r="K32" s="2">
        <v>3</v>
      </c>
      <c r="L32" s="2">
        <v>3</v>
      </c>
      <c r="M32" s="2">
        <v>11</v>
      </c>
      <c r="N32" s="2">
        <v>-7</v>
      </c>
      <c r="O32" s="2">
        <v>35</v>
      </c>
      <c r="P32" s="168">
        <v>1</v>
      </c>
      <c r="Q32" s="2">
        <v>0</v>
      </c>
      <c r="R32" s="2">
        <v>1</v>
      </c>
      <c r="S32" s="2">
        <v>0</v>
      </c>
      <c r="T32" s="2">
        <v>4</v>
      </c>
      <c r="U32" s="2">
        <v>1</v>
      </c>
      <c r="V32" s="242">
        <v>6011</v>
      </c>
      <c r="W32" s="1058" t="s">
        <v>6188</v>
      </c>
      <c r="X32" s="1058" t="s">
        <v>6118</v>
      </c>
      <c r="Y32" s="1058" t="s">
        <v>6097</v>
      </c>
      <c r="Z32" s="1058" t="s">
        <v>3426</v>
      </c>
      <c r="AA32" s="1058" t="s">
        <v>3427</v>
      </c>
      <c r="AB32" s="168" t="s">
        <v>3452</v>
      </c>
      <c r="AC32" s="2" t="s">
        <v>3453</v>
      </c>
      <c r="AD32" s="2" t="s">
        <v>3454</v>
      </c>
      <c r="AE32" s="2" t="s">
        <v>3455</v>
      </c>
      <c r="AK32" s="8" t="s">
        <v>3428</v>
      </c>
    </row>
    <row r="33" spans="1:37" x14ac:dyDescent="0.3">
      <c r="A33" s="985" t="str">
        <f t="shared" si="0"/>
        <v>Sezóna 19/20</v>
      </c>
      <c r="B33" s="2">
        <v>31</v>
      </c>
      <c r="C33" s="2">
        <v>31</v>
      </c>
      <c r="D33" s="4">
        <v>43827</v>
      </c>
      <c r="E33" s="2" t="s">
        <v>610</v>
      </c>
      <c r="F33" s="2" t="s">
        <v>17</v>
      </c>
      <c r="G33" s="1058" t="s">
        <v>6211</v>
      </c>
      <c r="H33" s="1058" t="s">
        <v>743</v>
      </c>
      <c r="I33" s="259">
        <v>3</v>
      </c>
      <c r="J33" s="259">
        <v>4</v>
      </c>
      <c r="K33" s="2">
        <v>3</v>
      </c>
      <c r="L33" s="2">
        <v>4</v>
      </c>
      <c r="M33" s="2">
        <v>12</v>
      </c>
      <c r="N33" s="2">
        <v>-10</v>
      </c>
      <c r="O33" s="2">
        <v>35</v>
      </c>
      <c r="P33" s="168">
        <v>0</v>
      </c>
      <c r="Q33" s="2">
        <v>0</v>
      </c>
      <c r="R33" s="2">
        <v>0</v>
      </c>
      <c r="S33" s="2">
        <v>1</v>
      </c>
      <c r="T33" s="2">
        <v>3</v>
      </c>
      <c r="U33" s="2">
        <v>2</v>
      </c>
      <c r="V33" s="242">
        <v>6011</v>
      </c>
      <c r="W33" s="1058" t="s">
        <v>6187</v>
      </c>
      <c r="X33" s="1058" t="s">
        <v>6194</v>
      </c>
      <c r="Y33" s="1058" t="s">
        <v>6189</v>
      </c>
      <c r="AA33" s="1058" t="s">
        <v>3430</v>
      </c>
      <c r="AB33" s="168" t="s">
        <v>3456</v>
      </c>
      <c r="AC33" s="2" t="s">
        <v>3457</v>
      </c>
      <c r="AD33" s="2" t="s">
        <v>3458</v>
      </c>
      <c r="AK33" s="8" t="s">
        <v>3432</v>
      </c>
    </row>
    <row r="34" spans="1:37" x14ac:dyDescent="0.3">
      <c r="A34" s="985" t="str">
        <f t="shared" si="0"/>
        <v>Sezóna 19/20</v>
      </c>
      <c r="B34" s="2">
        <v>32</v>
      </c>
      <c r="C34" s="2">
        <v>32</v>
      </c>
      <c r="D34" s="4">
        <v>43829</v>
      </c>
      <c r="E34" s="2" t="s">
        <v>325</v>
      </c>
      <c r="F34" s="2" t="s">
        <v>16</v>
      </c>
      <c r="G34" s="1058" t="s">
        <v>6216</v>
      </c>
      <c r="H34" s="1058" t="s">
        <v>743</v>
      </c>
      <c r="I34" s="259">
        <v>4</v>
      </c>
      <c r="J34" s="259">
        <v>8</v>
      </c>
      <c r="K34" s="2">
        <v>4</v>
      </c>
      <c r="L34" s="2">
        <v>8</v>
      </c>
      <c r="M34" s="2">
        <v>13</v>
      </c>
      <c r="N34" s="2">
        <v>-10</v>
      </c>
      <c r="O34" s="2">
        <v>35</v>
      </c>
      <c r="P34" s="168">
        <v>2</v>
      </c>
      <c r="Q34" s="2">
        <v>1</v>
      </c>
      <c r="R34" s="2">
        <v>1</v>
      </c>
      <c r="S34" s="2">
        <v>3</v>
      </c>
      <c r="T34" s="2">
        <v>6</v>
      </c>
      <c r="U34" s="2">
        <v>7</v>
      </c>
      <c r="V34" s="242">
        <v>12351</v>
      </c>
      <c r="W34" s="1058" t="s">
        <v>6187</v>
      </c>
      <c r="X34" s="1058" t="s">
        <v>6102</v>
      </c>
      <c r="Y34" s="1058" t="s">
        <v>6082</v>
      </c>
      <c r="AA34" s="1058" t="s">
        <v>3431</v>
      </c>
      <c r="AB34" s="168" t="s">
        <v>3459</v>
      </c>
      <c r="AC34" s="2" t="s">
        <v>3460</v>
      </c>
      <c r="AD34" s="2" t="s">
        <v>3461</v>
      </c>
      <c r="AE34" s="2" t="s">
        <v>3462</v>
      </c>
      <c r="AK34" s="8" t="s">
        <v>3433</v>
      </c>
    </row>
    <row r="35" spans="1:37" x14ac:dyDescent="0.3">
      <c r="A35" s="985" t="str">
        <f t="shared" si="0"/>
        <v>Sezóna 19/20</v>
      </c>
      <c r="B35" s="2">
        <v>33</v>
      </c>
      <c r="C35" s="2">
        <v>45</v>
      </c>
      <c r="D35" s="4">
        <v>43834</v>
      </c>
      <c r="E35" s="2" t="s">
        <v>325</v>
      </c>
      <c r="F35" s="356" t="s">
        <v>1249</v>
      </c>
      <c r="G35" s="1058" t="s">
        <v>6146</v>
      </c>
      <c r="H35" s="1058" t="s">
        <v>743</v>
      </c>
      <c r="I35" s="259">
        <v>2</v>
      </c>
      <c r="J35" s="259">
        <v>3</v>
      </c>
      <c r="K35" s="2">
        <v>2</v>
      </c>
      <c r="L35" s="2">
        <v>3</v>
      </c>
      <c r="M35" s="2">
        <v>13</v>
      </c>
      <c r="N35" s="2">
        <v>-13</v>
      </c>
      <c r="O35" s="2">
        <v>35</v>
      </c>
      <c r="P35" s="168">
        <v>1</v>
      </c>
      <c r="Q35" s="2">
        <v>0</v>
      </c>
      <c r="R35" s="2">
        <v>0</v>
      </c>
      <c r="S35" s="2">
        <v>0</v>
      </c>
      <c r="T35" s="2">
        <v>2</v>
      </c>
      <c r="U35" s="2">
        <v>4</v>
      </c>
      <c r="V35" s="242">
        <v>32009</v>
      </c>
      <c r="W35" s="1058" t="s">
        <v>6188</v>
      </c>
      <c r="X35" s="1058" t="s">
        <v>6187</v>
      </c>
      <c r="Y35" s="1058" t="s">
        <v>6097</v>
      </c>
      <c r="AA35" s="1058" t="s">
        <v>3434</v>
      </c>
      <c r="AB35" s="168" t="s">
        <v>3463</v>
      </c>
      <c r="AC35" s="2" t="s">
        <v>3464</v>
      </c>
      <c r="AK35" s="8" t="s">
        <v>3435</v>
      </c>
    </row>
    <row r="36" spans="1:37" x14ac:dyDescent="0.3">
      <c r="A36" s="985" t="str">
        <f t="shared" si="0"/>
        <v>Sezóna 19/20</v>
      </c>
      <c r="B36" s="2">
        <v>34</v>
      </c>
      <c r="C36" s="2">
        <v>35</v>
      </c>
      <c r="D36" s="4">
        <v>43840</v>
      </c>
      <c r="E36" s="2" t="s">
        <v>6076</v>
      </c>
      <c r="F36" s="2" t="s">
        <v>16</v>
      </c>
      <c r="G36" s="1058" t="s">
        <v>171</v>
      </c>
      <c r="H36" s="1058" t="s">
        <v>794</v>
      </c>
      <c r="I36" s="259">
        <v>2</v>
      </c>
      <c r="J36" s="259">
        <v>3</v>
      </c>
      <c r="K36" s="2">
        <v>2</v>
      </c>
      <c r="L36" s="2">
        <v>2</v>
      </c>
      <c r="M36" s="2">
        <v>13</v>
      </c>
      <c r="N36" s="2">
        <v>-12</v>
      </c>
      <c r="O36" s="2">
        <v>36</v>
      </c>
      <c r="P36" s="168">
        <v>0</v>
      </c>
      <c r="Q36" s="2">
        <v>0</v>
      </c>
      <c r="R36" s="2">
        <v>0</v>
      </c>
      <c r="S36" s="2">
        <v>0</v>
      </c>
      <c r="T36" s="2">
        <v>2</v>
      </c>
      <c r="U36" s="2">
        <v>2</v>
      </c>
      <c r="V36" s="242">
        <v>4608</v>
      </c>
      <c r="W36" s="1058" t="s">
        <v>6120</v>
      </c>
      <c r="X36" s="1058" t="s">
        <v>6187</v>
      </c>
      <c r="Y36" s="1058" t="s">
        <v>6189</v>
      </c>
      <c r="Z36" s="1058" t="s">
        <v>3213</v>
      </c>
      <c r="AA36" s="1058" t="s">
        <v>3465</v>
      </c>
      <c r="AB36" s="168" t="s">
        <v>3470</v>
      </c>
      <c r="AC36" s="2" t="s">
        <v>3471</v>
      </c>
      <c r="AK36" s="8" t="s">
        <v>3467</v>
      </c>
    </row>
    <row r="37" spans="1:37" x14ac:dyDescent="0.3">
      <c r="A37" s="985" t="str">
        <f t="shared" si="0"/>
        <v>Sezóna 19/20</v>
      </c>
      <c r="B37" s="2">
        <v>35</v>
      </c>
      <c r="C37" s="2">
        <v>36</v>
      </c>
      <c r="D37" s="4">
        <v>43842</v>
      </c>
      <c r="E37" s="2" t="s">
        <v>326</v>
      </c>
      <c r="F37" s="2" t="s">
        <v>17</v>
      </c>
      <c r="G37" s="1058" t="s">
        <v>6210</v>
      </c>
      <c r="H37" s="1058" t="s">
        <v>743</v>
      </c>
      <c r="I37" s="259">
        <v>2</v>
      </c>
      <c r="J37" s="259">
        <v>6</v>
      </c>
      <c r="K37" s="2">
        <v>2</v>
      </c>
      <c r="L37" s="2">
        <v>6</v>
      </c>
      <c r="M37" s="2">
        <v>13</v>
      </c>
      <c r="N37" s="2">
        <v>-15</v>
      </c>
      <c r="O37" s="2">
        <v>36</v>
      </c>
      <c r="P37" s="168">
        <v>1</v>
      </c>
      <c r="Q37" s="2">
        <v>0</v>
      </c>
      <c r="R37" s="2">
        <v>0</v>
      </c>
      <c r="S37" s="2">
        <v>3</v>
      </c>
      <c r="T37" s="2">
        <v>4</v>
      </c>
      <c r="U37" s="2">
        <v>5</v>
      </c>
      <c r="V37" s="242">
        <v>4865</v>
      </c>
      <c r="W37" s="1058" t="s">
        <v>6188</v>
      </c>
      <c r="X37" s="1058" t="s">
        <v>6077</v>
      </c>
      <c r="Y37" s="1058" t="s">
        <v>6194</v>
      </c>
      <c r="AA37" s="1058" t="s">
        <v>3466</v>
      </c>
      <c r="AB37" s="168" t="s">
        <v>3481</v>
      </c>
      <c r="AC37" s="2" t="s">
        <v>3482</v>
      </c>
      <c r="AK37" s="8" t="s">
        <v>3468</v>
      </c>
    </row>
    <row r="38" spans="1:37" x14ac:dyDescent="0.3">
      <c r="A38" s="985" t="str">
        <f t="shared" si="0"/>
        <v>Sezóna 19/20</v>
      </c>
      <c r="B38" s="2">
        <v>36</v>
      </c>
      <c r="C38" s="2">
        <v>37</v>
      </c>
      <c r="D38" s="4">
        <v>43847</v>
      </c>
      <c r="E38" s="2" t="s">
        <v>328</v>
      </c>
      <c r="F38" s="2" t="s">
        <v>16</v>
      </c>
      <c r="G38" s="1058" t="s">
        <v>6204</v>
      </c>
      <c r="H38" s="1058" t="s">
        <v>743</v>
      </c>
      <c r="I38" s="259">
        <v>3</v>
      </c>
      <c r="J38" s="259">
        <v>5</v>
      </c>
      <c r="K38" s="2">
        <v>3</v>
      </c>
      <c r="L38" s="2">
        <v>4</v>
      </c>
      <c r="M38" s="2">
        <v>13</v>
      </c>
      <c r="N38" s="2">
        <v>-15</v>
      </c>
      <c r="O38" s="2">
        <v>36</v>
      </c>
      <c r="P38" s="168">
        <v>1</v>
      </c>
      <c r="Q38" s="2">
        <v>0</v>
      </c>
      <c r="R38" s="2">
        <v>0</v>
      </c>
      <c r="S38" s="2">
        <v>1</v>
      </c>
      <c r="T38" s="2">
        <v>2</v>
      </c>
      <c r="U38" s="2">
        <v>6</v>
      </c>
      <c r="V38" s="242">
        <v>5335</v>
      </c>
      <c r="W38" s="1058" t="s">
        <v>6187</v>
      </c>
      <c r="X38" s="1058" t="s">
        <v>6102</v>
      </c>
      <c r="Y38" s="1058" t="s">
        <v>6187</v>
      </c>
      <c r="AA38" s="1058" t="s">
        <v>3475</v>
      </c>
      <c r="AB38" s="168" t="s">
        <v>3538</v>
      </c>
      <c r="AC38" s="2" t="s">
        <v>3539</v>
      </c>
      <c r="AD38" s="2" t="s">
        <v>3540</v>
      </c>
      <c r="AK38" s="8" t="s">
        <v>3476</v>
      </c>
    </row>
    <row r="39" spans="1:37" x14ac:dyDescent="0.3">
      <c r="A39" s="985" t="str">
        <f t="shared" si="0"/>
        <v>Sezóna 19/20</v>
      </c>
      <c r="B39" s="2">
        <v>37</v>
      </c>
      <c r="C39" s="2">
        <v>38</v>
      </c>
      <c r="D39" s="4">
        <v>43849</v>
      </c>
      <c r="E39" s="2" t="s">
        <v>626</v>
      </c>
      <c r="F39" s="2" t="s">
        <v>17</v>
      </c>
      <c r="G39" s="1058" t="s">
        <v>6102</v>
      </c>
      <c r="H39" s="1058" t="s">
        <v>743</v>
      </c>
      <c r="I39" s="259">
        <v>1</v>
      </c>
      <c r="J39" s="259">
        <v>3</v>
      </c>
      <c r="K39" s="2">
        <v>1</v>
      </c>
      <c r="L39" s="2">
        <v>2</v>
      </c>
      <c r="M39" s="2">
        <v>13</v>
      </c>
      <c r="N39" s="2">
        <v>-18</v>
      </c>
      <c r="O39" s="2">
        <v>36</v>
      </c>
      <c r="P39" s="168">
        <v>0</v>
      </c>
      <c r="Q39" s="2">
        <v>0</v>
      </c>
      <c r="R39" s="2">
        <v>0</v>
      </c>
      <c r="S39" s="2">
        <v>0</v>
      </c>
      <c r="T39" s="2">
        <v>4</v>
      </c>
      <c r="U39" s="2">
        <v>2</v>
      </c>
      <c r="V39" s="242">
        <v>4156</v>
      </c>
      <c r="W39" s="1058" t="s">
        <v>6097</v>
      </c>
      <c r="X39" s="1058" t="s">
        <v>6188</v>
      </c>
      <c r="Y39" s="1058" t="s">
        <v>6189</v>
      </c>
      <c r="AA39" s="1058" t="s">
        <v>3377</v>
      </c>
      <c r="AB39" s="168" t="s">
        <v>3541</v>
      </c>
      <c r="AK39" s="8" t="s">
        <v>3477</v>
      </c>
    </row>
    <row r="40" spans="1:37" x14ac:dyDescent="0.3">
      <c r="A40" s="985" t="str">
        <f t="shared" si="0"/>
        <v>Sezóna 19/20</v>
      </c>
      <c r="B40" s="2">
        <v>38</v>
      </c>
      <c r="C40" s="2">
        <v>39</v>
      </c>
      <c r="D40" s="4">
        <v>43854</v>
      </c>
      <c r="E40" s="2" t="s">
        <v>332</v>
      </c>
      <c r="F40" s="2" t="s">
        <v>16</v>
      </c>
      <c r="G40" s="1058" t="s">
        <v>6212</v>
      </c>
      <c r="H40" s="1058" t="s">
        <v>16</v>
      </c>
      <c r="I40" s="259">
        <v>5</v>
      </c>
      <c r="J40" s="259">
        <v>3</v>
      </c>
      <c r="K40" s="2">
        <v>5</v>
      </c>
      <c r="L40" s="2">
        <v>3</v>
      </c>
      <c r="M40" s="2">
        <v>13</v>
      </c>
      <c r="N40" s="2">
        <v>-15</v>
      </c>
      <c r="O40" s="2">
        <v>39</v>
      </c>
      <c r="P40" s="168">
        <v>1</v>
      </c>
      <c r="Q40" s="2">
        <v>2</v>
      </c>
      <c r="R40" s="2">
        <v>0</v>
      </c>
      <c r="S40" s="2">
        <v>1</v>
      </c>
      <c r="T40" s="2">
        <v>3</v>
      </c>
      <c r="U40" s="2">
        <v>5</v>
      </c>
      <c r="V40" s="242">
        <v>4748</v>
      </c>
      <c r="W40" s="1058" t="s">
        <v>6089</v>
      </c>
      <c r="X40" s="1058" t="s">
        <v>6187</v>
      </c>
      <c r="Y40" s="1058" t="s">
        <v>6194</v>
      </c>
      <c r="AA40" s="1058" t="s">
        <v>3487</v>
      </c>
      <c r="AB40" s="168" t="s">
        <v>3542</v>
      </c>
      <c r="AC40" s="2" t="s">
        <v>3543</v>
      </c>
      <c r="AD40" s="2" t="s">
        <v>3544</v>
      </c>
      <c r="AE40" s="2" t="s">
        <v>3545</v>
      </c>
      <c r="AF40" s="2" t="s">
        <v>3546</v>
      </c>
      <c r="AK40" s="8" t="s">
        <v>3484</v>
      </c>
    </row>
    <row r="41" spans="1:37" s="191" customFormat="1" x14ac:dyDescent="0.3">
      <c r="A41" s="985" t="str">
        <f t="shared" si="0"/>
        <v>Sezóna 19/20</v>
      </c>
      <c r="B41" s="170">
        <v>39</v>
      </c>
      <c r="C41" s="170">
        <v>40</v>
      </c>
      <c r="D41" s="4">
        <v>43856</v>
      </c>
      <c r="E41" s="170" t="s">
        <v>6179</v>
      </c>
      <c r="F41" s="170" t="s">
        <v>16</v>
      </c>
      <c r="G41" s="1059" t="s">
        <v>354</v>
      </c>
      <c r="H41" s="1059" t="s">
        <v>794</v>
      </c>
      <c r="I41" s="1091">
        <v>3</v>
      </c>
      <c r="J41" s="1091">
        <v>4</v>
      </c>
      <c r="K41" s="170">
        <v>3</v>
      </c>
      <c r="L41" s="170">
        <v>3</v>
      </c>
      <c r="M41" s="269">
        <v>13</v>
      </c>
      <c r="N41" s="269">
        <v>-14</v>
      </c>
      <c r="O41" s="269">
        <v>40</v>
      </c>
      <c r="P41" s="169">
        <v>0</v>
      </c>
      <c r="Q41" s="170">
        <v>0</v>
      </c>
      <c r="R41" s="170">
        <v>0</v>
      </c>
      <c r="S41" s="170">
        <v>1</v>
      </c>
      <c r="T41" s="170">
        <v>3</v>
      </c>
      <c r="U41" s="170">
        <v>5</v>
      </c>
      <c r="V41" s="171">
        <v>7203</v>
      </c>
      <c r="W41" s="1059" t="s">
        <v>6089</v>
      </c>
      <c r="X41" s="1059" t="s">
        <v>6097</v>
      </c>
      <c r="Y41" s="1059" t="s">
        <v>6189</v>
      </c>
      <c r="Z41" s="1059" t="s">
        <v>208</v>
      </c>
      <c r="AA41" s="1059" t="s">
        <v>3486</v>
      </c>
      <c r="AB41" s="169" t="s">
        <v>3547</v>
      </c>
      <c r="AC41" s="170" t="s">
        <v>3548</v>
      </c>
      <c r="AD41" s="170" t="s">
        <v>3549</v>
      </c>
      <c r="AE41" s="170"/>
      <c r="AF41" s="170"/>
      <c r="AG41" s="170"/>
      <c r="AH41" s="170"/>
      <c r="AI41" s="171"/>
      <c r="AJ41" s="170"/>
      <c r="AK41" s="191" t="s">
        <v>3485</v>
      </c>
    </row>
    <row r="42" spans="1:37" x14ac:dyDescent="0.3">
      <c r="A42" s="985" t="str">
        <f t="shared" si="0"/>
        <v>Sezóna 19/20</v>
      </c>
      <c r="B42" s="2">
        <v>40</v>
      </c>
      <c r="C42" s="2">
        <v>41</v>
      </c>
      <c r="D42" s="4">
        <v>43858</v>
      </c>
      <c r="E42" s="2" t="s">
        <v>331</v>
      </c>
      <c r="F42" s="2" t="s">
        <v>17</v>
      </c>
      <c r="G42" s="1058" t="s">
        <v>6190</v>
      </c>
      <c r="H42" s="1058" t="s">
        <v>16</v>
      </c>
      <c r="I42" s="259">
        <v>5</v>
      </c>
      <c r="J42" s="259">
        <v>1</v>
      </c>
      <c r="K42" s="2">
        <v>5</v>
      </c>
      <c r="L42" s="2">
        <v>1</v>
      </c>
      <c r="M42" s="2">
        <v>13</v>
      </c>
      <c r="N42" s="2">
        <v>-14</v>
      </c>
      <c r="O42" s="2">
        <v>43</v>
      </c>
      <c r="P42" s="168">
        <v>1</v>
      </c>
      <c r="Q42" s="2">
        <v>0</v>
      </c>
      <c r="R42" s="2">
        <v>0</v>
      </c>
      <c r="S42" s="2">
        <v>0</v>
      </c>
      <c r="T42" s="2">
        <v>5</v>
      </c>
      <c r="U42" s="2">
        <v>2</v>
      </c>
      <c r="V42" s="242">
        <v>3129</v>
      </c>
      <c r="W42" s="1058" t="s">
        <v>6120</v>
      </c>
      <c r="X42" s="1058" t="s">
        <v>6100</v>
      </c>
      <c r="Y42" s="1058" t="s">
        <v>6120</v>
      </c>
      <c r="AA42" s="1058" t="s">
        <v>3489</v>
      </c>
      <c r="AB42" s="168" t="s">
        <v>3550</v>
      </c>
      <c r="AC42" s="2" t="s">
        <v>3551</v>
      </c>
      <c r="AD42" s="2" t="s">
        <v>3552</v>
      </c>
      <c r="AE42" s="2" t="s">
        <v>3553</v>
      </c>
      <c r="AF42" s="2" t="s">
        <v>3554</v>
      </c>
      <c r="AK42" s="8" t="s">
        <v>3488</v>
      </c>
    </row>
    <row r="43" spans="1:37" x14ac:dyDescent="0.3">
      <c r="A43" s="985" t="str">
        <f t="shared" si="0"/>
        <v>Sezóna 19/20</v>
      </c>
      <c r="B43" s="2">
        <v>41</v>
      </c>
      <c r="C43" s="2">
        <v>42</v>
      </c>
      <c r="D43" s="4">
        <v>43861</v>
      </c>
      <c r="E43" s="2" t="s">
        <v>327</v>
      </c>
      <c r="F43" s="2" t="s">
        <v>16</v>
      </c>
      <c r="G43" s="1058" t="s">
        <v>6118</v>
      </c>
      <c r="H43" s="1058" t="s">
        <v>16</v>
      </c>
      <c r="I43" s="259">
        <v>2</v>
      </c>
      <c r="J43" s="259">
        <v>1</v>
      </c>
      <c r="K43" s="2">
        <v>2</v>
      </c>
      <c r="L43" s="2">
        <v>1</v>
      </c>
      <c r="M43" s="2">
        <v>13</v>
      </c>
      <c r="N43" s="2">
        <v>-11</v>
      </c>
      <c r="O43" s="2">
        <v>46</v>
      </c>
      <c r="P43" s="168">
        <v>0</v>
      </c>
      <c r="Q43" s="2">
        <v>0</v>
      </c>
      <c r="R43" s="2">
        <v>0</v>
      </c>
      <c r="S43" s="2">
        <v>1</v>
      </c>
      <c r="T43" s="2">
        <v>4</v>
      </c>
      <c r="U43" s="2">
        <v>4</v>
      </c>
      <c r="V43" s="242">
        <v>9335</v>
      </c>
      <c r="W43" s="1058" t="s">
        <v>6120</v>
      </c>
      <c r="X43" s="1058" t="s">
        <v>6120</v>
      </c>
      <c r="Y43" s="1058" t="s">
        <v>6189</v>
      </c>
      <c r="AA43" s="1058" t="s">
        <v>3496</v>
      </c>
      <c r="AB43" s="168" t="s">
        <v>3555</v>
      </c>
      <c r="AC43" s="2" t="s">
        <v>3556</v>
      </c>
      <c r="AK43" s="8" t="s">
        <v>3499</v>
      </c>
    </row>
    <row r="44" spans="1:37" x14ac:dyDescent="0.3">
      <c r="A44" s="985" t="str">
        <f t="shared" si="0"/>
        <v>Sezóna 19/20</v>
      </c>
      <c r="B44" s="2">
        <v>42</v>
      </c>
      <c r="C44" s="2">
        <v>43</v>
      </c>
      <c r="D44" s="4">
        <v>43863</v>
      </c>
      <c r="E44" s="2" t="s">
        <v>334</v>
      </c>
      <c r="F44" s="2" t="s">
        <v>17</v>
      </c>
      <c r="G44" s="1058" t="s">
        <v>6146</v>
      </c>
      <c r="H44" s="1058" t="s">
        <v>743</v>
      </c>
      <c r="I44" s="259">
        <v>2</v>
      </c>
      <c r="J44" s="259">
        <v>3</v>
      </c>
      <c r="K44" s="2">
        <v>2</v>
      </c>
      <c r="L44" s="2">
        <v>3</v>
      </c>
      <c r="M44" s="2">
        <v>13</v>
      </c>
      <c r="N44" s="2">
        <v>-14</v>
      </c>
      <c r="O44" s="2">
        <v>46</v>
      </c>
      <c r="P44" s="168">
        <v>1</v>
      </c>
      <c r="Q44" s="2">
        <v>0</v>
      </c>
      <c r="R44" s="2">
        <v>0</v>
      </c>
      <c r="S44" s="2">
        <v>0</v>
      </c>
      <c r="T44" s="2">
        <v>3</v>
      </c>
      <c r="U44" s="2">
        <v>2</v>
      </c>
      <c r="V44" s="242">
        <v>5376</v>
      </c>
      <c r="W44" s="1058" t="s">
        <v>6146</v>
      </c>
      <c r="X44" s="1058" t="s">
        <v>6188</v>
      </c>
      <c r="Y44" s="1058" t="s">
        <v>6188</v>
      </c>
      <c r="AA44" s="1058" t="s">
        <v>3497</v>
      </c>
      <c r="AB44" s="168" t="s">
        <v>3557</v>
      </c>
      <c r="AC44" s="2" t="s">
        <v>3558</v>
      </c>
      <c r="AK44" s="8" t="s">
        <v>3498</v>
      </c>
    </row>
    <row r="45" spans="1:37" x14ac:dyDescent="0.3">
      <c r="A45" s="985" t="str">
        <f t="shared" si="0"/>
        <v>Sezóna 19/20</v>
      </c>
      <c r="B45" s="2">
        <v>43</v>
      </c>
      <c r="C45" s="2">
        <v>44</v>
      </c>
      <c r="D45" s="4">
        <v>43873</v>
      </c>
      <c r="E45" s="2" t="s">
        <v>610</v>
      </c>
      <c r="F45" s="2" t="s">
        <v>16</v>
      </c>
      <c r="G45" s="1058" t="s">
        <v>359</v>
      </c>
      <c r="H45" s="1058" t="s">
        <v>794</v>
      </c>
      <c r="I45" s="259">
        <v>4</v>
      </c>
      <c r="J45" s="259">
        <v>5</v>
      </c>
      <c r="K45" s="2">
        <v>4</v>
      </c>
      <c r="L45" s="2">
        <v>4</v>
      </c>
      <c r="M45" s="2">
        <v>13</v>
      </c>
      <c r="N45" s="2">
        <v>-13</v>
      </c>
      <c r="O45" s="2">
        <v>47</v>
      </c>
      <c r="P45" s="168">
        <v>1</v>
      </c>
      <c r="Q45" s="2">
        <v>0</v>
      </c>
      <c r="R45" s="2">
        <v>0</v>
      </c>
      <c r="S45" s="2">
        <v>3</v>
      </c>
      <c r="T45" s="2">
        <v>4</v>
      </c>
      <c r="U45" s="2">
        <v>6</v>
      </c>
      <c r="V45" s="242">
        <v>6782</v>
      </c>
      <c r="W45" s="1058" t="s">
        <v>6097</v>
      </c>
      <c r="X45" s="1058" t="s">
        <v>6187</v>
      </c>
      <c r="Y45" s="1058" t="s">
        <v>6118</v>
      </c>
      <c r="Z45" s="1058" t="s">
        <v>3213</v>
      </c>
      <c r="AA45" s="1058" t="s">
        <v>3515</v>
      </c>
      <c r="AB45" s="168" t="s">
        <v>3559</v>
      </c>
      <c r="AC45" s="2" t="s">
        <v>3560</v>
      </c>
      <c r="AD45" s="2" t="s">
        <v>3561</v>
      </c>
      <c r="AE45" s="2" t="s">
        <v>3562</v>
      </c>
      <c r="AK45" s="8" t="s">
        <v>3517</v>
      </c>
    </row>
    <row r="46" spans="1:37" x14ac:dyDescent="0.3">
      <c r="A46" s="985" t="str">
        <f t="shared" si="0"/>
        <v>Sezóna 19/20</v>
      </c>
      <c r="B46" s="2">
        <v>44</v>
      </c>
      <c r="C46" s="2">
        <v>46</v>
      </c>
      <c r="D46" s="4">
        <v>43877</v>
      </c>
      <c r="E46" s="2" t="s">
        <v>6086</v>
      </c>
      <c r="F46" s="2" t="s">
        <v>17</v>
      </c>
      <c r="G46" s="1058" t="s">
        <v>161</v>
      </c>
      <c r="H46" s="1058" t="s">
        <v>794</v>
      </c>
      <c r="I46" s="259">
        <v>2</v>
      </c>
      <c r="J46" s="259">
        <v>3</v>
      </c>
      <c r="K46" s="2">
        <v>2</v>
      </c>
      <c r="L46" s="2">
        <v>2</v>
      </c>
      <c r="M46" s="397">
        <v>14</v>
      </c>
      <c r="N46" s="2">
        <v>-15</v>
      </c>
      <c r="O46" s="2">
        <v>48</v>
      </c>
      <c r="P46" s="168">
        <v>0</v>
      </c>
      <c r="Q46" s="2">
        <v>1</v>
      </c>
      <c r="R46" s="2">
        <v>0</v>
      </c>
      <c r="S46" s="2">
        <v>1</v>
      </c>
      <c r="T46" s="2">
        <v>3</v>
      </c>
      <c r="U46" s="2">
        <v>2</v>
      </c>
      <c r="V46" s="242">
        <v>5145</v>
      </c>
      <c r="W46" s="1058" t="s">
        <v>6188</v>
      </c>
      <c r="X46" s="1058" t="s">
        <v>6118</v>
      </c>
      <c r="Y46" s="1058" t="s">
        <v>6189</v>
      </c>
      <c r="Z46" s="1058" t="s">
        <v>208</v>
      </c>
      <c r="AA46" s="1058" t="s">
        <v>3518</v>
      </c>
      <c r="AB46" s="168" t="s">
        <v>3563</v>
      </c>
      <c r="AC46" s="2" t="s">
        <v>3564</v>
      </c>
      <c r="AK46" s="8" t="s">
        <v>3516</v>
      </c>
    </row>
    <row r="47" spans="1:37" x14ac:dyDescent="0.3">
      <c r="A47" s="985" t="str">
        <f t="shared" si="0"/>
        <v>Sezóna 19/20</v>
      </c>
      <c r="B47" s="2">
        <v>45</v>
      </c>
      <c r="C47" s="2">
        <v>30</v>
      </c>
      <c r="D47" s="4">
        <v>43880</v>
      </c>
      <c r="E47" s="2" t="s">
        <v>334</v>
      </c>
      <c r="F47" s="2" t="s">
        <v>17</v>
      </c>
      <c r="G47" s="1058" t="s">
        <v>6133</v>
      </c>
      <c r="H47" s="1058" t="s">
        <v>16</v>
      </c>
      <c r="I47" s="259">
        <v>5</v>
      </c>
      <c r="J47" s="259">
        <v>2</v>
      </c>
      <c r="K47" s="2">
        <v>5</v>
      </c>
      <c r="L47" s="2">
        <v>2</v>
      </c>
      <c r="M47" s="2">
        <v>12</v>
      </c>
      <c r="N47" s="2">
        <v>-15</v>
      </c>
      <c r="O47" s="2">
        <v>51</v>
      </c>
      <c r="P47" s="168">
        <v>1</v>
      </c>
      <c r="Q47" s="2">
        <v>0</v>
      </c>
      <c r="R47" s="2">
        <v>0</v>
      </c>
      <c r="S47" s="2">
        <v>0</v>
      </c>
      <c r="T47" s="2">
        <v>2</v>
      </c>
      <c r="U47" s="2">
        <v>2</v>
      </c>
      <c r="V47" s="242">
        <v>4578</v>
      </c>
      <c r="W47" s="1058" t="s">
        <v>6089</v>
      </c>
      <c r="X47" s="1058" t="s">
        <v>6194</v>
      </c>
      <c r="Y47" s="1058" t="s">
        <v>6120</v>
      </c>
      <c r="AA47" s="1058" t="s">
        <v>3519</v>
      </c>
      <c r="AB47" s="168" t="s">
        <v>3565</v>
      </c>
      <c r="AC47" s="2" t="s">
        <v>3566</v>
      </c>
      <c r="AD47" s="2" t="s">
        <v>3567</v>
      </c>
      <c r="AE47" s="2" t="s">
        <v>3568</v>
      </c>
      <c r="AF47" s="2" t="s">
        <v>3569</v>
      </c>
      <c r="AK47" s="8" t="s">
        <v>3520</v>
      </c>
    </row>
    <row r="48" spans="1:37" x14ac:dyDescent="0.3">
      <c r="A48" s="985" t="str">
        <f t="shared" si="0"/>
        <v>Sezóna 19/20</v>
      </c>
      <c r="B48" s="2">
        <v>46</v>
      </c>
      <c r="C48" s="2">
        <v>47</v>
      </c>
      <c r="D48" s="4">
        <v>43882</v>
      </c>
      <c r="E48" s="2" t="s">
        <v>1274</v>
      </c>
      <c r="F48" s="2" t="s">
        <v>16</v>
      </c>
      <c r="G48" s="1058" t="s">
        <v>162</v>
      </c>
      <c r="H48" s="1058" t="s">
        <v>793</v>
      </c>
      <c r="I48" s="259">
        <v>5</v>
      </c>
      <c r="J48" s="259">
        <v>4</v>
      </c>
      <c r="K48" s="2">
        <v>4</v>
      </c>
      <c r="L48" s="2">
        <v>4</v>
      </c>
      <c r="M48" s="2">
        <v>13</v>
      </c>
      <c r="N48" s="2">
        <v>-13</v>
      </c>
      <c r="O48" s="2">
        <v>53</v>
      </c>
      <c r="P48" s="168">
        <v>1</v>
      </c>
      <c r="Q48" s="2">
        <v>0</v>
      </c>
      <c r="R48" s="2">
        <v>0</v>
      </c>
      <c r="S48" s="2">
        <v>1</v>
      </c>
      <c r="T48" s="2">
        <v>4</v>
      </c>
      <c r="U48" s="2">
        <v>3</v>
      </c>
      <c r="V48" s="242">
        <v>5006</v>
      </c>
      <c r="W48" s="1058" t="s">
        <v>6102</v>
      </c>
      <c r="X48" s="1058" t="s">
        <v>6120</v>
      </c>
      <c r="Y48" s="1058" t="s">
        <v>6118</v>
      </c>
      <c r="Z48" s="1058" t="s">
        <v>3533</v>
      </c>
      <c r="AA48" s="1058" t="s">
        <v>3532</v>
      </c>
      <c r="AB48" s="168" t="s">
        <v>3570</v>
      </c>
      <c r="AC48" s="2" t="s">
        <v>3571</v>
      </c>
      <c r="AD48" s="2" t="s">
        <v>3572</v>
      </c>
      <c r="AE48" s="2" t="s">
        <v>3573</v>
      </c>
      <c r="AF48" s="2" t="s">
        <v>3574</v>
      </c>
      <c r="AK48" s="8" t="s">
        <v>3530</v>
      </c>
    </row>
    <row r="49" spans="1:37" ht="16.8" x14ac:dyDescent="0.4">
      <c r="A49" s="985" t="str">
        <f t="shared" si="0"/>
        <v>Sezóna 19/20</v>
      </c>
      <c r="B49" s="2">
        <v>47</v>
      </c>
      <c r="C49" s="2">
        <v>48</v>
      </c>
      <c r="D49" s="4">
        <v>43884</v>
      </c>
      <c r="E49" s="2" t="s">
        <v>6076</v>
      </c>
      <c r="F49" s="2" t="s">
        <v>17</v>
      </c>
      <c r="G49" s="1058" t="s">
        <v>6191</v>
      </c>
      <c r="H49" s="1058" t="s">
        <v>16</v>
      </c>
      <c r="I49" s="259">
        <v>6</v>
      </c>
      <c r="J49" s="259">
        <v>4</v>
      </c>
      <c r="K49" s="2">
        <v>6</v>
      </c>
      <c r="L49" s="2">
        <v>4</v>
      </c>
      <c r="M49" s="2">
        <v>12</v>
      </c>
      <c r="N49" s="2">
        <v>-13</v>
      </c>
      <c r="O49" s="2">
        <v>56</v>
      </c>
      <c r="P49" s="168">
        <v>1</v>
      </c>
      <c r="Q49" s="2">
        <v>0</v>
      </c>
      <c r="R49" s="2">
        <v>0</v>
      </c>
      <c r="S49" s="2">
        <v>1</v>
      </c>
      <c r="T49" s="2">
        <v>4</v>
      </c>
      <c r="U49" s="2">
        <v>1</v>
      </c>
      <c r="V49" s="242">
        <v>5695</v>
      </c>
      <c r="W49" s="1058" t="s">
        <v>6097</v>
      </c>
      <c r="X49" s="1058" t="s">
        <v>6089</v>
      </c>
      <c r="Y49" s="1058" t="s">
        <v>6113</v>
      </c>
      <c r="AA49" s="1058" t="s">
        <v>3534</v>
      </c>
      <c r="AB49" s="168" t="s">
        <v>3575</v>
      </c>
      <c r="AC49" s="2" t="s">
        <v>3576</v>
      </c>
      <c r="AD49" s="2" t="s">
        <v>3577</v>
      </c>
      <c r="AE49" s="2" t="s">
        <v>3578</v>
      </c>
      <c r="AF49" s="2" t="s">
        <v>3579</v>
      </c>
      <c r="AG49" s="2" t="s">
        <v>3580</v>
      </c>
      <c r="AK49" s="390" t="s">
        <v>3531</v>
      </c>
    </row>
    <row r="50" spans="1:37" x14ac:dyDescent="0.3">
      <c r="A50" s="985" t="str">
        <f t="shared" si="0"/>
        <v>Sezóna 19/20</v>
      </c>
      <c r="B50" s="2">
        <v>48</v>
      </c>
      <c r="C50" s="2">
        <v>34</v>
      </c>
      <c r="D50" s="4">
        <v>43886</v>
      </c>
      <c r="E50" s="2" t="s">
        <v>1274</v>
      </c>
      <c r="F50" s="2" t="s">
        <v>17</v>
      </c>
      <c r="G50" s="1058" t="s">
        <v>6146</v>
      </c>
      <c r="H50" s="1058" t="s">
        <v>743</v>
      </c>
      <c r="I50" s="259">
        <v>2</v>
      </c>
      <c r="J50" s="259">
        <v>3</v>
      </c>
      <c r="K50" s="2">
        <v>2</v>
      </c>
      <c r="L50" s="2">
        <v>3</v>
      </c>
      <c r="M50" s="2">
        <v>12</v>
      </c>
      <c r="N50" s="2">
        <v>-16</v>
      </c>
      <c r="O50" s="2">
        <v>56</v>
      </c>
      <c r="P50" s="168">
        <v>1</v>
      </c>
      <c r="Q50" s="2">
        <v>0</v>
      </c>
      <c r="R50" s="2">
        <v>0</v>
      </c>
      <c r="S50" s="2">
        <v>1</v>
      </c>
      <c r="T50" s="2">
        <v>4</v>
      </c>
      <c r="U50" s="2">
        <v>4</v>
      </c>
      <c r="V50" s="242">
        <v>3876</v>
      </c>
      <c r="W50" s="1058" t="s">
        <v>6120</v>
      </c>
      <c r="X50" s="1058" t="s">
        <v>6097</v>
      </c>
      <c r="Y50" s="1058" t="s">
        <v>6189</v>
      </c>
      <c r="AA50" s="1058" t="s">
        <v>3537</v>
      </c>
      <c r="AB50" s="168" t="s">
        <v>3581</v>
      </c>
      <c r="AC50" s="2" t="s">
        <v>3582</v>
      </c>
      <c r="AK50" s="8" t="s">
        <v>3536</v>
      </c>
    </row>
    <row r="51" spans="1:37" x14ac:dyDescent="0.3">
      <c r="A51" s="985" t="str">
        <f t="shared" si="0"/>
        <v>Sezóna 19/20</v>
      </c>
      <c r="B51" s="2">
        <v>49</v>
      </c>
      <c r="C51" s="2">
        <v>49</v>
      </c>
      <c r="D51" s="4">
        <v>43889</v>
      </c>
      <c r="E51" s="2" t="s">
        <v>326</v>
      </c>
      <c r="F51" s="2" t="s">
        <v>16</v>
      </c>
      <c r="G51" s="1058" t="s">
        <v>163</v>
      </c>
      <c r="H51" s="1058" t="s">
        <v>794</v>
      </c>
      <c r="I51" s="259">
        <v>3</v>
      </c>
      <c r="J51" s="259">
        <v>4</v>
      </c>
      <c r="K51" s="2">
        <v>3</v>
      </c>
      <c r="L51" s="2">
        <v>3</v>
      </c>
      <c r="M51" s="2">
        <v>12</v>
      </c>
      <c r="N51" s="2">
        <v>-15</v>
      </c>
      <c r="O51" s="2">
        <v>57</v>
      </c>
      <c r="P51" s="168">
        <v>1</v>
      </c>
      <c r="Q51" s="2">
        <v>0</v>
      </c>
      <c r="R51" s="2">
        <v>0</v>
      </c>
      <c r="S51" s="2">
        <v>2</v>
      </c>
      <c r="T51" s="2">
        <v>2</v>
      </c>
      <c r="U51" s="2">
        <v>4</v>
      </c>
      <c r="V51" s="242">
        <v>4647</v>
      </c>
      <c r="W51" s="1058" t="s">
        <v>6120</v>
      </c>
      <c r="X51" s="1058" t="s">
        <v>6079</v>
      </c>
      <c r="Y51" s="1058" t="s">
        <v>6089</v>
      </c>
      <c r="Z51" s="1058" t="s">
        <v>3213</v>
      </c>
      <c r="AA51" s="1058" t="s">
        <v>3595</v>
      </c>
      <c r="AB51" s="168" t="s">
        <v>3596</v>
      </c>
      <c r="AC51" s="2" t="s">
        <v>3597</v>
      </c>
      <c r="AD51" s="2" t="s">
        <v>3598</v>
      </c>
      <c r="AK51" s="8" t="s">
        <v>3593</v>
      </c>
    </row>
    <row r="52" spans="1:37" x14ac:dyDescent="0.3">
      <c r="A52" s="985" t="str">
        <f t="shared" si="0"/>
        <v>Sezóna 19/20</v>
      </c>
      <c r="B52" s="2">
        <v>50</v>
      </c>
      <c r="C52" s="2">
        <v>50</v>
      </c>
      <c r="D52" s="4">
        <v>43891</v>
      </c>
      <c r="E52" s="2" t="s">
        <v>328</v>
      </c>
      <c r="F52" s="2" t="s">
        <v>17</v>
      </c>
      <c r="G52" s="1058" t="s">
        <v>6202</v>
      </c>
      <c r="H52" s="1058" t="s">
        <v>16</v>
      </c>
      <c r="I52" s="259">
        <v>4</v>
      </c>
      <c r="J52" s="259">
        <v>0</v>
      </c>
      <c r="K52" s="2">
        <v>4</v>
      </c>
      <c r="L52" s="2">
        <v>0</v>
      </c>
      <c r="M52" s="2">
        <v>11</v>
      </c>
      <c r="N52" s="2">
        <v>-15</v>
      </c>
      <c r="O52" s="2">
        <v>60</v>
      </c>
      <c r="P52" s="168">
        <v>0</v>
      </c>
      <c r="Q52" s="2">
        <v>0</v>
      </c>
      <c r="R52" s="2">
        <v>0</v>
      </c>
      <c r="S52" s="2">
        <v>0</v>
      </c>
      <c r="T52" s="2">
        <v>4</v>
      </c>
      <c r="U52" s="2">
        <v>3</v>
      </c>
      <c r="V52" s="242">
        <v>5756</v>
      </c>
      <c r="W52" s="1058" t="s">
        <v>6188</v>
      </c>
      <c r="X52" s="1058" t="s">
        <v>6089</v>
      </c>
      <c r="Y52" s="1058" t="s">
        <v>6089</v>
      </c>
      <c r="AA52" s="1058" t="s">
        <v>6202</v>
      </c>
      <c r="AB52" s="168" t="s">
        <v>3657</v>
      </c>
      <c r="AC52" s="2" t="s">
        <v>3658</v>
      </c>
      <c r="AD52" s="2" t="s">
        <v>3659</v>
      </c>
      <c r="AE52" s="2" t="s">
        <v>3660</v>
      </c>
      <c r="AK52" s="8" t="s">
        <v>3594</v>
      </c>
    </row>
    <row r="53" spans="1:37" x14ac:dyDescent="0.3">
      <c r="A53" s="985" t="str">
        <f t="shared" si="0"/>
        <v>Sezóna 19/20</v>
      </c>
      <c r="B53" s="2">
        <v>51</v>
      </c>
      <c r="C53" s="2">
        <v>51</v>
      </c>
      <c r="D53" s="4">
        <v>43893</v>
      </c>
      <c r="E53" s="2" t="s">
        <v>626</v>
      </c>
      <c r="F53" s="2" t="s">
        <v>16</v>
      </c>
      <c r="G53" s="1058" t="s">
        <v>6102</v>
      </c>
      <c r="H53" s="1058" t="s">
        <v>743</v>
      </c>
      <c r="I53" s="259">
        <v>1</v>
      </c>
      <c r="J53" s="259">
        <v>3</v>
      </c>
      <c r="K53" s="2">
        <v>1</v>
      </c>
      <c r="L53" s="2">
        <v>3</v>
      </c>
      <c r="M53" s="2">
        <v>13</v>
      </c>
      <c r="N53" s="2">
        <v>-15</v>
      </c>
      <c r="O53" s="2">
        <v>60</v>
      </c>
      <c r="P53" s="168">
        <v>0</v>
      </c>
      <c r="Q53" s="2">
        <v>0</v>
      </c>
      <c r="R53" s="2">
        <v>0</v>
      </c>
      <c r="S53" s="2">
        <v>0</v>
      </c>
      <c r="T53" s="2">
        <v>3</v>
      </c>
      <c r="U53" s="2">
        <v>2</v>
      </c>
      <c r="V53" s="242">
        <v>3752</v>
      </c>
      <c r="W53" s="1058" t="s">
        <v>6120</v>
      </c>
      <c r="X53" s="1058" t="s">
        <v>6189</v>
      </c>
      <c r="Y53" s="1058" t="s">
        <v>6171</v>
      </c>
      <c r="AA53" s="1058" t="s">
        <v>3601</v>
      </c>
      <c r="AB53" s="168" t="s">
        <v>3600</v>
      </c>
      <c r="AK53" s="8" t="s">
        <v>3602</v>
      </c>
    </row>
    <row r="54" spans="1:37" s="191" customFormat="1" x14ac:dyDescent="0.3">
      <c r="A54" s="985" t="str">
        <f t="shared" si="0"/>
        <v>Sezóna 19/20</v>
      </c>
      <c r="B54" s="170">
        <v>52</v>
      </c>
      <c r="C54" s="170">
        <v>52</v>
      </c>
      <c r="D54" s="4">
        <v>43896</v>
      </c>
      <c r="E54" s="170" t="s">
        <v>332</v>
      </c>
      <c r="F54" s="170" t="s">
        <v>17</v>
      </c>
      <c r="G54" s="1059" t="s">
        <v>6137</v>
      </c>
      <c r="H54" s="1059" t="s">
        <v>16</v>
      </c>
      <c r="I54" s="1091">
        <v>6</v>
      </c>
      <c r="J54" s="1091">
        <v>2</v>
      </c>
      <c r="K54" s="170">
        <v>6</v>
      </c>
      <c r="L54" s="170">
        <v>2</v>
      </c>
      <c r="M54" s="269">
        <v>12</v>
      </c>
      <c r="N54" s="269">
        <v>-15</v>
      </c>
      <c r="O54" s="269">
        <v>63</v>
      </c>
      <c r="P54" s="169">
        <v>2</v>
      </c>
      <c r="Q54" s="170">
        <v>0</v>
      </c>
      <c r="R54" s="170">
        <v>0</v>
      </c>
      <c r="S54" s="170">
        <v>1</v>
      </c>
      <c r="T54" s="170">
        <v>4</v>
      </c>
      <c r="U54" s="170">
        <v>3</v>
      </c>
      <c r="V54" s="171">
        <v>6011</v>
      </c>
      <c r="W54" s="1059" t="s">
        <v>6187</v>
      </c>
      <c r="X54" s="1059" t="s">
        <v>6118</v>
      </c>
      <c r="Y54" s="1059" t="s">
        <v>6110</v>
      </c>
      <c r="Z54" s="1059"/>
      <c r="AA54" s="1059" t="s">
        <v>3605</v>
      </c>
      <c r="AB54" s="169" t="s">
        <v>3651</v>
      </c>
      <c r="AC54" s="170" t="s">
        <v>3652</v>
      </c>
      <c r="AD54" s="170" t="s">
        <v>3653</v>
      </c>
      <c r="AE54" s="170" t="s">
        <v>3654</v>
      </c>
      <c r="AF54" s="170" t="s">
        <v>3655</v>
      </c>
      <c r="AG54" s="170" t="s">
        <v>3656</v>
      </c>
      <c r="AH54" s="170"/>
      <c r="AI54" s="171"/>
      <c r="AJ54" s="170"/>
      <c r="AK54" s="191" t="s">
        <v>3604</v>
      </c>
    </row>
    <row r="55" spans="1:37" x14ac:dyDescent="0.3">
      <c r="A55" s="1087" t="s">
        <v>817</v>
      </c>
      <c r="B55" s="2"/>
      <c r="G55" s="2"/>
      <c r="H55" s="2"/>
      <c r="K55" s="2"/>
      <c r="L55" s="2"/>
      <c r="W55" s="2" t="s">
        <v>6323</v>
      </c>
      <c r="X55" s="2" t="s">
        <v>6324</v>
      </c>
      <c r="Y55" s="2" t="s">
        <v>6325</v>
      </c>
      <c r="Z55" s="2" t="s">
        <v>6326</v>
      </c>
      <c r="AA55" s="2"/>
      <c r="AK55" s="8">
        <f>SUBTOTAL(103,Zapasy20192020[Sestava])</f>
        <v>52</v>
      </c>
    </row>
    <row r="56" spans="1:37" x14ac:dyDescent="0.3">
      <c r="M56" s="60"/>
      <c r="N56" s="60"/>
      <c r="O56" s="60"/>
    </row>
    <row r="57" spans="1:37" s="168" customFormat="1" x14ac:dyDescent="0.3">
      <c r="A57"/>
      <c r="B57"/>
      <c r="C57" s="2"/>
      <c r="D57" s="2"/>
      <c r="E57" s="2"/>
      <c r="F57" s="2"/>
      <c r="G57" s="1058"/>
      <c r="H57" s="1058"/>
      <c r="I57" s="259"/>
      <c r="J57" s="259"/>
      <c r="K57" s="1058"/>
      <c r="L57" s="1058"/>
      <c r="M57" s="60"/>
      <c r="N57" s="60"/>
      <c r="O57" s="60"/>
      <c r="Q57" s="2"/>
      <c r="R57" s="2"/>
      <c r="S57" s="2"/>
      <c r="T57" s="2"/>
      <c r="U57" s="2"/>
      <c r="V57" s="242"/>
      <c r="W57" s="1058"/>
      <c r="X57" s="1058"/>
      <c r="Y57" s="1058"/>
      <c r="Z57" s="1058"/>
      <c r="AA57" s="1061"/>
      <c r="AC57" s="2"/>
      <c r="AD57" s="2"/>
      <c r="AE57" s="2"/>
      <c r="AF57" s="2"/>
      <c r="AG57" s="2"/>
      <c r="AH57" s="2"/>
      <c r="AI57" s="242"/>
      <c r="AJ57" s="2"/>
      <c r="AK57"/>
    </row>
    <row r="58" spans="1:37" s="168" customFormat="1" x14ac:dyDescent="0.3">
      <c r="A58"/>
      <c r="B58"/>
      <c r="C58" s="2"/>
      <c r="D58" s="2"/>
      <c r="E58" s="2"/>
      <c r="F58" s="2"/>
      <c r="G58" s="1058"/>
      <c r="H58" s="1058"/>
      <c r="I58" s="259"/>
      <c r="J58" s="259"/>
      <c r="K58" s="1058"/>
      <c r="L58" s="1058"/>
      <c r="M58" s="60"/>
      <c r="N58" s="60"/>
      <c r="O58" s="60"/>
      <c r="Q58" s="2"/>
      <c r="R58" s="2"/>
      <c r="S58" s="2"/>
      <c r="T58" s="2"/>
      <c r="U58" s="2"/>
      <c r="V58" s="242"/>
      <c r="W58" s="1058"/>
      <c r="X58" s="1058"/>
      <c r="Y58" s="1058"/>
      <c r="Z58" s="1058"/>
      <c r="AA58" s="1061"/>
      <c r="AC58" s="2"/>
      <c r="AD58" s="2"/>
      <c r="AE58" s="2"/>
      <c r="AF58" s="2"/>
      <c r="AG58" s="2"/>
      <c r="AH58" s="2"/>
      <c r="AI58" s="242"/>
      <c r="AJ58" s="2"/>
      <c r="AK58" s="2"/>
    </row>
    <row r="59" spans="1:37" x14ac:dyDescent="0.3">
      <c r="M59" s="60"/>
      <c r="N59" s="60"/>
      <c r="O59" s="60"/>
      <c r="AK59" s="2"/>
    </row>
    <row r="60" spans="1:37" s="168" customFormat="1" x14ac:dyDescent="0.3">
      <c r="A60"/>
      <c r="B60"/>
      <c r="C60" s="2"/>
      <c r="D60" s="2"/>
      <c r="E60" s="2"/>
      <c r="F60" s="2"/>
      <c r="G60" s="1058"/>
      <c r="H60" s="1058"/>
      <c r="I60" s="259"/>
      <c r="J60" s="259"/>
      <c r="K60" s="1058"/>
      <c r="L60" s="1058"/>
      <c r="M60" s="2"/>
      <c r="N60" s="2"/>
      <c r="O60" s="2"/>
      <c r="Q60" s="2"/>
      <c r="R60" s="2"/>
      <c r="S60" s="2"/>
      <c r="T60" s="2"/>
      <c r="U60" s="2"/>
      <c r="V60" s="242"/>
      <c r="W60" s="1058"/>
      <c r="X60" s="1058"/>
      <c r="Y60" s="1058"/>
      <c r="Z60" s="1058"/>
      <c r="AA60" s="1061"/>
      <c r="AC60" s="2"/>
      <c r="AD60" s="2"/>
      <c r="AE60" s="2"/>
      <c r="AF60" s="2"/>
      <c r="AG60" s="2"/>
      <c r="AH60" s="2"/>
      <c r="AI60" s="242"/>
      <c r="AJ60" s="2"/>
      <c r="AK60"/>
    </row>
    <row r="61" spans="1:37" s="168" customFormat="1" x14ac:dyDescent="0.3">
      <c r="A61"/>
      <c r="B61"/>
      <c r="C61" s="2"/>
      <c r="D61" s="2"/>
      <c r="E61" s="2"/>
      <c r="F61" s="2"/>
      <c r="G61" s="1058"/>
      <c r="H61" s="1058"/>
      <c r="I61" s="259"/>
      <c r="J61" s="259"/>
      <c r="K61" s="1058"/>
      <c r="L61" s="1058"/>
      <c r="M61" s="60"/>
      <c r="N61" s="60"/>
      <c r="O61" s="60"/>
      <c r="Q61" s="2"/>
      <c r="R61" s="2"/>
      <c r="S61" s="2"/>
      <c r="T61" s="2"/>
      <c r="U61" s="2"/>
      <c r="V61" s="242"/>
      <c r="W61" s="1058"/>
      <c r="X61" s="1058"/>
      <c r="Y61" s="1058"/>
      <c r="Z61" s="1058"/>
      <c r="AA61" s="1061"/>
      <c r="AC61" s="2"/>
      <c r="AD61" s="2"/>
      <c r="AE61" s="2"/>
      <c r="AF61" s="2"/>
      <c r="AG61" s="2"/>
      <c r="AH61" s="2"/>
      <c r="AI61" s="242"/>
      <c r="AJ61" s="2"/>
      <c r="AK61" s="2"/>
    </row>
    <row r="62" spans="1:37" s="168" customFormat="1" x14ac:dyDescent="0.3">
      <c r="A62"/>
      <c r="B62"/>
      <c r="C62" s="2"/>
      <c r="D62" s="2"/>
      <c r="E62" s="2"/>
      <c r="F62" s="2"/>
      <c r="G62" s="1058"/>
      <c r="H62" s="1058"/>
      <c r="I62" s="259"/>
      <c r="J62" s="259"/>
      <c r="K62" s="1058"/>
      <c r="L62" s="1058"/>
      <c r="M62" s="60"/>
      <c r="N62" s="60"/>
      <c r="O62" s="60"/>
      <c r="Q62" s="2"/>
      <c r="R62" s="2"/>
      <c r="S62" s="2"/>
      <c r="T62" s="2"/>
      <c r="U62" s="2"/>
      <c r="V62" s="242"/>
      <c r="W62" s="1058"/>
      <c r="X62" s="1058"/>
      <c r="Y62" s="1058"/>
      <c r="Z62" s="1058"/>
      <c r="AA62" s="1061"/>
      <c r="AC62" s="2"/>
      <c r="AD62" s="2"/>
      <c r="AE62" s="2"/>
      <c r="AF62" s="2"/>
      <c r="AG62" s="2"/>
      <c r="AH62" s="2"/>
      <c r="AI62" s="242"/>
      <c r="AJ62" s="2"/>
      <c r="AK62" s="2"/>
    </row>
    <row r="63" spans="1:37" x14ac:dyDescent="0.3">
      <c r="M63" s="60"/>
      <c r="N63" s="60"/>
      <c r="O63" s="60"/>
      <c r="AK63" s="2"/>
    </row>
    <row r="64" spans="1:37" s="168" customFormat="1" x14ac:dyDescent="0.3">
      <c r="A64"/>
      <c r="B64"/>
      <c r="C64" s="2"/>
      <c r="D64" s="2"/>
      <c r="E64" s="2"/>
      <c r="F64" s="2"/>
      <c r="G64" s="1058"/>
      <c r="H64" s="1058"/>
      <c r="I64" s="259"/>
      <c r="J64" s="259"/>
      <c r="K64" s="1058"/>
      <c r="L64" s="1058"/>
      <c r="M64" s="2"/>
      <c r="N64" s="2"/>
      <c r="O64" s="2"/>
      <c r="Q64" s="2"/>
      <c r="R64" s="2"/>
      <c r="S64" s="2"/>
      <c r="T64" s="2"/>
      <c r="U64" s="2"/>
      <c r="V64" s="242"/>
      <c r="W64" s="1058"/>
      <c r="X64" s="1058"/>
      <c r="Y64" s="1058"/>
      <c r="Z64" s="1058"/>
      <c r="AA64" s="1061"/>
      <c r="AC64" s="2"/>
      <c r="AD64" s="2"/>
      <c r="AE64" s="2"/>
      <c r="AF64" s="2"/>
      <c r="AG64" s="2"/>
      <c r="AH64" s="2"/>
      <c r="AI64" s="242"/>
      <c r="AJ64" s="2"/>
      <c r="AK64"/>
    </row>
    <row r="65" spans="1:37" x14ac:dyDescent="0.3">
      <c r="M65" s="60"/>
      <c r="N65" s="60"/>
      <c r="O65" s="60"/>
      <c r="AK65" s="2"/>
    </row>
    <row r="66" spans="1:37" s="168" customFormat="1" x14ac:dyDescent="0.3">
      <c r="A66"/>
      <c r="B66"/>
      <c r="C66" s="2"/>
      <c r="D66" s="2"/>
      <c r="E66" s="2"/>
      <c r="F66" s="2"/>
      <c r="G66" s="1058"/>
      <c r="H66" s="1058"/>
      <c r="I66" s="259"/>
      <c r="J66" s="259"/>
      <c r="K66" s="1058"/>
      <c r="L66" s="1058"/>
      <c r="M66" s="2"/>
      <c r="N66" s="2"/>
      <c r="O66" s="2"/>
      <c r="Q66" s="2"/>
      <c r="R66" s="2"/>
      <c r="S66" s="2"/>
      <c r="T66" s="2"/>
      <c r="U66" s="2"/>
      <c r="V66" s="242"/>
      <c r="W66" s="1058"/>
      <c r="X66" s="1058"/>
      <c r="Y66" s="1058"/>
      <c r="Z66" s="1058"/>
      <c r="AA66" s="1061"/>
      <c r="AC66" s="2"/>
      <c r="AD66" s="2"/>
      <c r="AE66" s="2"/>
      <c r="AF66" s="2"/>
      <c r="AG66" s="2"/>
      <c r="AH66" s="2"/>
      <c r="AI66" s="242"/>
      <c r="AJ66" s="2"/>
      <c r="AK66"/>
    </row>
    <row r="67" spans="1:37" x14ac:dyDescent="0.3">
      <c r="M67" s="60"/>
      <c r="N67" s="60"/>
      <c r="O67" s="60"/>
      <c r="AK67" s="2"/>
    </row>
    <row r="102" spans="1:1" ht="15" thickBot="1" x14ac:dyDescent="0.35">
      <c r="A102" s="201"/>
    </row>
    <row r="103" spans="1:1" x14ac:dyDescent="0.3">
      <c r="A103" s="204" t="s">
        <v>792</v>
      </c>
    </row>
    <row r="104" spans="1:1" x14ac:dyDescent="0.3">
      <c r="A104" s="198" t="s">
        <v>797</v>
      </c>
    </row>
    <row r="105" spans="1:1" ht="15" thickBot="1" x14ac:dyDescent="0.35">
      <c r="A105" s="199" t="s">
        <v>798</v>
      </c>
    </row>
    <row r="106" spans="1:1" x14ac:dyDescent="0.3">
      <c r="A106" s="594" t="s">
        <v>799</v>
      </c>
    </row>
    <row r="107" spans="1:1" x14ac:dyDescent="0.3">
      <c r="A107" s="198" t="s">
        <v>797</v>
      </c>
    </row>
    <row r="108" spans="1:1" ht="15" thickBot="1" x14ac:dyDescent="0.35">
      <c r="A108" s="199" t="s">
        <v>798</v>
      </c>
    </row>
    <row r="109" spans="1:1" x14ac:dyDescent="0.3">
      <c r="A109" s="594" t="s">
        <v>800</v>
      </c>
    </row>
    <row r="110" spans="1:1" x14ac:dyDescent="0.3">
      <c r="A110" s="198" t="s">
        <v>797</v>
      </c>
    </row>
    <row r="111" spans="1:1" ht="15" thickBot="1" x14ac:dyDescent="0.35">
      <c r="A111" s="199" t="s">
        <v>798</v>
      </c>
    </row>
    <row r="112" spans="1:1" x14ac:dyDescent="0.3">
      <c r="A112" s="204" t="s">
        <v>801</v>
      </c>
    </row>
    <row r="113" spans="1:1" x14ac:dyDescent="0.3">
      <c r="A113" s="198" t="s">
        <v>797</v>
      </c>
    </row>
    <row r="114" spans="1:1" ht="15" thickBot="1" x14ac:dyDescent="0.35">
      <c r="A114" s="592" t="s">
        <v>798</v>
      </c>
    </row>
    <row r="115" spans="1:1" x14ac:dyDescent="0.3">
      <c r="A115" s="220" t="s">
        <v>804</v>
      </c>
    </row>
    <row r="116" spans="1:1" x14ac:dyDescent="0.3">
      <c r="A116" s="223" t="s">
        <v>797</v>
      </c>
    </row>
    <row r="117" spans="1:1" ht="15" thickBot="1" x14ac:dyDescent="0.35">
      <c r="A117" s="226" t="s">
        <v>798</v>
      </c>
    </row>
  </sheetData>
  <mergeCells count="5">
    <mergeCell ref="AB1:AI1"/>
    <mergeCell ref="P1:Q1"/>
    <mergeCell ref="R1:S1"/>
    <mergeCell ref="T1:V1"/>
    <mergeCell ref="W1:AA1"/>
  </mergeCells>
  <phoneticPr fontId="79" type="noConversion"/>
  <conditionalFormatting sqref="F3:F54 D54 F56:F202">
    <cfRule type="cellIs" dxfId="229" priority="1" operator="equal">
      <formula>"D"</formula>
    </cfRule>
  </conditionalFormatting>
  <pageMargins left="0.7" right="0.7" top="0.78740157499999996" bottom="0.78740157499999996"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59"/>
  <sheetViews>
    <sheetView workbookViewId="0">
      <pane xSplit="1" ySplit="5" topLeftCell="B6" activePane="bottomRight" state="frozen"/>
      <selection activeCell="L12" sqref="L12"/>
      <selection pane="topRight" activeCell="L12" sqref="L12"/>
      <selection pane="bottomLeft" activeCell="L12" sqref="L12"/>
      <selection pane="bottomRight" activeCell="L12" sqref="L12"/>
    </sheetView>
  </sheetViews>
  <sheetFormatPr defaultColWidth="9.109375" defaultRowHeight="14.4" x14ac:dyDescent="0.3"/>
  <cols>
    <col min="1" max="1" width="20.5546875" style="2" customWidth="1"/>
    <col min="2" max="2" width="14.109375" style="2" customWidth="1"/>
    <col min="3" max="3" width="12.88671875" style="2" customWidth="1"/>
    <col min="4" max="4" width="18.109375" style="2" customWidth="1"/>
    <col min="5" max="5" width="12.5546875" style="2" customWidth="1"/>
    <col min="6" max="6" width="17.5546875" style="2" customWidth="1"/>
    <col min="7" max="7" width="12.109375" style="2" customWidth="1"/>
    <col min="8" max="8" width="14" style="2" customWidth="1"/>
    <col min="9" max="9" width="15.88671875" style="2" customWidth="1"/>
    <col min="10" max="10" width="12.109375" style="2" customWidth="1"/>
    <col min="11" max="11" width="13.109375" style="2" customWidth="1"/>
    <col min="12" max="12" width="18.109375" style="2" customWidth="1"/>
    <col min="13" max="14" width="13.6640625" style="2" customWidth="1"/>
    <col min="15" max="15" width="18.44140625" style="2" customWidth="1"/>
    <col min="16" max="16" width="11.44140625" style="2" customWidth="1"/>
    <col min="17" max="16384" width="9.109375" style="2"/>
  </cols>
  <sheetData>
    <row r="1" spans="1:20" s="24" customFormat="1" x14ac:dyDescent="0.3">
      <c r="Q1" s="26"/>
      <c r="R1" s="26"/>
      <c r="S1" s="26"/>
      <c r="T1" s="26"/>
    </row>
    <row r="2" spans="1:20" s="409" customFormat="1" ht="23.4" x14ac:dyDescent="0.3">
      <c r="C2" s="409" t="s">
        <v>151</v>
      </c>
      <c r="D2" s="409" t="s">
        <v>152</v>
      </c>
      <c r="F2" s="409" t="s">
        <v>2927</v>
      </c>
    </row>
    <row r="3" spans="1:20" s="24" customFormat="1" x14ac:dyDescent="0.3"/>
    <row r="5" spans="1:20" s="24" customFormat="1" x14ac:dyDescent="0.3">
      <c r="A5" s="418" t="s">
        <v>141</v>
      </c>
      <c r="B5" s="418" t="s">
        <v>140</v>
      </c>
      <c r="C5" s="419" t="s">
        <v>3631</v>
      </c>
      <c r="D5" s="419" t="s">
        <v>1164</v>
      </c>
      <c r="E5" s="419" t="s">
        <v>147</v>
      </c>
      <c r="F5" s="419" t="s">
        <v>148</v>
      </c>
      <c r="G5" s="419" t="s">
        <v>149</v>
      </c>
      <c r="H5" s="419" t="s">
        <v>150</v>
      </c>
      <c r="I5" s="419" t="s">
        <v>1182</v>
      </c>
      <c r="J5" s="419" t="s">
        <v>1228</v>
      </c>
      <c r="K5" s="419" t="s">
        <v>1229</v>
      </c>
      <c r="L5" s="419" t="s">
        <v>156</v>
      </c>
      <c r="M5" s="419" t="s">
        <v>218</v>
      </c>
      <c r="N5" s="419" t="s">
        <v>3633</v>
      </c>
      <c r="O5" s="419" t="s">
        <v>155</v>
      </c>
      <c r="P5" s="420" t="s">
        <v>138</v>
      </c>
      <c r="Q5" s="420" t="s">
        <v>126</v>
      </c>
      <c r="R5" s="420" t="s">
        <v>132</v>
      </c>
      <c r="S5" s="420" t="s">
        <v>130</v>
      </c>
      <c r="T5" s="420" t="s">
        <v>129</v>
      </c>
    </row>
    <row r="6" spans="1:20" ht="28.8" x14ac:dyDescent="0.3">
      <c r="A6" s="410" t="s">
        <v>3617</v>
      </c>
      <c r="B6" s="411" t="s">
        <v>80</v>
      </c>
      <c r="C6" s="412" t="s">
        <v>79</v>
      </c>
      <c r="D6" s="412">
        <v>12</v>
      </c>
      <c r="E6" s="412">
        <v>8</v>
      </c>
      <c r="F6" s="412">
        <v>9</v>
      </c>
      <c r="G6" s="413">
        <v>17</v>
      </c>
      <c r="H6" s="414">
        <v>1.4166666666666667</v>
      </c>
      <c r="I6" s="412">
        <v>11</v>
      </c>
      <c r="J6" s="412">
        <v>17</v>
      </c>
      <c r="K6" s="412">
        <v>6</v>
      </c>
      <c r="L6" s="414">
        <v>0.91666666666666663</v>
      </c>
      <c r="M6" s="412">
        <v>38</v>
      </c>
      <c r="N6" s="415">
        <v>3.1666666666666665</v>
      </c>
      <c r="O6" s="412">
        <v>16</v>
      </c>
      <c r="P6" s="422">
        <v>7.9701388888888891</v>
      </c>
      <c r="Q6" s="416">
        <v>0.66388888888888886</v>
      </c>
      <c r="R6" s="412">
        <v>1</v>
      </c>
      <c r="S6" s="412">
        <v>0</v>
      </c>
      <c r="T6" s="412">
        <v>0</v>
      </c>
    </row>
    <row r="7" spans="1:20" ht="28.8" x14ac:dyDescent="0.3">
      <c r="A7" s="410" t="s">
        <v>3615</v>
      </c>
      <c r="B7" s="411" t="s">
        <v>80</v>
      </c>
      <c r="C7" s="412" t="s">
        <v>79</v>
      </c>
      <c r="D7" s="412">
        <v>29</v>
      </c>
      <c r="E7" s="412">
        <v>9</v>
      </c>
      <c r="F7" s="412">
        <v>13</v>
      </c>
      <c r="G7" s="413">
        <v>22</v>
      </c>
      <c r="H7" s="414">
        <v>0.75862068965517238</v>
      </c>
      <c r="I7" s="412">
        <v>-7</v>
      </c>
      <c r="J7" s="412">
        <v>20</v>
      </c>
      <c r="K7" s="412">
        <v>27</v>
      </c>
      <c r="L7" s="414">
        <v>-0.2413793103448276</v>
      </c>
      <c r="M7" s="412">
        <v>85</v>
      </c>
      <c r="N7" s="415">
        <v>2.9310344827586206</v>
      </c>
      <c r="O7" s="412">
        <v>24</v>
      </c>
      <c r="P7" s="422">
        <v>22.442361111111111</v>
      </c>
      <c r="Q7" s="416">
        <v>0.77361111111111114</v>
      </c>
      <c r="R7" s="412">
        <v>5</v>
      </c>
      <c r="S7" s="412">
        <v>1</v>
      </c>
      <c r="T7" s="412">
        <v>0</v>
      </c>
    </row>
    <row r="8" spans="1:20" ht="28.8" x14ac:dyDescent="0.3">
      <c r="A8" s="410" t="s">
        <v>869</v>
      </c>
      <c r="B8" s="411" t="s">
        <v>80</v>
      </c>
      <c r="C8" s="412" t="s">
        <v>79</v>
      </c>
      <c r="D8" s="412">
        <v>43</v>
      </c>
      <c r="E8" s="412">
        <v>9</v>
      </c>
      <c r="F8" s="412">
        <v>23</v>
      </c>
      <c r="G8" s="413">
        <v>32</v>
      </c>
      <c r="H8" s="414">
        <v>0.7441860465116279</v>
      </c>
      <c r="I8" s="412">
        <v>9</v>
      </c>
      <c r="J8" s="412">
        <v>36</v>
      </c>
      <c r="K8" s="412">
        <v>27</v>
      </c>
      <c r="L8" s="414">
        <v>0.20930232558139536</v>
      </c>
      <c r="M8" s="412">
        <v>116</v>
      </c>
      <c r="N8" s="415">
        <v>2.6976744186046511</v>
      </c>
      <c r="O8" s="412">
        <v>14</v>
      </c>
      <c r="P8" s="422">
        <v>29.862500000000001</v>
      </c>
      <c r="Q8" s="416">
        <v>0.69444444444444453</v>
      </c>
      <c r="R8" s="412">
        <v>2</v>
      </c>
      <c r="S8" s="412">
        <v>1</v>
      </c>
      <c r="T8" s="412">
        <v>2</v>
      </c>
    </row>
    <row r="9" spans="1:20" ht="28.8" x14ac:dyDescent="0.3">
      <c r="A9" s="410" t="s">
        <v>3614</v>
      </c>
      <c r="B9" s="411" t="s">
        <v>80</v>
      </c>
      <c r="C9" s="412" t="s">
        <v>79</v>
      </c>
      <c r="D9" s="412">
        <v>52</v>
      </c>
      <c r="E9" s="412">
        <v>22</v>
      </c>
      <c r="F9" s="412">
        <v>16</v>
      </c>
      <c r="G9" s="413">
        <v>38</v>
      </c>
      <c r="H9" s="414">
        <v>0.73076923076923073</v>
      </c>
      <c r="I9" s="412">
        <v>0</v>
      </c>
      <c r="J9" s="412">
        <v>41</v>
      </c>
      <c r="K9" s="412">
        <v>41</v>
      </c>
      <c r="L9" s="414">
        <v>0</v>
      </c>
      <c r="M9" s="412">
        <v>150</v>
      </c>
      <c r="N9" s="415">
        <v>2.8846153846153846</v>
      </c>
      <c r="O9" s="412">
        <v>51</v>
      </c>
      <c r="P9" s="422">
        <v>37.50138888888889</v>
      </c>
      <c r="Q9" s="416">
        <v>0.72083333333333333</v>
      </c>
      <c r="R9" s="412">
        <v>6</v>
      </c>
      <c r="S9" s="412">
        <v>0</v>
      </c>
      <c r="T9" s="412">
        <v>3</v>
      </c>
    </row>
    <row r="10" spans="1:20" ht="28.8" x14ac:dyDescent="0.3">
      <c r="A10" s="410" t="s">
        <v>122</v>
      </c>
      <c r="B10" s="411" t="s">
        <v>80</v>
      </c>
      <c r="C10" s="412" t="s">
        <v>79</v>
      </c>
      <c r="D10" s="412">
        <v>52</v>
      </c>
      <c r="E10" s="412">
        <v>19</v>
      </c>
      <c r="F10" s="412">
        <v>18</v>
      </c>
      <c r="G10" s="413">
        <v>37</v>
      </c>
      <c r="H10" s="414">
        <v>0.71153846153846156</v>
      </c>
      <c r="I10" s="412">
        <v>13</v>
      </c>
      <c r="J10" s="412">
        <v>44</v>
      </c>
      <c r="K10" s="412">
        <v>31</v>
      </c>
      <c r="L10" s="414">
        <v>0.25</v>
      </c>
      <c r="M10" s="412">
        <v>158</v>
      </c>
      <c r="N10" s="415">
        <v>3.0384615384615383</v>
      </c>
      <c r="O10" s="412">
        <v>32</v>
      </c>
      <c r="P10" s="422">
        <v>38.093055555555559</v>
      </c>
      <c r="Q10" s="416">
        <v>0.7319444444444444</v>
      </c>
      <c r="R10" s="412">
        <v>3</v>
      </c>
      <c r="S10" s="412">
        <v>0</v>
      </c>
      <c r="T10" s="412">
        <v>5</v>
      </c>
    </row>
    <row r="11" spans="1:20" ht="28.8" x14ac:dyDescent="0.3">
      <c r="A11" s="410" t="s">
        <v>3616</v>
      </c>
      <c r="B11" s="411" t="s">
        <v>80</v>
      </c>
      <c r="C11" s="412" t="s">
        <v>88</v>
      </c>
      <c r="D11" s="412">
        <v>29</v>
      </c>
      <c r="E11" s="412">
        <v>5</v>
      </c>
      <c r="F11" s="412">
        <v>14</v>
      </c>
      <c r="G11" s="413">
        <v>19</v>
      </c>
      <c r="H11" s="414">
        <v>0.65517241379310343</v>
      </c>
      <c r="I11" s="412">
        <v>-5</v>
      </c>
      <c r="J11" s="412">
        <v>23</v>
      </c>
      <c r="K11" s="412">
        <v>28</v>
      </c>
      <c r="L11" s="414">
        <v>-0.17241379310344829</v>
      </c>
      <c r="M11" s="412">
        <v>53</v>
      </c>
      <c r="N11" s="415">
        <v>1.8275862068965518</v>
      </c>
      <c r="O11" s="412">
        <v>14</v>
      </c>
      <c r="P11" s="422">
        <v>22.164583333333336</v>
      </c>
      <c r="Q11" s="416">
        <v>0.76388888888888884</v>
      </c>
      <c r="R11" s="412">
        <v>1</v>
      </c>
      <c r="S11" s="412">
        <v>0</v>
      </c>
      <c r="T11" s="412">
        <v>2</v>
      </c>
    </row>
    <row r="12" spans="1:20" ht="28.8" x14ac:dyDescent="0.3">
      <c r="A12" s="410" t="s">
        <v>124</v>
      </c>
      <c r="B12" s="411" t="s">
        <v>80</v>
      </c>
      <c r="C12" s="412" t="s">
        <v>79</v>
      </c>
      <c r="D12" s="412">
        <v>49</v>
      </c>
      <c r="E12" s="412">
        <v>12</v>
      </c>
      <c r="F12" s="412">
        <v>20</v>
      </c>
      <c r="G12" s="413">
        <v>32</v>
      </c>
      <c r="H12" s="414">
        <v>0.65306122448979587</v>
      </c>
      <c r="I12" s="412">
        <v>1</v>
      </c>
      <c r="J12" s="412">
        <v>36</v>
      </c>
      <c r="K12" s="412">
        <v>35</v>
      </c>
      <c r="L12" s="414">
        <v>2.0408163265306121E-2</v>
      </c>
      <c r="M12" s="412">
        <v>145</v>
      </c>
      <c r="N12" s="415">
        <v>2.9591836734693877</v>
      </c>
      <c r="O12" s="412">
        <v>26</v>
      </c>
      <c r="P12" s="422">
        <v>34.916666666666664</v>
      </c>
      <c r="Q12" s="416">
        <v>0.71250000000000002</v>
      </c>
      <c r="R12" s="412">
        <v>4</v>
      </c>
      <c r="S12" s="412">
        <v>0</v>
      </c>
      <c r="T12" s="412">
        <v>1</v>
      </c>
    </row>
    <row r="13" spans="1:20" ht="28.8" x14ac:dyDescent="0.3">
      <c r="A13" s="410" t="s">
        <v>100</v>
      </c>
      <c r="B13" s="411" t="s">
        <v>80</v>
      </c>
      <c r="C13" s="412" t="s">
        <v>79</v>
      </c>
      <c r="D13" s="412">
        <v>45</v>
      </c>
      <c r="E13" s="412">
        <v>6</v>
      </c>
      <c r="F13" s="412">
        <v>23</v>
      </c>
      <c r="G13" s="413">
        <v>29</v>
      </c>
      <c r="H13" s="414">
        <v>0.64444444444444449</v>
      </c>
      <c r="I13" s="412">
        <v>4</v>
      </c>
      <c r="J13" s="412">
        <v>36</v>
      </c>
      <c r="K13" s="412">
        <v>32</v>
      </c>
      <c r="L13" s="414">
        <v>8.8888888888888892E-2</v>
      </c>
      <c r="M13" s="412">
        <v>65</v>
      </c>
      <c r="N13" s="415">
        <v>1.4444444444444444</v>
      </c>
      <c r="O13" s="412">
        <v>10</v>
      </c>
      <c r="P13" s="422">
        <v>31.042361111111109</v>
      </c>
      <c r="Q13" s="416">
        <v>0.68958333333333333</v>
      </c>
      <c r="R13" s="412">
        <v>0</v>
      </c>
      <c r="S13" s="412">
        <v>2</v>
      </c>
      <c r="T13" s="412">
        <v>0</v>
      </c>
    </row>
    <row r="14" spans="1:20" ht="28.8" x14ac:dyDescent="0.3">
      <c r="A14" s="410" t="s">
        <v>3621</v>
      </c>
      <c r="B14" s="411" t="s">
        <v>80</v>
      </c>
      <c r="C14" s="412" t="s">
        <v>88</v>
      </c>
      <c r="D14" s="412">
        <v>13</v>
      </c>
      <c r="E14" s="412">
        <v>2</v>
      </c>
      <c r="F14" s="412">
        <v>5</v>
      </c>
      <c r="G14" s="413">
        <v>7</v>
      </c>
      <c r="H14" s="414">
        <v>0.53846153846153844</v>
      </c>
      <c r="I14" s="412">
        <v>9</v>
      </c>
      <c r="J14" s="412">
        <v>16</v>
      </c>
      <c r="K14" s="412">
        <v>7</v>
      </c>
      <c r="L14" s="414">
        <v>0.69230769230769229</v>
      </c>
      <c r="M14" s="412">
        <v>27</v>
      </c>
      <c r="N14" s="415">
        <v>2.0769230769230771</v>
      </c>
      <c r="O14" s="412">
        <v>10</v>
      </c>
      <c r="P14" s="422">
        <v>13.084027777777777</v>
      </c>
      <c r="Q14" s="421">
        <v>1.0062499999999999</v>
      </c>
      <c r="R14" s="412">
        <v>0</v>
      </c>
      <c r="S14" s="412">
        <v>0</v>
      </c>
      <c r="T14" s="412">
        <v>1</v>
      </c>
    </row>
    <row r="15" spans="1:20" ht="28.8" x14ac:dyDescent="0.3">
      <c r="A15" s="410" t="s">
        <v>1166</v>
      </c>
      <c r="B15" s="411" t="s">
        <v>80</v>
      </c>
      <c r="C15" s="412" t="s">
        <v>79</v>
      </c>
      <c r="D15" s="412">
        <v>34</v>
      </c>
      <c r="E15" s="412">
        <v>8</v>
      </c>
      <c r="F15" s="412">
        <v>9</v>
      </c>
      <c r="G15" s="413">
        <v>17</v>
      </c>
      <c r="H15" s="414">
        <v>0.5</v>
      </c>
      <c r="I15" s="412">
        <v>-18</v>
      </c>
      <c r="J15" s="412">
        <v>16</v>
      </c>
      <c r="K15" s="412">
        <v>34</v>
      </c>
      <c r="L15" s="414">
        <v>-0.52941176470588236</v>
      </c>
      <c r="M15" s="412">
        <v>64</v>
      </c>
      <c r="N15" s="415">
        <v>1.8823529411764706</v>
      </c>
      <c r="O15" s="412">
        <v>16</v>
      </c>
      <c r="P15" s="422">
        <v>21.650000000000002</v>
      </c>
      <c r="Q15" s="416">
        <v>0.63611111111111118</v>
      </c>
      <c r="R15" s="412">
        <v>2</v>
      </c>
      <c r="S15" s="412">
        <v>2</v>
      </c>
      <c r="T15" s="412">
        <v>1</v>
      </c>
    </row>
    <row r="16" spans="1:20" ht="28.8" x14ac:dyDescent="0.3">
      <c r="A16" s="410" t="s">
        <v>3623</v>
      </c>
      <c r="B16" s="411" t="s">
        <v>80</v>
      </c>
      <c r="C16" s="412" t="s">
        <v>3632</v>
      </c>
      <c r="D16" s="412">
        <v>6</v>
      </c>
      <c r="E16" s="412">
        <v>1</v>
      </c>
      <c r="F16" s="412">
        <v>2</v>
      </c>
      <c r="G16" s="413">
        <v>3</v>
      </c>
      <c r="H16" s="414">
        <v>0.5</v>
      </c>
      <c r="I16" s="412">
        <v>-1</v>
      </c>
      <c r="J16" s="412">
        <v>3</v>
      </c>
      <c r="K16" s="412">
        <v>4</v>
      </c>
      <c r="L16" s="414">
        <v>-0.16666666666666666</v>
      </c>
      <c r="M16" s="412">
        <v>9</v>
      </c>
      <c r="N16" s="415">
        <v>1.5</v>
      </c>
      <c r="O16" s="412">
        <v>0</v>
      </c>
      <c r="P16" s="422">
        <v>4.5791666666666666</v>
      </c>
      <c r="Q16" s="416">
        <v>0.7631944444444444</v>
      </c>
      <c r="R16" s="412">
        <v>1</v>
      </c>
      <c r="S16" s="412">
        <v>0</v>
      </c>
      <c r="T16" s="412">
        <v>0</v>
      </c>
    </row>
    <row r="17" spans="1:20" ht="28.8" x14ac:dyDescent="0.3">
      <c r="A17" s="410" t="s">
        <v>103</v>
      </c>
      <c r="B17" s="411" t="s">
        <v>80</v>
      </c>
      <c r="C17" s="412" t="s">
        <v>79</v>
      </c>
      <c r="D17" s="412">
        <v>8</v>
      </c>
      <c r="E17" s="412">
        <v>2</v>
      </c>
      <c r="F17" s="412">
        <v>1</v>
      </c>
      <c r="G17" s="413">
        <v>3</v>
      </c>
      <c r="H17" s="414">
        <v>0.375</v>
      </c>
      <c r="I17" s="412">
        <v>2</v>
      </c>
      <c r="J17" s="412">
        <v>4</v>
      </c>
      <c r="K17" s="412">
        <v>2</v>
      </c>
      <c r="L17" s="414">
        <v>0.25</v>
      </c>
      <c r="M17" s="412">
        <v>13</v>
      </c>
      <c r="N17" s="415">
        <v>1.625</v>
      </c>
      <c r="O17" s="412">
        <v>2</v>
      </c>
      <c r="P17" s="422">
        <v>4.0354166666666664</v>
      </c>
      <c r="Q17" s="416">
        <v>0.50416666666666665</v>
      </c>
      <c r="R17" s="412">
        <v>1</v>
      </c>
      <c r="S17" s="412">
        <v>0</v>
      </c>
      <c r="T17" s="412">
        <v>0</v>
      </c>
    </row>
    <row r="18" spans="1:20" ht="28.8" x14ac:dyDescent="0.3">
      <c r="A18" s="410" t="s">
        <v>1170</v>
      </c>
      <c r="B18" s="411" t="s">
        <v>80</v>
      </c>
      <c r="C18" s="412" t="s">
        <v>79</v>
      </c>
      <c r="D18" s="412">
        <v>26</v>
      </c>
      <c r="E18" s="412">
        <v>5</v>
      </c>
      <c r="F18" s="412">
        <v>4</v>
      </c>
      <c r="G18" s="413">
        <v>9</v>
      </c>
      <c r="H18" s="414">
        <v>0.34615384615384615</v>
      </c>
      <c r="I18" s="412">
        <v>-12</v>
      </c>
      <c r="J18" s="412">
        <v>11</v>
      </c>
      <c r="K18" s="412">
        <v>23</v>
      </c>
      <c r="L18" s="414">
        <v>-0.46153846153846156</v>
      </c>
      <c r="M18" s="412">
        <v>48</v>
      </c>
      <c r="N18" s="415">
        <v>1.8461538461538463</v>
      </c>
      <c r="O18" s="412">
        <v>2</v>
      </c>
      <c r="P18" s="422">
        <v>13.723611111111111</v>
      </c>
      <c r="Q18" s="416">
        <v>0.52777777777777779</v>
      </c>
      <c r="R18" s="412">
        <v>0</v>
      </c>
      <c r="S18" s="412">
        <v>0</v>
      </c>
      <c r="T18" s="412">
        <v>1</v>
      </c>
    </row>
    <row r="19" spans="1:20" ht="28.8" x14ac:dyDescent="0.3">
      <c r="A19" s="410" t="s">
        <v>108</v>
      </c>
      <c r="B19" s="411" t="s">
        <v>80</v>
      </c>
      <c r="C19" s="412" t="s">
        <v>79</v>
      </c>
      <c r="D19" s="412">
        <v>43</v>
      </c>
      <c r="E19" s="412">
        <v>6</v>
      </c>
      <c r="F19" s="412">
        <v>8</v>
      </c>
      <c r="G19" s="413">
        <v>14</v>
      </c>
      <c r="H19" s="414">
        <v>0.32558139534883723</v>
      </c>
      <c r="I19" s="412">
        <v>0</v>
      </c>
      <c r="J19" s="412">
        <v>23</v>
      </c>
      <c r="K19" s="412">
        <v>23</v>
      </c>
      <c r="L19" s="414">
        <v>0</v>
      </c>
      <c r="M19" s="412">
        <v>32</v>
      </c>
      <c r="N19" s="415">
        <v>0.7441860465116279</v>
      </c>
      <c r="O19" s="412">
        <v>6</v>
      </c>
      <c r="P19" s="422">
        <v>26.987500000000001</v>
      </c>
      <c r="Q19" s="416">
        <v>0.62708333333333333</v>
      </c>
      <c r="R19" s="412">
        <v>1</v>
      </c>
      <c r="S19" s="412">
        <v>0</v>
      </c>
      <c r="T19" s="412">
        <v>0</v>
      </c>
    </row>
    <row r="20" spans="1:20" ht="28.8" x14ac:dyDescent="0.3">
      <c r="A20" s="410" t="s">
        <v>3618</v>
      </c>
      <c r="B20" s="411" t="s">
        <v>80</v>
      </c>
      <c r="C20" s="412" t="s">
        <v>88</v>
      </c>
      <c r="D20" s="412">
        <v>37</v>
      </c>
      <c r="E20" s="412">
        <v>5</v>
      </c>
      <c r="F20" s="412">
        <v>7</v>
      </c>
      <c r="G20" s="413">
        <v>12</v>
      </c>
      <c r="H20" s="414">
        <v>0.32432432432432401</v>
      </c>
      <c r="I20" s="412">
        <v>-11</v>
      </c>
      <c r="J20" s="412">
        <v>30</v>
      </c>
      <c r="K20" s="412">
        <v>41</v>
      </c>
      <c r="L20" s="414">
        <v>-0.29729729729729731</v>
      </c>
      <c r="M20" s="412">
        <v>76</v>
      </c>
      <c r="N20" s="415">
        <v>2.0540540540540539</v>
      </c>
      <c r="O20" s="412">
        <v>22</v>
      </c>
      <c r="P20" s="422">
        <v>36.252083333333331</v>
      </c>
      <c r="Q20" s="416">
        <v>0.97916666666666663</v>
      </c>
      <c r="R20" s="412">
        <v>0</v>
      </c>
      <c r="S20" s="412">
        <v>0</v>
      </c>
      <c r="T20" s="412">
        <v>0</v>
      </c>
    </row>
    <row r="21" spans="1:20" ht="28.8" x14ac:dyDescent="0.3">
      <c r="A21" s="410" t="s">
        <v>117</v>
      </c>
      <c r="B21" s="411" t="s">
        <v>80</v>
      </c>
      <c r="C21" s="412" t="s">
        <v>79</v>
      </c>
      <c r="D21" s="412">
        <v>25</v>
      </c>
      <c r="E21" s="412">
        <v>3</v>
      </c>
      <c r="F21" s="412">
        <v>5</v>
      </c>
      <c r="G21" s="413">
        <v>8</v>
      </c>
      <c r="H21" s="414">
        <v>0.32</v>
      </c>
      <c r="I21" s="412">
        <v>-14</v>
      </c>
      <c r="J21" s="412">
        <v>10</v>
      </c>
      <c r="K21" s="412">
        <v>24</v>
      </c>
      <c r="L21" s="414">
        <v>-0.56000000000000005</v>
      </c>
      <c r="M21" s="412">
        <v>19</v>
      </c>
      <c r="N21" s="415">
        <v>0.76</v>
      </c>
      <c r="O21" s="412">
        <v>16</v>
      </c>
      <c r="P21" s="422">
        <v>12.449305555555556</v>
      </c>
      <c r="Q21" s="416">
        <v>0.49791666666666662</v>
      </c>
      <c r="R21" s="412">
        <v>1</v>
      </c>
      <c r="S21" s="412">
        <v>0</v>
      </c>
      <c r="T21" s="412">
        <v>0</v>
      </c>
    </row>
    <row r="22" spans="1:20" ht="28.8" x14ac:dyDescent="0.3">
      <c r="A22" s="410" t="s">
        <v>112</v>
      </c>
      <c r="B22" s="411" t="s">
        <v>80</v>
      </c>
      <c r="C22" s="412" t="s">
        <v>79</v>
      </c>
      <c r="D22" s="412">
        <v>45</v>
      </c>
      <c r="E22" s="412">
        <v>4</v>
      </c>
      <c r="F22" s="412">
        <v>9</v>
      </c>
      <c r="G22" s="413">
        <v>13</v>
      </c>
      <c r="H22" s="414">
        <v>0.28888888888888886</v>
      </c>
      <c r="I22" s="412">
        <v>-12</v>
      </c>
      <c r="J22" s="412">
        <v>14</v>
      </c>
      <c r="K22" s="412">
        <v>26</v>
      </c>
      <c r="L22" s="414">
        <v>-0.26666666666666666</v>
      </c>
      <c r="M22" s="412">
        <v>41</v>
      </c>
      <c r="N22" s="415">
        <v>0.91111111111111109</v>
      </c>
      <c r="O22" s="412">
        <v>28</v>
      </c>
      <c r="P22" s="422">
        <v>21.360416666666666</v>
      </c>
      <c r="Q22" s="416">
        <v>0.47430555555555554</v>
      </c>
      <c r="R22" s="412">
        <v>0</v>
      </c>
      <c r="S22" s="412">
        <v>0</v>
      </c>
      <c r="T22" s="412">
        <v>0</v>
      </c>
    </row>
    <row r="23" spans="1:20" ht="28.8" x14ac:dyDescent="0.3">
      <c r="A23" s="410" t="s">
        <v>870</v>
      </c>
      <c r="B23" s="411" t="s">
        <v>80</v>
      </c>
      <c r="C23" s="412" t="s">
        <v>88</v>
      </c>
      <c r="D23" s="412">
        <v>46</v>
      </c>
      <c r="E23" s="412">
        <v>5</v>
      </c>
      <c r="F23" s="412">
        <v>8</v>
      </c>
      <c r="G23" s="413">
        <v>13</v>
      </c>
      <c r="H23" s="414">
        <v>0.28260869565217389</v>
      </c>
      <c r="I23" s="412">
        <v>-6</v>
      </c>
      <c r="J23" s="412">
        <v>36</v>
      </c>
      <c r="K23" s="412">
        <v>42</v>
      </c>
      <c r="L23" s="414">
        <v>-0.13043478260869565</v>
      </c>
      <c r="M23" s="412">
        <v>69</v>
      </c>
      <c r="N23" s="415">
        <v>1.5</v>
      </c>
      <c r="O23" s="412">
        <v>12</v>
      </c>
      <c r="P23" s="422">
        <v>40.645833333333336</v>
      </c>
      <c r="Q23" s="416">
        <v>0.8833333333333333</v>
      </c>
      <c r="R23" s="412">
        <v>1</v>
      </c>
      <c r="S23" s="412">
        <v>0</v>
      </c>
      <c r="T23" s="412">
        <v>1</v>
      </c>
    </row>
    <row r="24" spans="1:20" ht="28.8" x14ac:dyDescent="0.3">
      <c r="A24" s="410" t="s">
        <v>3619</v>
      </c>
      <c r="B24" s="411" t="s">
        <v>80</v>
      </c>
      <c r="C24" s="412" t="s">
        <v>88</v>
      </c>
      <c r="D24" s="412">
        <v>40</v>
      </c>
      <c r="E24" s="412">
        <v>3</v>
      </c>
      <c r="F24" s="412">
        <v>8</v>
      </c>
      <c r="G24" s="413">
        <v>11</v>
      </c>
      <c r="H24" s="414">
        <v>0.27500000000000002</v>
      </c>
      <c r="I24" s="412">
        <v>5</v>
      </c>
      <c r="J24" s="412">
        <v>32</v>
      </c>
      <c r="K24" s="412">
        <v>27</v>
      </c>
      <c r="L24" s="414">
        <v>0.125</v>
      </c>
      <c r="M24" s="412">
        <v>56</v>
      </c>
      <c r="N24" s="415">
        <v>1.4</v>
      </c>
      <c r="O24" s="412">
        <v>30</v>
      </c>
      <c r="P24" s="422">
        <v>30.431250000000002</v>
      </c>
      <c r="Q24" s="416">
        <v>0.76041666666666663</v>
      </c>
      <c r="R24" s="412">
        <v>0</v>
      </c>
      <c r="S24" s="412">
        <v>0</v>
      </c>
      <c r="T24" s="412">
        <v>0</v>
      </c>
    </row>
    <row r="25" spans="1:20" ht="28.8" x14ac:dyDescent="0.3">
      <c r="A25" s="410" t="s">
        <v>3620</v>
      </c>
      <c r="B25" s="411" t="s">
        <v>80</v>
      </c>
      <c r="C25" s="412" t="s">
        <v>88</v>
      </c>
      <c r="D25" s="412">
        <v>33</v>
      </c>
      <c r="E25" s="412">
        <v>4</v>
      </c>
      <c r="F25" s="412">
        <v>5</v>
      </c>
      <c r="G25" s="413">
        <v>9</v>
      </c>
      <c r="H25" s="414">
        <v>0.27272727272727271</v>
      </c>
      <c r="I25" s="412">
        <v>15</v>
      </c>
      <c r="J25" s="412">
        <v>29</v>
      </c>
      <c r="K25" s="412">
        <v>14</v>
      </c>
      <c r="L25" s="414">
        <v>0.45454545454545453</v>
      </c>
      <c r="M25" s="412">
        <v>37</v>
      </c>
      <c r="N25" s="415">
        <v>1.1212121212121211</v>
      </c>
      <c r="O25" s="412">
        <v>18</v>
      </c>
      <c r="P25" s="422">
        <v>22.693749999999998</v>
      </c>
      <c r="Q25" s="416">
        <v>0.6875</v>
      </c>
      <c r="R25" s="412">
        <v>0</v>
      </c>
      <c r="S25" s="412">
        <v>0</v>
      </c>
      <c r="T25" s="412">
        <v>0</v>
      </c>
    </row>
    <row r="26" spans="1:20" ht="28.8" x14ac:dyDescent="0.3">
      <c r="A26" s="410" t="s">
        <v>111</v>
      </c>
      <c r="B26" s="411" t="s">
        <v>80</v>
      </c>
      <c r="C26" s="412" t="s">
        <v>79</v>
      </c>
      <c r="D26" s="412">
        <v>49</v>
      </c>
      <c r="E26" s="412">
        <v>3</v>
      </c>
      <c r="F26" s="412">
        <v>10</v>
      </c>
      <c r="G26" s="413">
        <v>13</v>
      </c>
      <c r="H26" s="414">
        <v>0.26530612244897961</v>
      </c>
      <c r="I26" s="412">
        <v>-12</v>
      </c>
      <c r="J26" s="412">
        <v>15</v>
      </c>
      <c r="K26" s="412">
        <v>27</v>
      </c>
      <c r="L26" s="414">
        <v>-0.24489795918367346</v>
      </c>
      <c r="M26" s="412">
        <v>48</v>
      </c>
      <c r="N26" s="415">
        <v>0.97959183673469385</v>
      </c>
      <c r="O26" s="412">
        <v>24</v>
      </c>
      <c r="P26" s="422">
        <v>27.599305555555556</v>
      </c>
      <c r="Q26" s="416">
        <v>0.56319444444444444</v>
      </c>
      <c r="R26" s="412">
        <v>0</v>
      </c>
      <c r="S26" s="412">
        <v>1</v>
      </c>
      <c r="T26" s="412">
        <v>1</v>
      </c>
    </row>
    <row r="27" spans="1:20" ht="28.8" x14ac:dyDescent="0.3">
      <c r="A27" s="410" t="s">
        <v>3625</v>
      </c>
      <c r="B27" s="411" t="s">
        <v>80</v>
      </c>
      <c r="C27" s="412" t="s">
        <v>79</v>
      </c>
      <c r="D27" s="412">
        <v>12</v>
      </c>
      <c r="E27" s="412">
        <v>0</v>
      </c>
      <c r="F27" s="412">
        <v>3</v>
      </c>
      <c r="G27" s="413">
        <v>3</v>
      </c>
      <c r="H27" s="414">
        <v>0.25</v>
      </c>
      <c r="I27" s="412">
        <v>-6</v>
      </c>
      <c r="J27" s="412">
        <v>5</v>
      </c>
      <c r="K27" s="412">
        <v>11</v>
      </c>
      <c r="L27" s="414">
        <v>-0.5</v>
      </c>
      <c r="M27" s="412">
        <v>13</v>
      </c>
      <c r="N27" s="415">
        <v>1.0833333333333333</v>
      </c>
      <c r="O27" s="412">
        <v>0</v>
      </c>
      <c r="P27" s="422">
        <v>5.9319444444444445</v>
      </c>
      <c r="Q27" s="416">
        <v>0.49374999999999997</v>
      </c>
      <c r="R27" s="412">
        <v>0</v>
      </c>
      <c r="S27" s="412">
        <v>0</v>
      </c>
      <c r="T27" s="412">
        <v>0</v>
      </c>
    </row>
    <row r="28" spans="1:20" ht="28.8" x14ac:dyDescent="0.3">
      <c r="A28" s="410" t="s">
        <v>3622</v>
      </c>
      <c r="B28" s="411" t="s">
        <v>80</v>
      </c>
      <c r="C28" s="412" t="s">
        <v>79</v>
      </c>
      <c r="D28" s="412">
        <v>20</v>
      </c>
      <c r="E28" s="412">
        <v>1</v>
      </c>
      <c r="F28" s="412">
        <v>3</v>
      </c>
      <c r="G28" s="413">
        <v>4</v>
      </c>
      <c r="H28" s="414">
        <v>0.2</v>
      </c>
      <c r="I28" s="412">
        <v>-3</v>
      </c>
      <c r="J28" s="412">
        <v>4</v>
      </c>
      <c r="K28" s="412">
        <v>7</v>
      </c>
      <c r="L28" s="414">
        <v>-0.15</v>
      </c>
      <c r="M28" s="412">
        <v>20</v>
      </c>
      <c r="N28" s="415">
        <v>1</v>
      </c>
      <c r="O28" s="412">
        <v>4</v>
      </c>
      <c r="P28" s="422">
        <v>5.9604166666666671</v>
      </c>
      <c r="Q28" s="416">
        <v>0.29791666666666666</v>
      </c>
      <c r="R28" s="412">
        <v>0</v>
      </c>
      <c r="S28" s="412">
        <v>0</v>
      </c>
      <c r="T28" s="412">
        <v>0</v>
      </c>
    </row>
    <row r="29" spans="1:20" ht="28.8" x14ac:dyDescent="0.3">
      <c r="A29" s="410" t="s">
        <v>123</v>
      </c>
      <c r="B29" s="411" t="s">
        <v>80</v>
      </c>
      <c r="C29" s="412" t="s">
        <v>88</v>
      </c>
      <c r="D29" s="412">
        <v>23</v>
      </c>
      <c r="E29" s="412">
        <v>1</v>
      </c>
      <c r="F29" s="412">
        <v>3</v>
      </c>
      <c r="G29" s="413">
        <v>4</v>
      </c>
      <c r="H29" s="414">
        <v>0.17391304347826086</v>
      </c>
      <c r="I29" s="412">
        <v>-15</v>
      </c>
      <c r="J29" s="412">
        <v>13</v>
      </c>
      <c r="K29" s="412">
        <v>28</v>
      </c>
      <c r="L29" s="414">
        <v>-0.65217391304347827</v>
      </c>
      <c r="M29" s="412">
        <v>31</v>
      </c>
      <c r="N29" s="415">
        <v>1.3478260869565217</v>
      </c>
      <c r="O29" s="412">
        <v>20</v>
      </c>
      <c r="P29" s="422">
        <v>15.103472222222223</v>
      </c>
      <c r="Q29" s="416">
        <v>0.65625</v>
      </c>
      <c r="R29" s="412">
        <v>1</v>
      </c>
      <c r="S29" s="412">
        <v>0</v>
      </c>
      <c r="T29" s="412">
        <v>0</v>
      </c>
    </row>
    <row r="30" spans="1:20" ht="28.8" x14ac:dyDescent="0.3">
      <c r="A30" s="410" t="s">
        <v>115</v>
      </c>
      <c r="B30" s="411" t="s">
        <v>80</v>
      </c>
      <c r="C30" s="412" t="s">
        <v>79</v>
      </c>
      <c r="D30" s="412">
        <v>42</v>
      </c>
      <c r="E30" s="412">
        <v>3</v>
      </c>
      <c r="F30" s="412">
        <v>4</v>
      </c>
      <c r="G30" s="413">
        <v>7</v>
      </c>
      <c r="H30" s="414">
        <v>0.16666666666666666</v>
      </c>
      <c r="I30" s="412">
        <v>-6</v>
      </c>
      <c r="J30" s="412">
        <v>10</v>
      </c>
      <c r="K30" s="412">
        <v>16</v>
      </c>
      <c r="L30" s="414">
        <v>-0.14285714285714285</v>
      </c>
      <c r="M30" s="412">
        <v>52</v>
      </c>
      <c r="N30" s="415">
        <v>1.2380952380952381</v>
      </c>
      <c r="O30" s="412">
        <v>12</v>
      </c>
      <c r="P30" s="422">
        <v>23.506249999999998</v>
      </c>
      <c r="Q30" s="416">
        <v>0.55902777777777779</v>
      </c>
      <c r="R30" s="412">
        <v>0</v>
      </c>
      <c r="S30" s="412">
        <v>1</v>
      </c>
      <c r="T30" s="412">
        <v>0</v>
      </c>
    </row>
    <row r="31" spans="1:20" ht="28.8" x14ac:dyDescent="0.3">
      <c r="A31" s="410" t="s">
        <v>105</v>
      </c>
      <c r="B31" s="411" t="s">
        <v>80</v>
      </c>
      <c r="C31" s="412" t="s">
        <v>88</v>
      </c>
      <c r="D31" s="412">
        <v>34</v>
      </c>
      <c r="E31" s="412">
        <v>3</v>
      </c>
      <c r="F31" s="412">
        <v>2</v>
      </c>
      <c r="G31" s="413">
        <v>5</v>
      </c>
      <c r="H31" s="414">
        <v>0.14705882352941177</v>
      </c>
      <c r="I31" s="412">
        <v>0</v>
      </c>
      <c r="J31" s="412">
        <v>20</v>
      </c>
      <c r="K31" s="412">
        <v>20</v>
      </c>
      <c r="L31" s="414">
        <v>0</v>
      </c>
      <c r="M31" s="412">
        <v>38</v>
      </c>
      <c r="N31" s="415">
        <v>1.1176470588235294</v>
      </c>
      <c r="O31" s="412">
        <v>26</v>
      </c>
      <c r="P31" s="422">
        <v>23.280555555555555</v>
      </c>
      <c r="Q31" s="416">
        <v>0.68472222222222223</v>
      </c>
      <c r="R31" s="412">
        <v>0</v>
      </c>
      <c r="S31" s="412">
        <v>0</v>
      </c>
      <c r="T31" s="412">
        <v>1</v>
      </c>
    </row>
    <row r="32" spans="1:20" ht="28.8" x14ac:dyDescent="0.3">
      <c r="A32" s="410" t="s">
        <v>87</v>
      </c>
      <c r="B32" s="411" t="s">
        <v>80</v>
      </c>
      <c r="C32" s="412" t="s">
        <v>79</v>
      </c>
      <c r="D32" s="412">
        <v>7</v>
      </c>
      <c r="E32" s="412">
        <v>0</v>
      </c>
      <c r="F32" s="412">
        <v>1</v>
      </c>
      <c r="G32" s="413">
        <v>1</v>
      </c>
      <c r="H32" s="414">
        <v>0.14285714285714285</v>
      </c>
      <c r="I32" s="412">
        <v>1</v>
      </c>
      <c r="J32" s="412">
        <v>2</v>
      </c>
      <c r="K32" s="412">
        <v>1</v>
      </c>
      <c r="L32" s="414">
        <v>0.14285714285714285</v>
      </c>
      <c r="M32" s="412">
        <v>3</v>
      </c>
      <c r="N32" s="415">
        <v>0.42857142857142855</v>
      </c>
      <c r="O32" s="412">
        <v>0</v>
      </c>
      <c r="P32" s="422">
        <v>1.9937500000000001</v>
      </c>
      <c r="Q32" s="416">
        <v>0.28472222222222221</v>
      </c>
      <c r="R32" s="412">
        <v>0</v>
      </c>
      <c r="S32" s="412">
        <v>0</v>
      </c>
      <c r="T32" s="412">
        <v>0</v>
      </c>
    </row>
    <row r="33" spans="1:20" ht="28.8" x14ac:dyDescent="0.3">
      <c r="A33" s="410" t="s">
        <v>97</v>
      </c>
      <c r="B33" s="411" t="s">
        <v>80</v>
      </c>
      <c r="C33" s="412" t="s">
        <v>79</v>
      </c>
      <c r="D33" s="412">
        <v>37</v>
      </c>
      <c r="E33" s="412">
        <v>2</v>
      </c>
      <c r="F33" s="412">
        <v>3</v>
      </c>
      <c r="G33" s="413">
        <v>5</v>
      </c>
      <c r="H33" s="414">
        <v>0.13513513513513514</v>
      </c>
      <c r="I33" s="412">
        <v>-2</v>
      </c>
      <c r="J33" s="412">
        <v>9</v>
      </c>
      <c r="K33" s="412">
        <v>11</v>
      </c>
      <c r="L33" s="414">
        <v>-5.4054054054054057E-2</v>
      </c>
      <c r="M33" s="412">
        <v>23</v>
      </c>
      <c r="N33" s="415">
        <v>0.6216216216216216</v>
      </c>
      <c r="O33" s="412">
        <v>12</v>
      </c>
      <c r="P33" s="422">
        <v>16.286805555555556</v>
      </c>
      <c r="Q33" s="416">
        <v>0.43958333333333338</v>
      </c>
      <c r="R33" s="412">
        <v>0</v>
      </c>
      <c r="S33" s="412">
        <v>0</v>
      </c>
      <c r="T33" s="412">
        <v>0</v>
      </c>
    </row>
    <row r="34" spans="1:20" ht="28.8" x14ac:dyDescent="0.3">
      <c r="A34" s="410" t="s">
        <v>107</v>
      </c>
      <c r="B34" s="411" t="s">
        <v>80</v>
      </c>
      <c r="C34" s="412" t="s">
        <v>88</v>
      </c>
      <c r="D34" s="412">
        <v>38</v>
      </c>
      <c r="E34" s="412">
        <v>1</v>
      </c>
      <c r="F34" s="412">
        <v>4</v>
      </c>
      <c r="G34" s="413">
        <v>5</v>
      </c>
      <c r="H34" s="414">
        <v>0.13157894736842105</v>
      </c>
      <c r="I34" s="412">
        <v>2</v>
      </c>
      <c r="J34" s="412">
        <v>23</v>
      </c>
      <c r="K34" s="412">
        <v>21</v>
      </c>
      <c r="L34" s="414">
        <v>5.2631578947368418E-2</v>
      </c>
      <c r="M34" s="412">
        <v>35</v>
      </c>
      <c r="N34" s="415">
        <v>0.92105263157894735</v>
      </c>
      <c r="O34" s="412">
        <v>10</v>
      </c>
      <c r="P34" s="422">
        <v>19.923611111111111</v>
      </c>
      <c r="Q34" s="416">
        <v>0.52430555555555558</v>
      </c>
      <c r="R34" s="412">
        <v>0</v>
      </c>
      <c r="S34" s="412">
        <v>0</v>
      </c>
      <c r="T34" s="412">
        <v>0</v>
      </c>
    </row>
    <row r="35" spans="1:20" ht="28.8" x14ac:dyDescent="0.3">
      <c r="A35" s="410" t="s">
        <v>3624</v>
      </c>
      <c r="B35" s="411" t="s">
        <v>80</v>
      </c>
      <c r="C35" s="412" t="s">
        <v>88</v>
      </c>
      <c r="D35" s="412">
        <v>27</v>
      </c>
      <c r="E35" s="412">
        <v>1</v>
      </c>
      <c r="F35" s="412">
        <v>2</v>
      </c>
      <c r="G35" s="413">
        <v>3</v>
      </c>
      <c r="H35" s="414">
        <v>0.1111111111111111</v>
      </c>
      <c r="I35" s="412">
        <v>-4</v>
      </c>
      <c r="J35" s="412">
        <v>15</v>
      </c>
      <c r="K35" s="412">
        <v>19</v>
      </c>
      <c r="L35" s="414">
        <v>-0.14814814814814814</v>
      </c>
      <c r="M35" s="412">
        <v>20</v>
      </c>
      <c r="N35" s="415">
        <v>0.7407407407407407</v>
      </c>
      <c r="O35" s="412">
        <v>16</v>
      </c>
      <c r="P35" s="422">
        <v>18.879861111111111</v>
      </c>
      <c r="Q35" s="416">
        <v>0.69861111111111107</v>
      </c>
      <c r="R35" s="412">
        <v>0</v>
      </c>
      <c r="S35" s="412">
        <v>0</v>
      </c>
      <c r="T35" s="412">
        <v>0</v>
      </c>
    </row>
    <row r="36" spans="1:20" ht="28.8" x14ac:dyDescent="0.3">
      <c r="A36" s="410" t="s">
        <v>3627</v>
      </c>
      <c r="B36" s="411" t="s">
        <v>80</v>
      </c>
      <c r="C36" s="412" t="s">
        <v>79</v>
      </c>
      <c r="D36" s="412">
        <v>2</v>
      </c>
      <c r="E36" s="412">
        <v>0</v>
      </c>
      <c r="F36" s="412">
        <v>0</v>
      </c>
      <c r="G36" s="413">
        <v>0</v>
      </c>
      <c r="H36" s="414">
        <v>0</v>
      </c>
      <c r="I36" s="412">
        <v>0</v>
      </c>
      <c r="J36" s="412">
        <v>0</v>
      </c>
      <c r="K36" s="412">
        <v>0</v>
      </c>
      <c r="L36" s="414">
        <v>0</v>
      </c>
      <c r="M36" s="412">
        <v>4</v>
      </c>
      <c r="N36" s="415">
        <v>2</v>
      </c>
      <c r="O36" s="412">
        <v>0</v>
      </c>
      <c r="P36" s="417">
        <v>0.50208333333333333</v>
      </c>
      <c r="Q36" s="416">
        <v>0.25069444444444444</v>
      </c>
      <c r="R36" s="412">
        <v>0</v>
      </c>
      <c r="S36" s="412">
        <v>0</v>
      </c>
      <c r="T36" s="412">
        <v>0</v>
      </c>
    </row>
    <row r="37" spans="1:20" ht="28.8" x14ac:dyDescent="0.3">
      <c r="A37" s="410" t="s">
        <v>3626</v>
      </c>
      <c r="B37" s="411" t="s">
        <v>80</v>
      </c>
      <c r="C37" s="412" t="s">
        <v>79</v>
      </c>
      <c r="D37" s="412">
        <v>1</v>
      </c>
      <c r="E37" s="412">
        <v>0</v>
      </c>
      <c r="F37" s="412">
        <v>0</v>
      </c>
      <c r="G37" s="413">
        <v>0</v>
      </c>
      <c r="H37" s="414">
        <v>0</v>
      </c>
      <c r="I37" s="412">
        <v>0</v>
      </c>
      <c r="J37" s="412">
        <v>0</v>
      </c>
      <c r="K37" s="412">
        <v>0</v>
      </c>
      <c r="L37" s="414">
        <v>0</v>
      </c>
      <c r="M37" s="412">
        <v>0</v>
      </c>
      <c r="N37" s="415">
        <v>0</v>
      </c>
      <c r="O37" s="412">
        <v>0</v>
      </c>
      <c r="P37" s="417">
        <v>0.15555555555555556</v>
      </c>
      <c r="Q37" s="416">
        <v>0.15555555555555556</v>
      </c>
      <c r="R37" s="412">
        <v>0</v>
      </c>
      <c r="S37" s="412">
        <v>0</v>
      </c>
      <c r="T37" s="412">
        <v>0</v>
      </c>
    </row>
    <row r="38" spans="1:20" ht="28.8" x14ac:dyDescent="0.3">
      <c r="A38" s="410" t="s">
        <v>1169</v>
      </c>
      <c r="B38" s="411" t="s">
        <v>80</v>
      </c>
      <c r="C38" s="412" t="s">
        <v>88</v>
      </c>
      <c r="D38" s="412">
        <v>5</v>
      </c>
      <c r="E38" s="412">
        <v>0</v>
      </c>
      <c r="F38" s="412">
        <v>0</v>
      </c>
      <c r="G38" s="413">
        <v>0</v>
      </c>
      <c r="H38" s="414">
        <v>0</v>
      </c>
      <c r="I38" s="412">
        <v>0</v>
      </c>
      <c r="J38" s="412">
        <v>1</v>
      </c>
      <c r="K38" s="412">
        <v>1</v>
      </c>
      <c r="L38" s="414">
        <v>0</v>
      </c>
      <c r="M38" s="412">
        <v>3</v>
      </c>
      <c r="N38" s="415">
        <v>0.6</v>
      </c>
      <c r="O38" s="412">
        <v>4</v>
      </c>
      <c r="P38" s="422">
        <v>2.8249999999999997</v>
      </c>
      <c r="Q38" s="416">
        <v>0.56458333333333333</v>
      </c>
      <c r="R38" s="412">
        <v>0</v>
      </c>
      <c r="S38" s="412">
        <v>0</v>
      </c>
      <c r="T38" s="412">
        <v>0</v>
      </c>
    </row>
    <row r="39" spans="1:20" ht="28.8" x14ac:dyDescent="0.3">
      <c r="A39" s="410" t="s">
        <v>1175</v>
      </c>
      <c r="B39" s="411" t="s">
        <v>80</v>
      </c>
      <c r="C39" s="412" t="s">
        <v>88</v>
      </c>
      <c r="D39" s="412">
        <v>1</v>
      </c>
      <c r="E39" s="412">
        <v>0</v>
      </c>
      <c r="F39" s="412">
        <v>0</v>
      </c>
      <c r="G39" s="413">
        <v>0</v>
      </c>
      <c r="H39" s="414">
        <v>0</v>
      </c>
      <c r="I39" s="412">
        <v>0</v>
      </c>
      <c r="J39" s="412">
        <v>0</v>
      </c>
      <c r="K39" s="412">
        <v>0</v>
      </c>
      <c r="L39" s="414">
        <v>0</v>
      </c>
      <c r="M39" s="412">
        <v>0</v>
      </c>
      <c r="N39" s="415">
        <v>0</v>
      </c>
      <c r="O39" s="412">
        <v>0</v>
      </c>
      <c r="P39" s="417">
        <v>0.51597222222222217</v>
      </c>
      <c r="Q39" s="416">
        <v>0.51597222222222217</v>
      </c>
      <c r="R39" s="412">
        <v>0</v>
      </c>
      <c r="S39" s="412">
        <v>0</v>
      </c>
      <c r="T39" s="412">
        <v>0</v>
      </c>
    </row>
    <row r="40" spans="1:20" ht="28.8" x14ac:dyDescent="0.3">
      <c r="A40" s="410" t="s">
        <v>99</v>
      </c>
      <c r="B40" s="411" t="s">
        <v>80</v>
      </c>
      <c r="C40" s="412" t="s">
        <v>88</v>
      </c>
      <c r="D40" s="412">
        <v>1</v>
      </c>
      <c r="E40" s="412">
        <v>0</v>
      </c>
      <c r="F40" s="412">
        <v>0</v>
      </c>
      <c r="G40" s="413">
        <v>0</v>
      </c>
      <c r="H40" s="414">
        <v>0</v>
      </c>
      <c r="I40" s="412">
        <v>-1</v>
      </c>
      <c r="J40" s="412">
        <v>0</v>
      </c>
      <c r="K40" s="412">
        <v>1</v>
      </c>
      <c r="L40" s="414">
        <v>-1</v>
      </c>
      <c r="M40" s="412">
        <v>1</v>
      </c>
      <c r="N40" s="415">
        <v>1</v>
      </c>
      <c r="O40" s="412">
        <v>0</v>
      </c>
      <c r="P40" s="417">
        <v>0.4381944444444445</v>
      </c>
      <c r="Q40" s="416">
        <v>0.4381944444444445</v>
      </c>
      <c r="R40" s="412">
        <v>0</v>
      </c>
      <c r="S40" s="412">
        <v>0</v>
      </c>
      <c r="T40" s="412">
        <v>0</v>
      </c>
    </row>
    <row r="43" spans="1:20" x14ac:dyDescent="0.3">
      <c r="A43" s="2" t="s">
        <v>3667</v>
      </c>
    </row>
    <row r="46" spans="1:20" ht="28.8" x14ac:dyDescent="0.3">
      <c r="A46" s="410" t="s">
        <v>3617</v>
      </c>
      <c r="B46" s="411" t="s">
        <v>80</v>
      </c>
      <c r="C46" s="412" t="s">
        <v>79</v>
      </c>
      <c r="D46" s="412">
        <v>12</v>
      </c>
      <c r="E46" s="412">
        <v>8</v>
      </c>
      <c r="F46" s="412">
        <v>9</v>
      </c>
      <c r="G46" s="413">
        <v>17</v>
      </c>
      <c r="H46" s="414">
        <v>1.4166666666666667</v>
      </c>
      <c r="I46" s="412">
        <v>11</v>
      </c>
      <c r="J46" s="412">
        <v>17</v>
      </c>
      <c r="K46" s="412">
        <v>6</v>
      </c>
      <c r="L46" s="414">
        <v>0.91666666666666663</v>
      </c>
      <c r="M46" s="412">
        <v>38</v>
      </c>
      <c r="N46" s="415">
        <v>3.1666666666666665</v>
      </c>
      <c r="O46" s="412">
        <v>16</v>
      </c>
      <c r="P46" s="422">
        <v>7.9701388888888891</v>
      </c>
      <c r="Q46" s="416">
        <v>0.66388888888888886</v>
      </c>
      <c r="R46" s="412">
        <v>1</v>
      </c>
      <c r="S46" s="412">
        <v>0</v>
      </c>
      <c r="T46" s="412">
        <v>0</v>
      </c>
    </row>
    <row r="47" spans="1:20" ht="28.8" x14ac:dyDescent="0.3">
      <c r="A47" s="410" t="s">
        <v>3615</v>
      </c>
      <c r="B47" s="411" t="s">
        <v>80</v>
      </c>
      <c r="C47" s="412" t="s">
        <v>79</v>
      </c>
      <c r="D47" s="412">
        <v>29</v>
      </c>
      <c r="E47" s="412">
        <v>9</v>
      </c>
      <c r="F47" s="412">
        <v>13</v>
      </c>
      <c r="G47" s="413">
        <v>22</v>
      </c>
      <c r="H47" s="414">
        <v>0.75862068965517238</v>
      </c>
      <c r="I47" s="412">
        <v>-7</v>
      </c>
      <c r="J47" s="412">
        <v>20</v>
      </c>
      <c r="K47" s="412">
        <v>27</v>
      </c>
      <c r="L47" s="414">
        <v>-0.2413793103448276</v>
      </c>
      <c r="M47" s="412">
        <v>85</v>
      </c>
      <c r="N47" s="415">
        <v>2.9310344827586206</v>
      </c>
      <c r="O47" s="412">
        <v>24</v>
      </c>
      <c r="P47" s="422">
        <v>22.442361111111111</v>
      </c>
      <c r="Q47" s="416">
        <v>0.77361111111111114</v>
      </c>
      <c r="R47" s="412">
        <v>5</v>
      </c>
      <c r="S47" s="412">
        <v>1</v>
      </c>
      <c r="T47" s="412">
        <v>0</v>
      </c>
    </row>
    <row r="48" spans="1:20" ht="28.8" x14ac:dyDescent="0.3">
      <c r="A48" s="410" t="s">
        <v>869</v>
      </c>
      <c r="B48" s="411" t="s">
        <v>80</v>
      </c>
      <c r="C48" s="412" t="s">
        <v>79</v>
      </c>
      <c r="D48" s="412">
        <v>43</v>
      </c>
      <c r="E48" s="412">
        <v>9</v>
      </c>
      <c r="F48" s="412">
        <v>23</v>
      </c>
      <c r="G48" s="413">
        <v>32</v>
      </c>
      <c r="H48" s="414">
        <v>0.7441860465116279</v>
      </c>
      <c r="I48" s="412">
        <v>9</v>
      </c>
      <c r="J48" s="412">
        <v>36</v>
      </c>
      <c r="K48" s="412">
        <v>27</v>
      </c>
      <c r="L48" s="414">
        <v>0.20930232558139536</v>
      </c>
      <c r="M48" s="412">
        <v>116</v>
      </c>
      <c r="N48" s="415">
        <v>2.6976744186046511</v>
      </c>
      <c r="O48" s="412">
        <v>14</v>
      </c>
      <c r="P48" s="422">
        <v>29.862500000000001</v>
      </c>
      <c r="Q48" s="416">
        <v>0.69444444444444453</v>
      </c>
      <c r="R48" s="412">
        <v>2</v>
      </c>
      <c r="S48" s="412">
        <v>1</v>
      </c>
      <c r="T48" s="412">
        <v>2</v>
      </c>
    </row>
    <row r="49" spans="1:20" ht="28.8" x14ac:dyDescent="0.3">
      <c r="A49" s="410" t="s">
        <v>3614</v>
      </c>
      <c r="B49" s="411" t="s">
        <v>80</v>
      </c>
      <c r="C49" s="412" t="s">
        <v>79</v>
      </c>
      <c r="D49" s="412">
        <v>52</v>
      </c>
      <c r="E49" s="412">
        <v>22</v>
      </c>
      <c r="F49" s="412">
        <v>16</v>
      </c>
      <c r="G49" s="413">
        <v>38</v>
      </c>
      <c r="H49" s="414">
        <v>0.73076923076923073</v>
      </c>
      <c r="I49" s="412">
        <v>0</v>
      </c>
      <c r="J49" s="412">
        <v>41</v>
      </c>
      <c r="K49" s="412">
        <v>41</v>
      </c>
      <c r="L49" s="414">
        <v>0</v>
      </c>
      <c r="M49" s="412">
        <v>150</v>
      </c>
      <c r="N49" s="415">
        <v>2.8846153846153846</v>
      </c>
      <c r="O49" s="412">
        <v>51</v>
      </c>
      <c r="P49" s="422">
        <v>37.50138888888889</v>
      </c>
      <c r="Q49" s="416">
        <v>0.72083333333333333</v>
      </c>
      <c r="R49" s="412">
        <v>6</v>
      </c>
      <c r="S49" s="412">
        <v>0</v>
      </c>
      <c r="T49" s="412">
        <v>3</v>
      </c>
    </row>
    <row r="50" spans="1:20" ht="28.8" x14ac:dyDescent="0.3">
      <c r="A50" s="410" t="s">
        <v>122</v>
      </c>
      <c r="B50" s="411" t="s">
        <v>80</v>
      </c>
      <c r="C50" s="412" t="s">
        <v>79</v>
      </c>
      <c r="D50" s="412">
        <v>52</v>
      </c>
      <c r="E50" s="412">
        <v>19</v>
      </c>
      <c r="F50" s="412">
        <v>18</v>
      </c>
      <c r="G50" s="413">
        <v>37</v>
      </c>
      <c r="H50" s="414">
        <v>0.71153846153846156</v>
      </c>
      <c r="I50" s="412">
        <v>13</v>
      </c>
      <c r="J50" s="412">
        <v>44</v>
      </c>
      <c r="K50" s="412">
        <v>31</v>
      </c>
      <c r="L50" s="414">
        <v>0.25</v>
      </c>
      <c r="M50" s="412">
        <v>158</v>
      </c>
      <c r="N50" s="415">
        <v>3.0384615384615383</v>
      </c>
      <c r="O50" s="412">
        <v>32</v>
      </c>
      <c r="P50" s="422">
        <v>38.093055555555559</v>
      </c>
      <c r="Q50" s="416">
        <v>0.7319444444444444</v>
      </c>
      <c r="R50" s="412">
        <v>3</v>
      </c>
      <c r="S50" s="412">
        <v>0</v>
      </c>
      <c r="T50" s="412">
        <v>5</v>
      </c>
    </row>
    <row r="51" spans="1:20" ht="28.8" x14ac:dyDescent="0.3">
      <c r="A51" s="410" t="s">
        <v>124</v>
      </c>
      <c r="B51" s="411" t="s">
        <v>80</v>
      </c>
      <c r="C51" s="412" t="s">
        <v>79</v>
      </c>
      <c r="D51" s="412">
        <v>49</v>
      </c>
      <c r="E51" s="412">
        <v>12</v>
      </c>
      <c r="F51" s="412">
        <v>20</v>
      </c>
      <c r="G51" s="413">
        <v>32</v>
      </c>
      <c r="H51" s="414">
        <v>0.65306122448979587</v>
      </c>
      <c r="I51" s="412">
        <v>1</v>
      </c>
      <c r="J51" s="412">
        <v>36</v>
      </c>
      <c r="K51" s="412">
        <v>35</v>
      </c>
      <c r="L51" s="414">
        <v>2.0408163265306121E-2</v>
      </c>
      <c r="M51" s="412">
        <v>145</v>
      </c>
      <c r="N51" s="415">
        <v>2.9591836734693877</v>
      </c>
      <c r="O51" s="412">
        <v>26</v>
      </c>
      <c r="P51" s="422">
        <v>34.916666666666664</v>
      </c>
      <c r="Q51" s="416">
        <v>0.71250000000000002</v>
      </c>
      <c r="R51" s="412">
        <v>4</v>
      </c>
      <c r="S51" s="412">
        <v>0</v>
      </c>
      <c r="T51" s="412">
        <v>1</v>
      </c>
    </row>
    <row r="52" spans="1:20" ht="28.8" x14ac:dyDescent="0.3">
      <c r="A52" s="410" t="s">
        <v>100</v>
      </c>
      <c r="B52" s="411" t="s">
        <v>80</v>
      </c>
      <c r="C52" s="412" t="s">
        <v>79</v>
      </c>
      <c r="D52" s="412">
        <v>45</v>
      </c>
      <c r="E52" s="412">
        <v>6</v>
      </c>
      <c r="F52" s="412">
        <v>23</v>
      </c>
      <c r="G52" s="413">
        <v>29</v>
      </c>
      <c r="H52" s="414">
        <v>0.64444444444444449</v>
      </c>
      <c r="I52" s="412">
        <v>4</v>
      </c>
      <c r="J52" s="412">
        <v>36</v>
      </c>
      <c r="K52" s="412">
        <v>32</v>
      </c>
      <c r="L52" s="414">
        <v>8.8888888888888892E-2</v>
      </c>
      <c r="M52" s="412">
        <v>65</v>
      </c>
      <c r="N52" s="415">
        <v>1.4444444444444444</v>
      </c>
      <c r="O52" s="412">
        <v>10</v>
      </c>
      <c r="P52" s="422">
        <v>31.042361111111109</v>
      </c>
      <c r="Q52" s="416">
        <v>0.68958333333333333</v>
      </c>
      <c r="R52" s="412">
        <v>0</v>
      </c>
      <c r="S52" s="412">
        <v>2</v>
      </c>
      <c r="T52" s="412">
        <v>0</v>
      </c>
    </row>
    <row r="53" spans="1:20" ht="28.8" x14ac:dyDescent="0.3">
      <c r="A53" s="410" t="s">
        <v>108</v>
      </c>
      <c r="B53" s="411" t="s">
        <v>80</v>
      </c>
      <c r="C53" s="412" t="s">
        <v>79</v>
      </c>
      <c r="D53" s="412">
        <v>43</v>
      </c>
      <c r="E53" s="412">
        <v>6</v>
      </c>
      <c r="F53" s="412">
        <v>8</v>
      </c>
      <c r="G53" s="413">
        <v>14</v>
      </c>
      <c r="H53" s="414">
        <v>0.32558139534883723</v>
      </c>
      <c r="I53" s="412">
        <v>0</v>
      </c>
      <c r="J53" s="412">
        <v>23</v>
      </c>
      <c r="K53" s="412">
        <v>23</v>
      </c>
      <c r="L53" s="414">
        <v>0</v>
      </c>
      <c r="M53" s="412">
        <v>32</v>
      </c>
      <c r="N53" s="415">
        <v>0.7441860465116279</v>
      </c>
      <c r="O53" s="412">
        <v>6</v>
      </c>
      <c r="P53" s="422">
        <v>26.987500000000001</v>
      </c>
      <c r="Q53" s="416">
        <v>0.62708333333333333</v>
      </c>
      <c r="R53" s="412">
        <v>1</v>
      </c>
      <c r="S53" s="412">
        <v>0</v>
      </c>
      <c r="T53" s="412">
        <v>0</v>
      </c>
    </row>
    <row r="54" spans="1:20" ht="28.8" x14ac:dyDescent="0.3">
      <c r="A54" s="410" t="s">
        <v>3622</v>
      </c>
      <c r="B54" s="411" t="s">
        <v>80</v>
      </c>
      <c r="C54" s="412" t="s">
        <v>79</v>
      </c>
      <c r="D54" s="412">
        <v>20</v>
      </c>
      <c r="E54" s="412">
        <v>1</v>
      </c>
      <c r="F54" s="412">
        <v>3</v>
      </c>
      <c r="G54" s="413">
        <v>4</v>
      </c>
      <c r="H54" s="414">
        <v>0.2</v>
      </c>
      <c r="I54" s="412">
        <v>-3</v>
      </c>
      <c r="J54" s="412">
        <v>4</v>
      </c>
      <c r="K54" s="412">
        <v>7</v>
      </c>
      <c r="L54" s="414">
        <v>-0.15</v>
      </c>
      <c r="M54" s="412">
        <v>20</v>
      </c>
      <c r="N54" s="415">
        <v>1</v>
      </c>
      <c r="O54" s="412">
        <v>4</v>
      </c>
      <c r="P54" s="422">
        <v>5.9604166666666671</v>
      </c>
      <c r="Q54" s="416">
        <v>0.29791666666666666</v>
      </c>
      <c r="R54" s="412">
        <v>0</v>
      </c>
      <c r="S54" s="412">
        <v>0</v>
      </c>
      <c r="T54" s="412">
        <v>0</v>
      </c>
    </row>
    <row r="55" spans="1:20" ht="28.8" x14ac:dyDescent="0.3">
      <c r="A55" s="410" t="s">
        <v>97</v>
      </c>
      <c r="B55" s="411" t="s">
        <v>80</v>
      </c>
      <c r="C55" s="412" t="s">
        <v>79</v>
      </c>
      <c r="D55" s="412">
        <v>37</v>
      </c>
      <c r="E55" s="412">
        <v>2</v>
      </c>
      <c r="F55" s="412">
        <v>3</v>
      </c>
      <c r="G55" s="413">
        <v>5</v>
      </c>
      <c r="H55" s="414">
        <v>0.13513513513513514</v>
      </c>
      <c r="I55" s="412">
        <v>-2</v>
      </c>
      <c r="J55" s="412">
        <v>9</v>
      </c>
      <c r="K55" s="412">
        <v>11</v>
      </c>
      <c r="L55" s="414">
        <v>-5.4054054054054057E-2</v>
      </c>
      <c r="M55" s="412">
        <v>23</v>
      </c>
      <c r="N55" s="415">
        <v>0.6216216216216216</v>
      </c>
      <c r="O55" s="412">
        <v>12</v>
      </c>
      <c r="P55" s="422">
        <v>16.286805555555556</v>
      </c>
      <c r="Q55" s="416">
        <v>0.43958333333333338</v>
      </c>
      <c r="R55" s="412">
        <v>0</v>
      </c>
      <c r="S55" s="412">
        <v>0</v>
      </c>
      <c r="T55" s="412">
        <v>0</v>
      </c>
    </row>
    <row r="58" spans="1:20" x14ac:dyDescent="0.3">
      <c r="D58" s="2">
        <f>SUM(D46:D55)</f>
        <v>382</v>
      </c>
      <c r="E58" s="2">
        <f>SUM(E46:E55)</f>
        <v>94</v>
      </c>
      <c r="F58" s="2">
        <f>SUM(F46:F55)</f>
        <v>136</v>
      </c>
      <c r="G58" s="2">
        <f>SUM(G46:G55)</f>
        <v>230</v>
      </c>
    </row>
    <row r="59" spans="1:20" x14ac:dyDescent="0.3">
      <c r="B59" s="8" t="s">
        <v>3668</v>
      </c>
      <c r="C59" s="8"/>
      <c r="D59" s="2">
        <v>520</v>
      </c>
      <c r="E59" s="259">
        <f>($D$59*E58)/$D$58</f>
        <v>127.95811518324608</v>
      </c>
      <c r="F59" s="259">
        <f>($D$59*F58)/$D$58</f>
        <v>185.13089005235602</v>
      </c>
      <c r="G59" s="259">
        <f>($D$59*G58)/$D$58</f>
        <v>313.08900523560209</v>
      </c>
    </row>
  </sheetData>
  <autoFilter ref="A5:T40" xr:uid="{00000000-0009-0000-0000-000008000000}">
    <sortState xmlns:xlrd2="http://schemas.microsoft.com/office/spreadsheetml/2017/richdata2" ref="A6:T40">
      <sortCondition descending="1" ref="H5:H40"/>
    </sortState>
  </autoFilter>
  <hyperlinks>
    <hyperlink ref="B9" r:id="rId1" display="https://www.hokej.cz/www/klub/823/statistiky?stats-view-value=823&amp;do=stats-view-selectTeam" xr:uid="{00000000-0004-0000-0800-000000000000}"/>
    <hyperlink ref="B10" r:id="rId2" display="https://www.hokej.cz/www/klub/823/statistiky?stats-view-value=823&amp;do=stats-view-selectTeam" xr:uid="{00000000-0004-0000-0800-000001000000}"/>
    <hyperlink ref="B12" r:id="rId3" display="https://www.hokej.cz/www/klub/823/statistiky?stats-view-value=823&amp;do=stats-view-selectTeam" xr:uid="{00000000-0004-0000-0800-000002000000}"/>
    <hyperlink ref="B8" r:id="rId4" display="https://www.hokej.cz/www/klub/823/statistiky?stats-view-value=823&amp;do=stats-view-selectTeam" xr:uid="{00000000-0004-0000-0800-000003000000}"/>
    <hyperlink ref="B13" r:id="rId5" display="https://www.hokej.cz/www/klub/823/statistiky?stats-view-value=823&amp;do=stats-view-selectTeam" xr:uid="{00000000-0004-0000-0800-000004000000}"/>
    <hyperlink ref="B7" r:id="rId6" display="https://www.hokej.cz/www/klub/823/statistiky?stats-view-value=823&amp;do=stats-view-selectTeam" xr:uid="{00000000-0004-0000-0800-000005000000}"/>
    <hyperlink ref="B11" r:id="rId7" display="https://www.hokej.cz/www/klub/823/statistiky?stats-view-value=823&amp;do=stats-view-selectTeam" xr:uid="{00000000-0004-0000-0800-000006000000}"/>
    <hyperlink ref="B6" r:id="rId8" display="https://www.hokej.cz/www/klub/823/statistiky?stats-view-value=823&amp;do=stats-view-selectTeam" xr:uid="{00000000-0004-0000-0800-000007000000}"/>
    <hyperlink ref="B15" r:id="rId9" display="https://www.hokej.cz/www/klub/823/statistiky?stats-view-value=823&amp;do=stats-view-selectTeam" xr:uid="{00000000-0004-0000-0800-000008000000}"/>
    <hyperlink ref="B19" r:id="rId10" display="https://www.hokej.cz/www/klub/823/statistiky?stats-view-value=823&amp;do=stats-view-selectTeam" xr:uid="{00000000-0004-0000-0800-000009000000}"/>
    <hyperlink ref="B23" r:id="rId11" display="https://www.hokej.cz/www/klub/823/statistiky?stats-view-value=823&amp;do=stats-view-selectTeam" xr:uid="{00000000-0004-0000-0800-00000A000000}"/>
    <hyperlink ref="B22" r:id="rId12" display="https://www.hokej.cz/www/klub/823/statistiky?stats-view-value=823&amp;do=stats-view-selectTeam" xr:uid="{00000000-0004-0000-0800-00000B000000}"/>
    <hyperlink ref="B26" r:id="rId13" display="https://www.hokej.cz/www/klub/823/statistiky?stats-view-value=823&amp;do=stats-view-selectTeam" xr:uid="{00000000-0004-0000-0800-00000C000000}"/>
    <hyperlink ref="B20" r:id="rId14" display="https://www.hokej.cz/www/klub/823/statistiky?stats-view-value=823&amp;do=stats-view-selectTeam" xr:uid="{00000000-0004-0000-0800-00000D000000}"/>
    <hyperlink ref="B24" r:id="rId15" display="https://www.hokej.cz/www/klub/823/statistiky?stats-view-value=823&amp;do=stats-view-selectTeam" xr:uid="{00000000-0004-0000-0800-00000E000000}"/>
    <hyperlink ref="B18" r:id="rId16" display="https://www.hokej.cz/www/klub/823/statistiky?stats-view-value=823&amp;do=stats-view-selectTeam" xr:uid="{00000000-0004-0000-0800-00000F000000}"/>
    <hyperlink ref="B25" r:id="rId17" display="https://www.hokej.cz/www/klub/823/statistiky?stats-view-value=823&amp;do=stats-view-selectTeam" xr:uid="{00000000-0004-0000-0800-000010000000}"/>
    <hyperlink ref="B21" r:id="rId18" display="https://www.hokej.cz/www/klub/823/statistiky?stats-view-value=823&amp;do=stats-view-selectTeam" xr:uid="{00000000-0004-0000-0800-000011000000}"/>
    <hyperlink ref="B30" r:id="rId19" display="https://www.hokej.cz/www/klub/823/statistiky?stats-view-value=823&amp;do=stats-view-selectTeam" xr:uid="{00000000-0004-0000-0800-000012000000}"/>
    <hyperlink ref="B14" r:id="rId20" display="https://www.hokej.cz/www/klub/823/statistiky?stats-view-value=823&amp;do=stats-view-selectTeam" xr:uid="{00000000-0004-0000-0800-000013000000}"/>
    <hyperlink ref="B31" r:id="rId21" display="https://www.hokej.cz/www/klub/823/statistiky?stats-view-value=823&amp;do=stats-view-selectTeam" xr:uid="{00000000-0004-0000-0800-000014000000}"/>
    <hyperlink ref="B33" r:id="rId22" display="https://www.hokej.cz/www/klub/823/statistiky?stats-view-value=823&amp;do=stats-view-selectTeam" xr:uid="{00000000-0004-0000-0800-000015000000}"/>
    <hyperlink ref="B34" r:id="rId23" display="https://www.hokej.cz/www/klub/823/statistiky?stats-view-value=823&amp;do=stats-view-selectTeam" xr:uid="{00000000-0004-0000-0800-000016000000}"/>
    <hyperlink ref="B28" r:id="rId24" display="https://www.hokej.cz/www/klub/823/statistiky?stats-view-value=823&amp;do=stats-view-selectTeam" xr:uid="{00000000-0004-0000-0800-000017000000}"/>
    <hyperlink ref="B29" r:id="rId25" display="https://www.hokej.cz/www/klub/823/statistiky?stats-view-value=823&amp;do=stats-view-selectTeam" xr:uid="{00000000-0004-0000-0800-000018000000}"/>
    <hyperlink ref="B17" r:id="rId26" display="https://www.hokej.cz/www/klub/823/statistiky?stats-view-value=823&amp;do=stats-view-selectTeam" xr:uid="{00000000-0004-0000-0800-000019000000}"/>
    <hyperlink ref="B16" r:id="rId27" display="https://www.hokej.cz/www/klub/823/statistiky?stats-view-value=823&amp;do=stats-view-selectTeam" xr:uid="{00000000-0004-0000-0800-00001A000000}"/>
    <hyperlink ref="B35" r:id="rId28" display="https://www.hokej.cz/www/klub/823/statistiky?stats-view-value=823&amp;do=stats-view-selectTeam" xr:uid="{00000000-0004-0000-0800-00001B000000}"/>
    <hyperlink ref="B27" r:id="rId29" display="https://www.hokej.cz/www/klub/823/statistiky?stats-view-value=823&amp;do=stats-view-selectTeam" xr:uid="{00000000-0004-0000-0800-00001C000000}"/>
    <hyperlink ref="B32" r:id="rId30" display="https://www.hokej.cz/www/klub/823/statistiky?stats-view-value=823&amp;do=stats-view-selectTeam" xr:uid="{00000000-0004-0000-0800-00001D000000}"/>
    <hyperlink ref="B37" r:id="rId31" display="https://www.hokej.cz/www/klub/823/statistiky?stats-view-value=823&amp;do=stats-view-selectTeam" xr:uid="{00000000-0004-0000-0800-00001E000000}"/>
    <hyperlink ref="B40" r:id="rId32" display="https://www.hokej.cz/www/klub/823/statistiky?stats-view-value=823&amp;do=stats-view-selectTeam" xr:uid="{00000000-0004-0000-0800-00001F000000}"/>
    <hyperlink ref="B39" r:id="rId33" display="https://www.hokej.cz/www/klub/823/statistiky?stats-view-value=823&amp;do=stats-view-selectTeam" xr:uid="{00000000-0004-0000-0800-000020000000}"/>
    <hyperlink ref="B36" r:id="rId34" display="https://www.hokej.cz/www/klub/823/statistiky?stats-view-value=823&amp;do=stats-view-selectTeam" xr:uid="{00000000-0004-0000-0800-000021000000}"/>
    <hyperlink ref="B38" r:id="rId35" display="https://www.hokej.cz/www/klub/823/statistiky?stats-view-value=823&amp;do=stats-view-selectTeam" xr:uid="{00000000-0004-0000-0800-000022000000}"/>
    <hyperlink ref="B46" r:id="rId36" display="https://www.hokej.cz/www/klub/823/statistiky?stats-view-value=823&amp;do=stats-view-selectTeam" xr:uid="{00000000-0004-0000-0800-000023000000}"/>
    <hyperlink ref="B47" r:id="rId37" display="https://www.hokej.cz/www/klub/823/statistiky?stats-view-value=823&amp;do=stats-view-selectTeam" xr:uid="{00000000-0004-0000-0800-000024000000}"/>
    <hyperlink ref="B48" r:id="rId38" display="https://www.hokej.cz/www/klub/823/statistiky?stats-view-value=823&amp;do=stats-view-selectTeam" xr:uid="{00000000-0004-0000-0800-000025000000}"/>
    <hyperlink ref="B49" r:id="rId39" display="https://www.hokej.cz/www/klub/823/statistiky?stats-view-value=823&amp;do=stats-view-selectTeam" xr:uid="{00000000-0004-0000-0800-000026000000}"/>
    <hyperlink ref="B50" r:id="rId40" display="https://www.hokej.cz/www/klub/823/statistiky?stats-view-value=823&amp;do=stats-view-selectTeam" xr:uid="{00000000-0004-0000-0800-000027000000}"/>
    <hyperlink ref="B51" r:id="rId41" display="https://www.hokej.cz/www/klub/823/statistiky?stats-view-value=823&amp;do=stats-view-selectTeam" xr:uid="{00000000-0004-0000-0800-000028000000}"/>
    <hyperlink ref="B52" r:id="rId42" display="https://www.hokej.cz/www/klub/823/statistiky?stats-view-value=823&amp;do=stats-view-selectTeam" xr:uid="{00000000-0004-0000-0800-000029000000}"/>
    <hyperlink ref="B53" r:id="rId43" display="https://www.hokej.cz/www/klub/823/statistiky?stats-view-value=823&amp;do=stats-view-selectTeam" xr:uid="{00000000-0004-0000-0800-00002A000000}"/>
    <hyperlink ref="B54" r:id="rId44" display="https://www.hokej.cz/www/klub/823/statistiky?stats-view-value=823&amp;do=stats-view-selectTeam" xr:uid="{00000000-0004-0000-0800-00002B000000}"/>
    <hyperlink ref="B55" r:id="rId45" display="https://www.hokej.cz/www/klub/823/statistiky?stats-view-value=823&amp;do=stats-view-selectTeam" xr:uid="{00000000-0004-0000-0800-00002C000000}"/>
  </hyperlinks>
  <pageMargins left="0.7" right="0.7" top="0.78740157499999996" bottom="0.78740157499999996" header="0.3" footer="0.3"/>
  <legacyDrawing r:id="rId4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D1:BE45"/>
  <sheetViews>
    <sheetView topLeftCell="B1" workbookViewId="0">
      <selection activeCell="L12" sqref="L12"/>
    </sheetView>
  </sheetViews>
  <sheetFormatPr defaultRowHeight="14.4" x14ac:dyDescent="0.3"/>
  <cols>
    <col min="3" max="3" width="18.5546875" customWidth="1"/>
    <col min="4" max="4" width="18.6640625" customWidth="1"/>
    <col min="5" max="6" width="15.44140625" customWidth="1"/>
    <col min="7" max="7" width="20.5546875" customWidth="1"/>
    <col min="8" max="8" width="13.5546875" customWidth="1"/>
    <col min="9" max="9" width="15.33203125" customWidth="1"/>
    <col min="10" max="10" width="22.5546875" customWidth="1"/>
    <col min="11" max="11" width="14.33203125" customWidth="1"/>
    <col min="12" max="12" width="15.5546875" customWidth="1"/>
    <col min="13" max="13" width="20.44140625" customWidth="1"/>
    <col min="14" max="14" width="15.6640625" customWidth="1"/>
    <col min="15" max="15" width="14.33203125" customWidth="1"/>
    <col min="16" max="16" width="18.109375" customWidth="1"/>
    <col min="19" max="19" width="13.44140625" customWidth="1"/>
    <col min="20" max="20" width="13" customWidth="1"/>
    <col min="21" max="21" width="14" customWidth="1"/>
    <col min="22" max="22" width="25" customWidth="1"/>
    <col min="23" max="23" width="19.44140625" customWidth="1"/>
    <col min="24" max="24" width="18.44140625" customWidth="1"/>
    <col min="25" max="25" width="28.109375" customWidth="1"/>
    <col min="26" max="26" width="17.5546875" customWidth="1"/>
    <col min="27" max="27" width="14.44140625" customWidth="1"/>
    <col min="28" max="28" width="13.5546875" customWidth="1"/>
    <col min="41" max="41" width="16.44140625" customWidth="1"/>
    <col min="42" max="42" width="35.33203125" customWidth="1"/>
    <col min="46" max="46" width="31.109375" customWidth="1"/>
    <col min="51" max="51" width="38" customWidth="1"/>
    <col min="54" max="54" width="31.44140625" customWidth="1"/>
    <col min="57" max="57" width="39.44140625" customWidth="1"/>
  </cols>
  <sheetData>
    <row r="1" spans="4:57" ht="15" thickBot="1" x14ac:dyDescent="0.35"/>
    <row r="2" spans="4:57" x14ac:dyDescent="0.3">
      <c r="D2" s="303"/>
      <c r="E2" s="1142" t="s">
        <v>3587</v>
      </c>
      <c r="F2" s="1143"/>
      <c r="G2" s="1144"/>
      <c r="H2" s="1145" t="s">
        <v>3588</v>
      </c>
      <c r="I2" s="1143"/>
      <c r="J2" s="1144"/>
      <c r="K2" s="1145" t="s">
        <v>3586</v>
      </c>
      <c r="L2" s="1143"/>
      <c r="M2" s="1144"/>
      <c r="N2" s="1145" t="s">
        <v>3589</v>
      </c>
      <c r="O2" s="1143"/>
      <c r="P2" s="1144"/>
    </row>
    <row r="3" spans="4:57" ht="15" thickBot="1" x14ac:dyDescent="0.35">
      <c r="D3" s="304"/>
      <c r="E3" s="199" t="s">
        <v>999</v>
      </c>
      <c r="F3" s="200" t="s">
        <v>796</v>
      </c>
      <c r="G3" s="230" t="s">
        <v>1000</v>
      </c>
      <c r="H3" s="235" t="s">
        <v>999</v>
      </c>
      <c r="I3" s="200" t="s">
        <v>796</v>
      </c>
      <c r="J3" s="230" t="s">
        <v>1000</v>
      </c>
      <c r="K3" s="235" t="s">
        <v>999</v>
      </c>
      <c r="L3" s="200" t="s">
        <v>796</v>
      </c>
      <c r="M3" s="230" t="s">
        <v>1000</v>
      </c>
      <c r="N3" s="235" t="s">
        <v>999</v>
      </c>
      <c r="O3" s="200" t="s">
        <v>796</v>
      </c>
      <c r="P3" s="230" t="s">
        <v>1000</v>
      </c>
      <c r="AJ3" s="2"/>
      <c r="AK3" s="2"/>
    </row>
    <row r="4" spans="4:57" x14ac:dyDescent="0.3">
      <c r="D4" s="280" t="s">
        <v>610</v>
      </c>
      <c r="E4" s="277">
        <v>12</v>
      </c>
      <c r="F4" s="278">
        <v>19</v>
      </c>
      <c r="G4" s="279">
        <f t="shared" ref="G4:G17" si="0">F4/E4</f>
        <v>1.5833333333333333</v>
      </c>
      <c r="H4" s="171">
        <v>24</v>
      </c>
      <c r="I4" s="278">
        <v>49</v>
      </c>
      <c r="J4" s="279">
        <f t="shared" ref="J4:J17" si="1">I4/H4</f>
        <v>2.0416666666666665</v>
      </c>
      <c r="K4" s="171">
        <v>37</v>
      </c>
      <c r="L4" s="278">
        <v>78</v>
      </c>
      <c r="M4" s="279">
        <f t="shared" ref="M4:M17" si="2">L4/K4</f>
        <v>2.1081081081081079</v>
      </c>
      <c r="N4" s="171">
        <v>50</v>
      </c>
      <c r="O4" s="278">
        <v>99</v>
      </c>
      <c r="P4" s="279">
        <f t="shared" ref="P4:P17" si="3">O4/N4</f>
        <v>1.98</v>
      </c>
      <c r="AI4" s="2"/>
      <c r="AJ4" s="2"/>
      <c r="AK4" s="60"/>
      <c r="AL4" s="60"/>
      <c r="AM4" s="60"/>
      <c r="AN4" s="60"/>
      <c r="AO4" s="2"/>
      <c r="AP4" s="8"/>
      <c r="AQ4" s="2"/>
      <c r="AT4" s="178"/>
      <c r="AY4" s="178"/>
      <c r="BB4" s="178"/>
      <c r="BE4" s="178"/>
    </row>
    <row r="5" spans="4:57" x14ac:dyDescent="0.3">
      <c r="D5" s="281" t="s">
        <v>334</v>
      </c>
      <c r="E5" s="198">
        <v>15</v>
      </c>
      <c r="F5" s="183">
        <v>25</v>
      </c>
      <c r="G5" s="275">
        <f t="shared" si="0"/>
        <v>1.6666666666666667</v>
      </c>
      <c r="H5" s="184">
        <v>29</v>
      </c>
      <c r="I5" s="183">
        <v>50</v>
      </c>
      <c r="J5" s="275">
        <f t="shared" si="1"/>
        <v>1.7241379310344827</v>
      </c>
      <c r="K5" s="184">
        <v>37</v>
      </c>
      <c r="L5" s="183">
        <v>67</v>
      </c>
      <c r="M5" s="275">
        <f t="shared" si="2"/>
        <v>1.8108108108108107</v>
      </c>
      <c r="N5" s="184">
        <v>50</v>
      </c>
      <c r="O5" s="183">
        <v>87</v>
      </c>
      <c r="P5" s="275">
        <f t="shared" si="3"/>
        <v>1.74</v>
      </c>
      <c r="AI5" s="2"/>
      <c r="AJ5" s="2"/>
      <c r="AK5" s="60"/>
      <c r="AL5" s="60"/>
      <c r="AM5" s="60"/>
      <c r="AN5" s="60"/>
      <c r="AO5" s="2"/>
      <c r="AP5" s="8"/>
      <c r="AQ5" s="2"/>
      <c r="AT5" s="178"/>
      <c r="AY5" s="178"/>
      <c r="BB5" s="8"/>
      <c r="BE5" s="178"/>
    </row>
    <row r="6" spans="4:57" x14ac:dyDescent="0.3">
      <c r="D6" s="281" t="s">
        <v>331</v>
      </c>
      <c r="E6" s="198">
        <v>12</v>
      </c>
      <c r="F6" s="183">
        <v>22</v>
      </c>
      <c r="G6" s="275">
        <f t="shared" si="0"/>
        <v>1.8333333333333333</v>
      </c>
      <c r="H6" s="184">
        <v>24</v>
      </c>
      <c r="I6" s="183">
        <v>46</v>
      </c>
      <c r="J6" s="275">
        <f t="shared" si="1"/>
        <v>1.9166666666666667</v>
      </c>
      <c r="K6" s="184">
        <v>37</v>
      </c>
      <c r="L6" s="183">
        <v>70</v>
      </c>
      <c r="M6" s="275">
        <f t="shared" si="2"/>
        <v>1.8918918918918919</v>
      </c>
      <c r="N6" s="171">
        <v>50</v>
      </c>
      <c r="O6" s="183">
        <v>89</v>
      </c>
      <c r="P6" s="275">
        <f t="shared" si="3"/>
        <v>1.78</v>
      </c>
      <c r="AI6" s="2"/>
      <c r="AJ6" s="2"/>
      <c r="AK6" s="60"/>
      <c r="AL6" s="60"/>
      <c r="AM6" s="60"/>
      <c r="AN6" s="60"/>
      <c r="AO6" s="2"/>
      <c r="AP6" s="182"/>
      <c r="AQ6" s="2"/>
      <c r="AT6" s="178"/>
      <c r="AY6" s="178"/>
      <c r="BB6" s="8"/>
      <c r="BE6" s="8"/>
    </row>
    <row r="7" spans="4:57" x14ac:dyDescent="0.3">
      <c r="D7" s="281" t="s">
        <v>1274</v>
      </c>
      <c r="E7" s="198">
        <v>14</v>
      </c>
      <c r="F7" s="183">
        <v>21</v>
      </c>
      <c r="G7" s="275">
        <f t="shared" si="0"/>
        <v>1.5</v>
      </c>
      <c r="H7" s="184">
        <v>27</v>
      </c>
      <c r="I7" s="183">
        <v>38</v>
      </c>
      <c r="J7" s="275">
        <f t="shared" si="1"/>
        <v>1.4074074074074074</v>
      </c>
      <c r="K7" s="184">
        <v>37</v>
      </c>
      <c r="L7" s="183">
        <v>54</v>
      </c>
      <c r="M7" s="275">
        <f t="shared" si="2"/>
        <v>1.4594594594594594</v>
      </c>
      <c r="N7" s="184">
        <v>50</v>
      </c>
      <c r="O7" s="183">
        <v>71</v>
      </c>
      <c r="P7" s="275">
        <f t="shared" si="3"/>
        <v>1.42</v>
      </c>
      <c r="AI7" s="2"/>
      <c r="AJ7" s="2"/>
      <c r="AK7" s="60"/>
      <c r="AL7" s="60"/>
      <c r="AM7" s="60"/>
      <c r="AN7" s="60"/>
      <c r="AO7" s="2"/>
      <c r="AP7" s="8"/>
      <c r="AQ7" s="2"/>
      <c r="AT7" s="178"/>
      <c r="AY7" s="8"/>
      <c r="BB7" s="8"/>
      <c r="BE7" s="8"/>
    </row>
    <row r="8" spans="4:57" x14ac:dyDescent="0.3">
      <c r="D8" s="281" t="s">
        <v>6179</v>
      </c>
      <c r="E8" s="198">
        <v>13</v>
      </c>
      <c r="F8" s="183">
        <v>30</v>
      </c>
      <c r="G8" s="275">
        <f t="shared" si="0"/>
        <v>2.3076923076923075</v>
      </c>
      <c r="H8" s="184">
        <v>27</v>
      </c>
      <c r="I8" s="183">
        <v>44</v>
      </c>
      <c r="J8" s="275">
        <f t="shared" si="1"/>
        <v>1.6296296296296295</v>
      </c>
      <c r="K8" s="184">
        <v>38</v>
      </c>
      <c r="L8" s="183">
        <v>62</v>
      </c>
      <c r="M8" s="275">
        <f t="shared" si="2"/>
        <v>1.631578947368421</v>
      </c>
      <c r="N8" s="171">
        <v>50</v>
      </c>
      <c r="O8" s="183">
        <v>79</v>
      </c>
      <c r="P8" s="275">
        <f t="shared" si="3"/>
        <v>1.58</v>
      </c>
      <c r="AI8" s="2"/>
      <c r="AJ8" s="2"/>
      <c r="AK8" s="60"/>
      <c r="AL8" s="60"/>
      <c r="AM8" s="60"/>
      <c r="AN8" s="60"/>
      <c r="AO8" s="2"/>
      <c r="AP8" s="8"/>
      <c r="AQ8" s="2"/>
      <c r="AT8" s="178"/>
      <c r="AY8" s="8"/>
      <c r="BB8" s="8"/>
      <c r="BE8" s="8"/>
    </row>
    <row r="9" spans="4:57" x14ac:dyDescent="0.3">
      <c r="D9" s="281" t="s">
        <v>626</v>
      </c>
      <c r="E9" s="198">
        <v>13</v>
      </c>
      <c r="F9" s="183">
        <v>16</v>
      </c>
      <c r="G9" s="275">
        <f t="shared" si="0"/>
        <v>1.2307692307692308</v>
      </c>
      <c r="H9" s="184">
        <v>26</v>
      </c>
      <c r="I9" s="183">
        <v>34</v>
      </c>
      <c r="J9" s="275">
        <f t="shared" si="1"/>
        <v>1.3076923076923077</v>
      </c>
      <c r="K9" s="184">
        <v>39</v>
      </c>
      <c r="L9" s="183">
        <v>51</v>
      </c>
      <c r="M9" s="275">
        <f t="shared" si="2"/>
        <v>1.3076923076923077</v>
      </c>
      <c r="N9" s="184">
        <v>50</v>
      </c>
      <c r="O9" s="183">
        <v>73</v>
      </c>
      <c r="P9" s="275">
        <f t="shared" si="3"/>
        <v>1.46</v>
      </c>
      <c r="AI9" s="2"/>
      <c r="AJ9" s="2"/>
      <c r="AK9" s="60"/>
      <c r="AL9" s="60"/>
      <c r="AM9" s="60"/>
      <c r="AN9" s="60"/>
      <c r="AO9" s="2"/>
      <c r="AP9" s="8"/>
      <c r="AQ9" s="2"/>
      <c r="AT9" s="178"/>
      <c r="AY9" s="8"/>
      <c r="BB9" s="272"/>
      <c r="BE9" s="8"/>
    </row>
    <row r="10" spans="4:57" x14ac:dyDescent="0.3">
      <c r="D10" s="281" t="s">
        <v>328</v>
      </c>
      <c r="E10" s="198">
        <v>14</v>
      </c>
      <c r="F10" s="183">
        <v>18</v>
      </c>
      <c r="G10" s="275">
        <f t="shared" si="0"/>
        <v>1.2857142857142858</v>
      </c>
      <c r="H10" s="184">
        <v>27</v>
      </c>
      <c r="I10" s="183">
        <v>30</v>
      </c>
      <c r="J10" s="275">
        <f t="shared" si="1"/>
        <v>1.1111111111111112</v>
      </c>
      <c r="K10" s="184">
        <v>38</v>
      </c>
      <c r="L10" s="183">
        <v>40</v>
      </c>
      <c r="M10" s="275">
        <f t="shared" si="2"/>
        <v>1.0526315789473684</v>
      </c>
      <c r="N10" s="171">
        <v>50</v>
      </c>
      <c r="O10" s="183">
        <v>60</v>
      </c>
      <c r="P10" s="275">
        <f t="shared" si="3"/>
        <v>1.2</v>
      </c>
      <c r="AI10" s="2"/>
      <c r="AJ10" s="2"/>
      <c r="AK10" s="60"/>
      <c r="AL10" s="60"/>
      <c r="AM10" s="60"/>
      <c r="AN10" s="60"/>
      <c r="AO10" s="2"/>
      <c r="AP10" s="178"/>
      <c r="AQ10" s="2"/>
      <c r="AT10" s="178"/>
      <c r="AY10" s="8"/>
      <c r="BB10" s="8"/>
      <c r="BE10" s="8"/>
    </row>
    <row r="11" spans="4:57" x14ac:dyDescent="0.3">
      <c r="D11" s="281" t="s">
        <v>6086</v>
      </c>
      <c r="E11" s="198">
        <v>13</v>
      </c>
      <c r="F11" s="183">
        <v>23</v>
      </c>
      <c r="G11" s="275">
        <f t="shared" si="0"/>
        <v>1.7692307692307692</v>
      </c>
      <c r="H11" s="184">
        <v>27</v>
      </c>
      <c r="I11" s="183">
        <v>47</v>
      </c>
      <c r="J11" s="275">
        <f t="shared" si="1"/>
        <v>1.7407407407407407</v>
      </c>
      <c r="K11" s="184">
        <v>38</v>
      </c>
      <c r="L11" s="183">
        <v>66</v>
      </c>
      <c r="M11" s="275">
        <f t="shared" si="2"/>
        <v>1.736842105263158</v>
      </c>
      <c r="N11" s="184">
        <v>50</v>
      </c>
      <c r="O11" s="183">
        <v>89</v>
      </c>
      <c r="P11" s="275">
        <f t="shared" si="3"/>
        <v>1.78</v>
      </c>
      <c r="AI11" s="2"/>
      <c r="AJ11" s="2"/>
      <c r="AK11" s="60"/>
      <c r="AL11" s="60"/>
      <c r="AM11" s="60"/>
      <c r="AN11" s="60"/>
      <c r="AO11" s="2"/>
      <c r="AP11" s="8"/>
      <c r="AQ11" s="2"/>
      <c r="AT11" s="178"/>
      <c r="AY11" s="8"/>
      <c r="BB11" s="8"/>
      <c r="BE11" s="8"/>
    </row>
    <row r="12" spans="4:57" x14ac:dyDescent="0.3">
      <c r="D12" s="281" t="s">
        <v>326</v>
      </c>
      <c r="E12" s="198">
        <v>13</v>
      </c>
      <c r="F12" s="183">
        <v>12</v>
      </c>
      <c r="G12" s="275">
        <f t="shared" si="0"/>
        <v>0.92307692307692313</v>
      </c>
      <c r="H12" s="184">
        <v>26</v>
      </c>
      <c r="I12" s="183">
        <v>31</v>
      </c>
      <c r="J12" s="275">
        <f t="shared" si="1"/>
        <v>1.1923076923076923</v>
      </c>
      <c r="K12" s="184">
        <v>38</v>
      </c>
      <c r="L12" s="183">
        <v>54</v>
      </c>
      <c r="M12" s="275">
        <f t="shared" si="2"/>
        <v>1.4210526315789473</v>
      </c>
      <c r="N12" s="171">
        <v>50</v>
      </c>
      <c r="O12" s="183">
        <v>67</v>
      </c>
      <c r="P12" s="275">
        <f t="shared" si="3"/>
        <v>1.34</v>
      </c>
      <c r="AI12" s="2"/>
      <c r="AJ12" s="2"/>
      <c r="AK12" s="60"/>
      <c r="AL12" s="60"/>
      <c r="AM12" s="60"/>
      <c r="AN12" s="60"/>
      <c r="AO12" s="2"/>
      <c r="AP12" s="8"/>
      <c r="AQ12" s="2"/>
      <c r="AT12" s="8"/>
      <c r="AY12" s="8"/>
      <c r="BB12" s="8"/>
    </row>
    <row r="13" spans="4:57" x14ac:dyDescent="0.3">
      <c r="D13" s="281" t="s">
        <v>325</v>
      </c>
      <c r="E13" s="198">
        <v>13</v>
      </c>
      <c r="F13" s="183">
        <v>27</v>
      </c>
      <c r="G13" s="275">
        <f t="shared" si="0"/>
        <v>2.0769230769230771</v>
      </c>
      <c r="H13" s="184">
        <v>26</v>
      </c>
      <c r="I13" s="183">
        <v>53</v>
      </c>
      <c r="J13" s="275">
        <f t="shared" si="1"/>
        <v>2.0384615384615383</v>
      </c>
      <c r="K13" s="184">
        <v>39</v>
      </c>
      <c r="L13" s="183">
        <v>74</v>
      </c>
      <c r="M13" s="275">
        <f t="shared" si="2"/>
        <v>1.8974358974358974</v>
      </c>
      <c r="N13" s="184">
        <v>50</v>
      </c>
      <c r="O13" s="183">
        <v>88</v>
      </c>
      <c r="P13" s="275">
        <f t="shared" si="3"/>
        <v>1.76</v>
      </c>
      <c r="AI13" s="2"/>
      <c r="AJ13" s="2"/>
      <c r="AK13" s="60"/>
      <c r="AL13" s="60"/>
      <c r="AM13" s="60"/>
      <c r="AN13" s="60"/>
      <c r="AO13" s="2"/>
      <c r="AP13" s="178"/>
      <c r="AQ13" s="2"/>
      <c r="AT13" s="8"/>
      <c r="BB13" s="8"/>
      <c r="BE13" s="8"/>
    </row>
    <row r="14" spans="4:57" x14ac:dyDescent="0.3">
      <c r="D14" s="282" t="s">
        <v>818</v>
      </c>
      <c r="E14" s="287">
        <v>13</v>
      </c>
      <c r="F14" s="288">
        <v>13</v>
      </c>
      <c r="G14" s="289">
        <f t="shared" si="0"/>
        <v>1</v>
      </c>
      <c r="H14" s="237">
        <v>27</v>
      </c>
      <c r="I14" s="288">
        <v>30</v>
      </c>
      <c r="J14" s="289">
        <f t="shared" si="1"/>
        <v>1.1111111111111112</v>
      </c>
      <c r="K14" s="237">
        <v>37</v>
      </c>
      <c r="L14" s="288">
        <v>36</v>
      </c>
      <c r="M14" s="289">
        <f t="shared" si="2"/>
        <v>0.97297297297297303</v>
      </c>
      <c r="N14" s="403">
        <v>50</v>
      </c>
      <c r="O14" s="288">
        <v>60</v>
      </c>
      <c r="P14" s="289">
        <f t="shared" si="3"/>
        <v>1.2</v>
      </c>
      <c r="AI14" s="2"/>
      <c r="AJ14" s="2"/>
      <c r="AK14" s="60"/>
      <c r="AL14" s="60"/>
      <c r="AM14" s="60"/>
      <c r="AN14" s="60"/>
      <c r="AO14" s="2"/>
      <c r="AP14" s="178"/>
      <c r="AQ14" s="2"/>
      <c r="AT14" s="8"/>
      <c r="AY14" s="182"/>
      <c r="BE14" s="8"/>
    </row>
    <row r="15" spans="4:57" x14ac:dyDescent="0.3">
      <c r="D15" s="281" t="s">
        <v>6076</v>
      </c>
      <c r="E15" s="198">
        <v>14</v>
      </c>
      <c r="F15" s="183">
        <v>24</v>
      </c>
      <c r="G15" s="275">
        <f t="shared" si="0"/>
        <v>1.7142857142857142</v>
      </c>
      <c r="H15" s="184">
        <v>26</v>
      </c>
      <c r="I15" s="183">
        <v>42</v>
      </c>
      <c r="J15" s="275">
        <f t="shared" si="1"/>
        <v>1.6153846153846154</v>
      </c>
      <c r="K15" s="184">
        <v>38</v>
      </c>
      <c r="L15" s="183">
        <v>57</v>
      </c>
      <c r="M15" s="275">
        <f t="shared" si="2"/>
        <v>1.5</v>
      </c>
      <c r="N15" s="184">
        <v>50</v>
      </c>
      <c r="O15" s="183">
        <v>71</v>
      </c>
      <c r="P15" s="275">
        <f t="shared" si="3"/>
        <v>1.42</v>
      </c>
      <c r="AI15" s="2"/>
      <c r="AJ15" s="2"/>
      <c r="AK15" s="60"/>
      <c r="AL15" s="60"/>
      <c r="AM15" s="60"/>
      <c r="AN15" s="60"/>
      <c r="AO15" s="2"/>
      <c r="AP15" s="182"/>
      <c r="AQ15" s="2"/>
      <c r="AT15" s="8"/>
      <c r="AY15" s="8"/>
      <c r="BB15" s="178"/>
      <c r="BE15" s="8"/>
    </row>
    <row r="16" spans="4:57" x14ac:dyDescent="0.3">
      <c r="D16" s="281" t="s">
        <v>332</v>
      </c>
      <c r="E16" s="198">
        <v>12</v>
      </c>
      <c r="F16" s="183">
        <v>13</v>
      </c>
      <c r="G16" s="275">
        <f t="shared" si="0"/>
        <v>1.0833333333333333</v>
      </c>
      <c r="H16" s="184">
        <v>26</v>
      </c>
      <c r="I16" s="183">
        <v>31</v>
      </c>
      <c r="J16" s="275">
        <f t="shared" si="1"/>
        <v>1.1923076923076923</v>
      </c>
      <c r="K16" s="184">
        <v>38</v>
      </c>
      <c r="L16" s="183">
        <v>50</v>
      </c>
      <c r="M16" s="275">
        <f t="shared" si="2"/>
        <v>1.3157894736842106</v>
      </c>
      <c r="N16" s="171">
        <v>50</v>
      </c>
      <c r="O16" s="183">
        <v>57</v>
      </c>
      <c r="P16" s="275">
        <f t="shared" si="3"/>
        <v>1.1399999999999999</v>
      </c>
      <c r="AI16" s="2"/>
      <c r="AJ16" s="2"/>
      <c r="AK16" s="60"/>
      <c r="AL16" s="60"/>
      <c r="AM16" s="60"/>
      <c r="AN16" s="60"/>
      <c r="AO16" s="2"/>
      <c r="AP16" s="8"/>
      <c r="AQ16" s="2"/>
      <c r="AT16" s="8"/>
      <c r="AY16" s="8"/>
      <c r="BB16" s="8"/>
      <c r="BE16" s="8"/>
    </row>
    <row r="17" spans="4:57" ht="15" thickBot="1" x14ac:dyDescent="0.35">
      <c r="D17" s="283" t="s">
        <v>327</v>
      </c>
      <c r="E17" s="199">
        <v>13</v>
      </c>
      <c r="F17" s="200">
        <v>13</v>
      </c>
      <c r="G17" s="276">
        <f t="shared" si="0"/>
        <v>1</v>
      </c>
      <c r="H17" s="235">
        <v>26</v>
      </c>
      <c r="I17" s="200">
        <v>27</v>
      </c>
      <c r="J17" s="276">
        <f t="shared" si="1"/>
        <v>1.0384615384615385</v>
      </c>
      <c r="K17" s="235">
        <v>39</v>
      </c>
      <c r="L17" s="200">
        <v>36</v>
      </c>
      <c r="M17" s="276">
        <f t="shared" si="2"/>
        <v>0.92307692307692313</v>
      </c>
      <c r="N17" s="235">
        <v>50</v>
      </c>
      <c r="O17" s="200">
        <v>60</v>
      </c>
      <c r="P17" s="276">
        <f t="shared" si="3"/>
        <v>1.2</v>
      </c>
      <c r="AI17" s="2"/>
      <c r="AJ17" s="2"/>
      <c r="AK17" s="60"/>
      <c r="AL17" s="60"/>
      <c r="AM17" s="60"/>
      <c r="AN17" s="60"/>
      <c r="AO17" s="2"/>
      <c r="AP17" s="178"/>
      <c r="AQ17" s="2"/>
      <c r="AT17" s="8"/>
      <c r="AY17" s="182"/>
      <c r="BB17" s="8"/>
      <c r="BE17" s="8"/>
    </row>
    <row r="18" spans="4:57" ht="15" thickBot="1" x14ac:dyDescent="0.35">
      <c r="AI18" s="2"/>
      <c r="AJ18" s="2"/>
      <c r="AK18" s="60"/>
      <c r="AL18" s="60"/>
      <c r="AM18" s="60"/>
      <c r="AN18" s="60"/>
      <c r="AO18" s="2"/>
      <c r="AP18" s="178"/>
      <c r="AQ18" s="2"/>
      <c r="AT18" s="8"/>
      <c r="AY18" s="178"/>
      <c r="BB18" s="8"/>
      <c r="BE18" s="8"/>
    </row>
    <row r="19" spans="4:57" ht="15" thickBot="1" x14ac:dyDescent="0.35">
      <c r="D19" s="291"/>
      <c r="E19" s="292"/>
      <c r="F19" s="292"/>
      <c r="G19" s="292"/>
      <c r="H19" s="292"/>
      <c r="I19" s="292"/>
      <c r="J19" s="292"/>
      <c r="K19" s="292"/>
      <c r="L19" s="292"/>
      <c r="M19" s="292"/>
      <c r="N19" s="292"/>
      <c r="O19" s="292"/>
      <c r="P19" s="293"/>
      <c r="AI19" s="2"/>
      <c r="AJ19" s="2"/>
      <c r="AK19" s="60"/>
      <c r="AL19" s="60"/>
      <c r="AM19" s="60"/>
      <c r="AN19" s="60"/>
      <c r="AO19" s="2"/>
      <c r="AP19" s="8"/>
      <c r="AQ19" s="2"/>
      <c r="AT19" s="8"/>
    </row>
    <row r="20" spans="4:57" ht="15" thickBot="1" x14ac:dyDescent="0.35">
      <c r="AI20" s="2"/>
      <c r="AJ20" s="2"/>
      <c r="AK20" s="60"/>
      <c r="AL20" s="60"/>
      <c r="AM20" s="60"/>
      <c r="AN20" s="60"/>
      <c r="AO20" s="2"/>
      <c r="AP20" s="8"/>
      <c r="AQ20" s="2"/>
      <c r="AT20" s="8"/>
    </row>
    <row r="21" spans="4:57" x14ac:dyDescent="0.3">
      <c r="D21" s="303"/>
      <c r="E21" s="1142" t="s">
        <v>3587</v>
      </c>
      <c r="F21" s="1143"/>
      <c r="G21" s="1154"/>
      <c r="H21" s="1142" t="s">
        <v>3590</v>
      </c>
      <c r="I21" s="1143"/>
      <c r="J21" s="1154"/>
      <c r="K21" s="1142" t="s">
        <v>3591</v>
      </c>
      <c r="L21" s="1143"/>
      <c r="M21" s="1144"/>
      <c r="N21" s="1142" t="s">
        <v>3592</v>
      </c>
      <c r="O21" s="1143"/>
      <c r="P21" s="1144"/>
      <c r="AI21" s="2"/>
      <c r="AJ21" s="2"/>
      <c r="AK21" s="60"/>
      <c r="AL21" s="60"/>
      <c r="AM21" s="60"/>
      <c r="AN21" s="60"/>
      <c r="AO21" s="2"/>
      <c r="AP21" s="8"/>
      <c r="AQ21" s="2"/>
      <c r="AT21" s="8"/>
    </row>
    <row r="22" spans="4:57" ht="15" thickBot="1" x14ac:dyDescent="0.35">
      <c r="D22" s="304"/>
      <c r="E22" s="199" t="s">
        <v>999</v>
      </c>
      <c r="F22" s="200" t="s">
        <v>796</v>
      </c>
      <c r="G22" s="404" t="s">
        <v>1000</v>
      </c>
      <c r="H22" s="199" t="s">
        <v>999</v>
      </c>
      <c r="I22" s="200" t="s">
        <v>796</v>
      </c>
      <c r="J22" s="404" t="s">
        <v>1000</v>
      </c>
      <c r="K22" s="199" t="s">
        <v>999</v>
      </c>
      <c r="L22" s="200" t="s">
        <v>796</v>
      </c>
      <c r="M22" s="408" t="s">
        <v>1000</v>
      </c>
      <c r="N22" s="199" t="s">
        <v>999</v>
      </c>
      <c r="O22" s="200" t="s">
        <v>796</v>
      </c>
      <c r="P22" s="408" t="s">
        <v>1000</v>
      </c>
      <c r="AI22" s="2"/>
      <c r="AJ22" s="2"/>
      <c r="AK22" s="60"/>
      <c r="AL22" s="60"/>
      <c r="AM22" s="60"/>
      <c r="AN22" s="60"/>
      <c r="AO22" s="2"/>
      <c r="AP22" s="8"/>
      <c r="AQ22" s="2"/>
      <c r="AT22" s="272"/>
    </row>
    <row r="23" spans="4:57" x14ac:dyDescent="0.3">
      <c r="D23" s="280" t="s">
        <v>610</v>
      </c>
      <c r="E23" s="277">
        <v>12</v>
      </c>
      <c r="F23" s="278">
        <v>19</v>
      </c>
      <c r="G23" s="405">
        <f t="shared" ref="G23:G36" si="4">F23/E23</f>
        <v>1.5833333333333333</v>
      </c>
      <c r="H23" s="277">
        <f>H4-E4</f>
        <v>12</v>
      </c>
      <c r="I23" s="278">
        <f>I4-F4</f>
        <v>30</v>
      </c>
      <c r="J23" s="405">
        <f t="shared" ref="J23:J36" si="5">I23/H23</f>
        <v>2.5</v>
      </c>
      <c r="K23" s="277">
        <f>K4-H4</f>
        <v>13</v>
      </c>
      <c r="L23" s="278">
        <f>L4-I4</f>
        <v>29</v>
      </c>
      <c r="M23" s="405">
        <f t="shared" ref="M23:M36" si="6">L23/K23</f>
        <v>2.2307692307692308</v>
      </c>
      <c r="N23" s="277">
        <f>N4-K4</f>
        <v>13</v>
      </c>
      <c r="O23" s="278">
        <f>O4-L4</f>
        <v>21</v>
      </c>
      <c r="P23" s="405">
        <f t="shared" ref="P23:P36" si="7">O23/N23</f>
        <v>1.6153846153846154</v>
      </c>
      <c r="AI23" s="2"/>
      <c r="AJ23" s="2"/>
      <c r="AK23" s="60"/>
      <c r="AL23" s="60"/>
      <c r="AM23" s="60"/>
      <c r="AN23" s="60"/>
      <c r="AO23" s="2"/>
      <c r="AP23" s="8"/>
      <c r="AQ23" s="2"/>
      <c r="AT23" s="8"/>
    </row>
    <row r="24" spans="4:57" x14ac:dyDescent="0.3">
      <c r="D24" s="281" t="s">
        <v>334</v>
      </c>
      <c r="E24" s="198">
        <v>15</v>
      </c>
      <c r="F24" s="183">
        <v>25</v>
      </c>
      <c r="G24" s="406">
        <f t="shared" si="4"/>
        <v>1.6666666666666667</v>
      </c>
      <c r="H24" s="277">
        <f t="shared" ref="H24:I24" si="8">H5-E5</f>
        <v>14</v>
      </c>
      <c r="I24" s="278">
        <f t="shared" si="8"/>
        <v>25</v>
      </c>
      <c r="J24" s="406">
        <f t="shared" si="5"/>
        <v>1.7857142857142858</v>
      </c>
      <c r="K24" s="277">
        <f t="shared" ref="K24:K35" si="9">K5-H5</f>
        <v>8</v>
      </c>
      <c r="L24" s="278">
        <f t="shared" ref="L24:L35" si="10">L5-I5</f>
        <v>17</v>
      </c>
      <c r="M24" s="406">
        <f t="shared" si="6"/>
        <v>2.125</v>
      </c>
      <c r="N24" s="277">
        <f t="shared" ref="N24:N35" si="11">N5-K5</f>
        <v>13</v>
      </c>
      <c r="O24" s="278">
        <f t="shared" ref="O24:O35" si="12">O5-L5</f>
        <v>20</v>
      </c>
      <c r="P24" s="406">
        <f t="shared" si="7"/>
        <v>1.5384615384615385</v>
      </c>
      <c r="AI24" s="2"/>
      <c r="AJ24" s="2"/>
      <c r="AK24" s="60"/>
      <c r="AL24" s="60"/>
      <c r="AM24" s="60"/>
      <c r="AN24" s="60"/>
      <c r="AO24" s="2"/>
      <c r="AP24" s="8"/>
      <c r="AQ24" s="2"/>
      <c r="AT24" s="8"/>
    </row>
    <row r="25" spans="4:57" x14ac:dyDescent="0.3">
      <c r="D25" s="281" t="s">
        <v>331</v>
      </c>
      <c r="E25" s="198">
        <v>12</v>
      </c>
      <c r="F25" s="183">
        <v>22</v>
      </c>
      <c r="G25" s="406">
        <f t="shared" si="4"/>
        <v>1.8333333333333333</v>
      </c>
      <c r="H25" s="277">
        <f t="shared" ref="H25:I25" si="13">H6-E6</f>
        <v>12</v>
      </c>
      <c r="I25" s="278">
        <f t="shared" si="13"/>
        <v>24</v>
      </c>
      <c r="J25" s="406">
        <f t="shared" si="5"/>
        <v>2</v>
      </c>
      <c r="K25" s="277">
        <f t="shared" si="9"/>
        <v>13</v>
      </c>
      <c r="L25" s="278">
        <f t="shared" si="10"/>
        <v>24</v>
      </c>
      <c r="M25" s="406">
        <f t="shared" si="6"/>
        <v>1.8461538461538463</v>
      </c>
      <c r="N25" s="277">
        <f t="shared" si="11"/>
        <v>13</v>
      </c>
      <c r="O25" s="278">
        <f>O6-L6</f>
        <v>19</v>
      </c>
      <c r="P25" s="406">
        <f t="shared" si="7"/>
        <v>1.4615384615384615</v>
      </c>
      <c r="AI25" s="2"/>
      <c r="AJ25" s="2"/>
      <c r="AK25" s="60"/>
      <c r="AL25" s="60"/>
      <c r="AM25" s="60"/>
      <c r="AN25" s="60"/>
      <c r="AO25" s="2"/>
      <c r="AP25" s="8"/>
      <c r="AQ25" s="2"/>
      <c r="AT25" s="8"/>
    </row>
    <row r="26" spans="4:57" x14ac:dyDescent="0.3">
      <c r="D26" s="281" t="s">
        <v>1274</v>
      </c>
      <c r="E26" s="198">
        <v>14</v>
      </c>
      <c r="F26" s="183">
        <v>21</v>
      </c>
      <c r="G26" s="406">
        <f t="shared" si="4"/>
        <v>1.5</v>
      </c>
      <c r="H26" s="277">
        <f t="shared" ref="H26:I26" si="14">H7-E7</f>
        <v>13</v>
      </c>
      <c r="I26" s="278">
        <f t="shared" si="14"/>
        <v>17</v>
      </c>
      <c r="J26" s="406">
        <f t="shared" si="5"/>
        <v>1.3076923076923077</v>
      </c>
      <c r="K26" s="277">
        <f t="shared" si="9"/>
        <v>10</v>
      </c>
      <c r="L26" s="278">
        <f t="shared" si="10"/>
        <v>16</v>
      </c>
      <c r="M26" s="406">
        <f t="shared" si="6"/>
        <v>1.6</v>
      </c>
      <c r="N26" s="277">
        <f t="shared" si="11"/>
        <v>13</v>
      </c>
      <c r="O26" s="278">
        <f t="shared" si="12"/>
        <v>17</v>
      </c>
      <c r="P26" s="406">
        <f t="shared" si="7"/>
        <v>1.3076923076923077</v>
      </c>
      <c r="AI26" s="2"/>
      <c r="AJ26" s="2"/>
      <c r="AK26" s="60"/>
      <c r="AL26" s="60"/>
      <c r="AM26" s="60"/>
      <c r="AN26" s="60"/>
      <c r="AO26" s="2"/>
      <c r="AP26" s="272"/>
      <c r="AQ26" s="2"/>
      <c r="AT26" s="8"/>
    </row>
    <row r="27" spans="4:57" x14ac:dyDescent="0.3">
      <c r="D27" s="281" t="s">
        <v>6179</v>
      </c>
      <c r="E27" s="198">
        <v>13</v>
      </c>
      <c r="F27" s="183">
        <v>30</v>
      </c>
      <c r="G27" s="406">
        <f t="shared" si="4"/>
        <v>2.3076923076923075</v>
      </c>
      <c r="H27" s="277">
        <f t="shared" ref="H27:I27" si="15">H8-E8</f>
        <v>14</v>
      </c>
      <c r="I27" s="278">
        <f t="shared" si="15"/>
        <v>14</v>
      </c>
      <c r="J27" s="406">
        <f t="shared" si="5"/>
        <v>1</v>
      </c>
      <c r="K27" s="277">
        <f t="shared" si="9"/>
        <v>11</v>
      </c>
      <c r="L27" s="278">
        <f t="shared" si="10"/>
        <v>18</v>
      </c>
      <c r="M27" s="406">
        <f t="shared" si="6"/>
        <v>1.6363636363636365</v>
      </c>
      <c r="N27" s="277">
        <f t="shared" si="11"/>
        <v>12</v>
      </c>
      <c r="O27" s="278">
        <f t="shared" si="12"/>
        <v>17</v>
      </c>
      <c r="P27" s="406">
        <f t="shared" si="7"/>
        <v>1.4166666666666667</v>
      </c>
      <c r="AI27" s="2"/>
      <c r="AJ27" s="2"/>
      <c r="AK27" s="60"/>
      <c r="AL27" s="60"/>
      <c r="AM27" s="60"/>
      <c r="AN27" s="60"/>
      <c r="AO27" s="2"/>
      <c r="AP27" s="8"/>
      <c r="AQ27" s="2"/>
      <c r="AT27" s="8"/>
    </row>
    <row r="28" spans="4:57" x14ac:dyDescent="0.3">
      <c r="D28" s="281" t="s">
        <v>626</v>
      </c>
      <c r="E28" s="198">
        <v>13</v>
      </c>
      <c r="F28" s="183">
        <v>16</v>
      </c>
      <c r="G28" s="406">
        <f t="shared" si="4"/>
        <v>1.2307692307692308</v>
      </c>
      <c r="H28" s="277">
        <f t="shared" ref="H28:I28" si="16">H9-E9</f>
        <v>13</v>
      </c>
      <c r="I28" s="278">
        <f t="shared" si="16"/>
        <v>18</v>
      </c>
      <c r="J28" s="406">
        <f t="shared" si="5"/>
        <v>1.3846153846153846</v>
      </c>
      <c r="K28" s="277">
        <f t="shared" si="9"/>
        <v>13</v>
      </c>
      <c r="L28" s="278">
        <f t="shared" si="10"/>
        <v>17</v>
      </c>
      <c r="M28" s="406">
        <f t="shared" si="6"/>
        <v>1.3076923076923077</v>
      </c>
      <c r="N28" s="277">
        <f t="shared" si="11"/>
        <v>11</v>
      </c>
      <c r="O28" s="278">
        <f t="shared" si="12"/>
        <v>22</v>
      </c>
      <c r="P28" s="406">
        <f t="shared" si="7"/>
        <v>2</v>
      </c>
      <c r="AI28" s="2"/>
      <c r="AJ28" s="2"/>
      <c r="AK28" s="2"/>
      <c r="AL28" s="60"/>
      <c r="AM28" s="60"/>
      <c r="AN28" s="60"/>
      <c r="AO28" s="2"/>
      <c r="AP28" s="8"/>
      <c r="AQ28" s="2"/>
      <c r="AT28" s="8"/>
    </row>
    <row r="29" spans="4:57" x14ac:dyDescent="0.3">
      <c r="D29" s="281" t="s">
        <v>328</v>
      </c>
      <c r="E29" s="198">
        <v>14</v>
      </c>
      <c r="F29" s="183">
        <v>18</v>
      </c>
      <c r="G29" s="406">
        <f t="shared" si="4"/>
        <v>1.2857142857142858</v>
      </c>
      <c r="H29" s="277">
        <f t="shared" ref="H29:I29" si="17">H10-E10</f>
        <v>13</v>
      </c>
      <c r="I29" s="278">
        <f t="shared" si="17"/>
        <v>12</v>
      </c>
      <c r="J29" s="406">
        <f t="shared" si="5"/>
        <v>0.92307692307692313</v>
      </c>
      <c r="K29" s="277">
        <f t="shared" si="9"/>
        <v>11</v>
      </c>
      <c r="L29" s="278">
        <f t="shared" si="10"/>
        <v>10</v>
      </c>
      <c r="M29" s="406">
        <f t="shared" si="6"/>
        <v>0.90909090909090906</v>
      </c>
      <c r="N29" s="277">
        <f t="shared" si="11"/>
        <v>12</v>
      </c>
      <c r="O29" s="278">
        <f t="shared" si="12"/>
        <v>20</v>
      </c>
      <c r="P29" s="406">
        <f t="shared" si="7"/>
        <v>1.6666666666666667</v>
      </c>
      <c r="AI29" s="2"/>
      <c r="AJ29" s="2"/>
      <c r="AK29" s="60"/>
      <c r="AL29" s="60"/>
      <c r="AM29" s="60"/>
      <c r="AN29" s="60"/>
      <c r="AO29" s="2"/>
      <c r="AP29" s="178"/>
      <c r="AQ29" s="2"/>
      <c r="AT29" s="8"/>
    </row>
    <row r="30" spans="4:57" x14ac:dyDescent="0.3">
      <c r="D30" s="281" t="s">
        <v>6086</v>
      </c>
      <c r="E30" s="198">
        <v>13</v>
      </c>
      <c r="F30" s="183">
        <v>23</v>
      </c>
      <c r="G30" s="406">
        <f t="shared" si="4"/>
        <v>1.7692307692307692</v>
      </c>
      <c r="H30" s="277">
        <f t="shared" ref="H30:I30" si="18">H11-E11</f>
        <v>14</v>
      </c>
      <c r="I30" s="278">
        <f t="shared" si="18"/>
        <v>24</v>
      </c>
      <c r="J30" s="406">
        <f t="shared" si="5"/>
        <v>1.7142857142857142</v>
      </c>
      <c r="K30" s="277">
        <f t="shared" si="9"/>
        <v>11</v>
      </c>
      <c r="L30" s="278">
        <f t="shared" si="10"/>
        <v>19</v>
      </c>
      <c r="M30" s="406">
        <f t="shared" si="6"/>
        <v>1.7272727272727273</v>
      </c>
      <c r="N30" s="277">
        <f t="shared" si="11"/>
        <v>12</v>
      </c>
      <c r="O30" s="278">
        <f t="shared" si="12"/>
        <v>23</v>
      </c>
      <c r="P30" s="406">
        <f t="shared" si="7"/>
        <v>1.9166666666666667</v>
      </c>
      <c r="AI30" s="2"/>
      <c r="AJ30" s="2"/>
      <c r="AK30" s="60"/>
      <c r="AL30" s="60"/>
      <c r="AM30" s="60"/>
      <c r="AN30" s="60"/>
      <c r="AO30" s="2"/>
      <c r="AP30" s="8"/>
      <c r="AQ30" s="2"/>
      <c r="AT30" s="8"/>
    </row>
    <row r="31" spans="4:57" x14ac:dyDescent="0.3">
      <c r="D31" s="281" t="s">
        <v>326</v>
      </c>
      <c r="E31" s="198">
        <v>13</v>
      </c>
      <c r="F31" s="183">
        <v>12</v>
      </c>
      <c r="G31" s="406">
        <f t="shared" si="4"/>
        <v>0.92307692307692313</v>
      </c>
      <c r="H31" s="277">
        <f t="shared" ref="H31:I31" si="19">H12-E12</f>
        <v>13</v>
      </c>
      <c r="I31" s="278">
        <f t="shared" si="19"/>
        <v>19</v>
      </c>
      <c r="J31" s="406">
        <f t="shared" si="5"/>
        <v>1.4615384615384615</v>
      </c>
      <c r="K31" s="277">
        <f t="shared" si="9"/>
        <v>12</v>
      </c>
      <c r="L31" s="278">
        <f t="shared" si="10"/>
        <v>23</v>
      </c>
      <c r="M31" s="406">
        <f t="shared" si="6"/>
        <v>1.9166666666666667</v>
      </c>
      <c r="N31" s="277">
        <f t="shared" si="11"/>
        <v>12</v>
      </c>
      <c r="O31" s="278">
        <f t="shared" si="12"/>
        <v>13</v>
      </c>
      <c r="P31" s="406">
        <f t="shared" si="7"/>
        <v>1.0833333333333333</v>
      </c>
      <c r="AI31" s="2"/>
      <c r="AJ31" s="2"/>
      <c r="AK31" s="60"/>
      <c r="AL31" s="60"/>
      <c r="AM31" s="60"/>
      <c r="AN31" s="60"/>
      <c r="AO31" s="2"/>
      <c r="AP31" s="8"/>
      <c r="AQ31" s="2"/>
      <c r="AT31" s="8"/>
    </row>
    <row r="32" spans="4:57" x14ac:dyDescent="0.3">
      <c r="D32" s="281" t="s">
        <v>325</v>
      </c>
      <c r="E32" s="198">
        <v>13</v>
      </c>
      <c r="F32" s="183">
        <v>27</v>
      </c>
      <c r="G32" s="406">
        <f t="shared" si="4"/>
        <v>2.0769230769230771</v>
      </c>
      <c r="H32" s="277">
        <f t="shared" ref="H32:I32" si="20">H13-E13</f>
        <v>13</v>
      </c>
      <c r="I32" s="278">
        <f t="shared" si="20"/>
        <v>26</v>
      </c>
      <c r="J32" s="406">
        <f t="shared" si="5"/>
        <v>2</v>
      </c>
      <c r="K32" s="277">
        <f t="shared" si="9"/>
        <v>13</v>
      </c>
      <c r="L32" s="278">
        <f t="shared" si="10"/>
        <v>21</v>
      </c>
      <c r="M32" s="406">
        <f t="shared" si="6"/>
        <v>1.6153846153846154</v>
      </c>
      <c r="N32" s="277">
        <f t="shared" si="11"/>
        <v>11</v>
      </c>
      <c r="O32" s="278">
        <f t="shared" si="12"/>
        <v>14</v>
      </c>
      <c r="P32" s="406">
        <f t="shared" si="7"/>
        <v>1.2727272727272727</v>
      </c>
      <c r="AI32" s="2"/>
      <c r="AJ32" s="2"/>
      <c r="AK32" s="60"/>
      <c r="AL32" s="60"/>
      <c r="AM32" s="60"/>
      <c r="AN32" s="60"/>
      <c r="AO32" s="2"/>
      <c r="AP32" s="8"/>
      <c r="AQ32" s="2"/>
      <c r="AT32" s="8"/>
    </row>
    <row r="33" spans="4:46" x14ac:dyDescent="0.3">
      <c r="D33" s="282" t="s">
        <v>818</v>
      </c>
      <c r="E33" s="287">
        <v>13</v>
      </c>
      <c r="F33" s="288">
        <v>13</v>
      </c>
      <c r="G33" s="289">
        <f t="shared" si="4"/>
        <v>1</v>
      </c>
      <c r="H33" s="401">
        <f t="shared" ref="H33:I33" si="21">H14-E14</f>
        <v>14</v>
      </c>
      <c r="I33" s="402">
        <f t="shared" si="21"/>
        <v>17</v>
      </c>
      <c r="J33" s="289">
        <f t="shared" si="5"/>
        <v>1.2142857142857142</v>
      </c>
      <c r="K33" s="401">
        <f t="shared" si="9"/>
        <v>10</v>
      </c>
      <c r="L33" s="402">
        <f t="shared" si="10"/>
        <v>6</v>
      </c>
      <c r="M33" s="289">
        <f t="shared" si="6"/>
        <v>0.6</v>
      </c>
      <c r="N33" s="401">
        <f t="shared" si="11"/>
        <v>13</v>
      </c>
      <c r="O33" s="402">
        <f t="shared" si="12"/>
        <v>24</v>
      </c>
      <c r="P33" s="289">
        <f t="shared" si="7"/>
        <v>1.8461538461538463</v>
      </c>
      <c r="AI33" s="2"/>
      <c r="AJ33" s="2"/>
      <c r="AK33" s="60"/>
      <c r="AL33" s="60"/>
      <c r="AM33" s="60"/>
      <c r="AN33" s="60"/>
      <c r="AO33" s="2"/>
      <c r="AP33" s="178"/>
      <c r="AQ33" s="2"/>
      <c r="AT33" s="8"/>
    </row>
    <row r="34" spans="4:46" x14ac:dyDescent="0.3">
      <c r="D34" s="281" t="s">
        <v>6076</v>
      </c>
      <c r="E34" s="198">
        <v>14</v>
      </c>
      <c r="F34" s="183">
        <v>24</v>
      </c>
      <c r="G34" s="406">
        <f t="shared" si="4"/>
        <v>1.7142857142857142</v>
      </c>
      <c r="H34" s="277">
        <f t="shared" ref="H34:I34" si="22">H15-E15</f>
        <v>12</v>
      </c>
      <c r="I34" s="278">
        <f t="shared" si="22"/>
        <v>18</v>
      </c>
      <c r="J34" s="406">
        <f t="shared" si="5"/>
        <v>1.5</v>
      </c>
      <c r="K34" s="277">
        <f t="shared" si="9"/>
        <v>12</v>
      </c>
      <c r="L34" s="278">
        <f t="shared" si="10"/>
        <v>15</v>
      </c>
      <c r="M34" s="406">
        <f t="shared" si="6"/>
        <v>1.25</v>
      </c>
      <c r="N34" s="277">
        <f t="shared" si="11"/>
        <v>12</v>
      </c>
      <c r="O34" s="278">
        <f t="shared" si="12"/>
        <v>14</v>
      </c>
      <c r="P34" s="406">
        <f t="shared" si="7"/>
        <v>1.1666666666666667</v>
      </c>
      <c r="AI34" s="2"/>
      <c r="AJ34" s="2"/>
      <c r="AK34" s="60"/>
      <c r="AL34" s="60"/>
      <c r="AM34" s="60"/>
      <c r="AN34" s="60"/>
      <c r="AO34" s="2"/>
      <c r="AP34" s="8"/>
      <c r="AQ34" s="2"/>
      <c r="AT34" s="8"/>
    </row>
    <row r="35" spans="4:46" x14ac:dyDescent="0.3">
      <c r="D35" s="281" t="s">
        <v>332</v>
      </c>
      <c r="E35" s="198">
        <v>12</v>
      </c>
      <c r="F35" s="183">
        <v>13</v>
      </c>
      <c r="G35" s="406">
        <f t="shared" si="4"/>
        <v>1.0833333333333333</v>
      </c>
      <c r="H35" s="277">
        <f t="shared" ref="H35:I35" si="23">H16-E16</f>
        <v>14</v>
      </c>
      <c r="I35" s="278">
        <f t="shared" si="23"/>
        <v>18</v>
      </c>
      <c r="J35" s="406">
        <f t="shared" si="5"/>
        <v>1.2857142857142858</v>
      </c>
      <c r="K35" s="277">
        <f t="shared" si="9"/>
        <v>12</v>
      </c>
      <c r="L35" s="278">
        <f t="shared" si="10"/>
        <v>19</v>
      </c>
      <c r="M35" s="406">
        <f t="shared" si="6"/>
        <v>1.5833333333333333</v>
      </c>
      <c r="N35" s="277">
        <f t="shared" si="11"/>
        <v>12</v>
      </c>
      <c r="O35" s="278">
        <f t="shared" si="12"/>
        <v>7</v>
      </c>
      <c r="P35" s="406">
        <f t="shared" si="7"/>
        <v>0.58333333333333337</v>
      </c>
      <c r="AI35" s="2"/>
      <c r="AJ35" s="2"/>
      <c r="AK35" s="60"/>
      <c r="AL35" s="60"/>
      <c r="AM35" s="60"/>
      <c r="AN35" s="60"/>
      <c r="AO35" s="2"/>
      <c r="AP35" s="8"/>
      <c r="AQ35" s="2"/>
      <c r="AT35" s="8"/>
    </row>
    <row r="36" spans="4:46" ht="15" thickBot="1" x14ac:dyDescent="0.35">
      <c r="D36" s="283" t="s">
        <v>327</v>
      </c>
      <c r="E36" s="199">
        <v>13</v>
      </c>
      <c r="F36" s="200">
        <v>13</v>
      </c>
      <c r="G36" s="407">
        <f t="shared" si="4"/>
        <v>1</v>
      </c>
      <c r="H36" s="199">
        <f>H17-E17</f>
        <v>13</v>
      </c>
      <c r="I36" s="200">
        <f>I17-F17</f>
        <v>14</v>
      </c>
      <c r="J36" s="407">
        <f t="shared" si="5"/>
        <v>1.0769230769230769</v>
      </c>
      <c r="K36" s="199">
        <f>K17-H17</f>
        <v>13</v>
      </c>
      <c r="L36" s="200">
        <f>L17-I17</f>
        <v>9</v>
      </c>
      <c r="M36" s="407">
        <f t="shared" si="6"/>
        <v>0.69230769230769229</v>
      </c>
      <c r="N36" s="199">
        <f>N17-K17</f>
        <v>11</v>
      </c>
      <c r="O36" s="200">
        <f>O17-L17</f>
        <v>24</v>
      </c>
      <c r="P36" s="407">
        <f t="shared" si="7"/>
        <v>2.1818181818181817</v>
      </c>
      <c r="AI36" s="2"/>
      <c r="AJ36" s="2"/>
      <c r="AK36" s="60"/>
      <c r="AL36" s="60"/>
      <c r="AM36" s="60"/>
      <c r="AN36" s="60"/>
      <c r="AO36" s="2"/>
      <c r="AP36" s="8"/>
      <c r="AQ36" s="2"/>
      <c r="AT36" s="8"/>
    </row>
    <row r="37" spans="4:46" x14ac:dyDescent="0.3">
      <c r="Z37" s="129"/>
      <c r="AA37" s="130"/>
      <c r="AB37" s="130"/>
      <c r="AI37" s="2"/>
      <c r="AJ37" s="2"/>
      <c r="AK37" s="60"/>
      <c r="AL37" s="60"/>
      <c r="AM37" s="60"/>
      <c r="AN37" s="60"/>
      <c r="AO37" s="2"/>
      <c r="AP37" s="8"/>
      <c r="AQ37" s="2"/>
      <c r="AT37" s="182"/>
    </row>
    <row r="38" spans="4:46" x14ac:dyDescent="0.3">
      <c r="X38" s="130"/>
      <c r="Y38" s="130"/>
      <c r="AI38" s="2"/>
      <c r="AJ38" s="2"/>
      <c r="AK38" s="60"/>
      <c r="AL38" s="60"/>
      <c r="AM38" s="60"/>
      <c r="AN38" s="60"/>
      <c r="AO38" s="2"/>
      <c r="AP38" s="8"/>
      <c r="AQ38" s="2"/>
      <c r="AT38" s="8"/>
    </row>
    <row r="39" spans="4:46" x14ac:dyDescent="0.3">
      <c r="X39" s="130"/>
      <c r="Y39" s="130"/>
      <c r="AI39" s="2"/>
      <c r="AJ39" s="2"/>
      <c r="AK39" s="60"/>
      <c r="AL39" s="60"/>
      <c r="AM39" s="60"/>
      <c r="AN39" s="60"/>
      <c r="AO39" s="2"/>
      <c r="AP39" s="8"/>
      <c r="AQ39" s="2"/>
      <c r="AT39" s="8"/>
    </row>
    <row r="40" spans="4:46" x14ac:dyDescent="0.3">
      <c r="AI40" s="2"/>
      <c r="AJ40" s="2"/>
      <c r="AK40" s="60"/>
      <c r="AL40" s="60"/>
      <c r="AM40" s="60"/>
      <c r="AN40" s="60"/>
      <c r="AO40" s="2"/>
      <c r="AP40" s="8"/>
      <c r="AQ40" s="2"/>
      <c r="AT40" s="8"/>
    </row>
    <row r="41" spans="4:46" x14ac:dyDescent="0.3">
      <c r="AI41" s="2"/>
      <c r="AJ41" s="2"/>
      <c r="AK41" s="60"/>
      <c r="AL41" s="60"/>
      <c r="AM41" s="60"/>
      <c r="AN41" s="60"/>
      <c r="AO41" s="2"/>
      <c r="AP41" s="8"/>
      <c r="AQ41" s="2"/>
      <c r="AT41" s="8"/>
    </row>
    <row r="42" spans="4:46" x14ac:dyDescent="0.3">
      <c r="AI42" s="2"/>
      <c r="AJ42" s="2"/>
      <c r="AK42" s="60"/>
      <c r="AL42" s="60"/>
      <c r="AM42" s="60"/>
      <c r="AN42" s="60"/>
      <c r="AO42" s="2"/>
      <c r="AP42" s="8"/>
      <c r="AQ42" s="2"/>
      <c r="AT42" s="8"/>
    </row>
    <row r="43" spans="4:46" x14ac:dyDescent="0.3">
      <c r="AI43" s="2"/>
      <c r="AJ43" s="2"/>
      <c r="AK43" s="60"/>
      <c r="AL43" s="60"/>
      <c r="AM43" s="60"/>
      <c r="AN43" s="60"/>
      <c r="AO43" s="2"/>
      <c r="AP43" s="178"/>
      <c r="AQ43" s="2"/>
      <c r="AT43" s="8"/>
    </row>
    <row r="44" spans="4:46" x14ac:dyDescent="0.3">
      <c r="AI44" s="2"/>
      <c r="AJ44" s="2"/>
      <c r="AK44" s="60"/>
      <c r="AL44" s="60"/>
      <c r="AM44" s="60"/>
      <c r="AN44" s="60"/>
      <c r="AO44" s="2"/>
      <c r="AP44" s="8"/>
      <c r="AQ44" s="2"/>
      <c r="AT44" s="8"/>
    </row>
    <row r="45" spans="4:46" x14ac:dyDescent="0.3">
      <c r="AI45" s="2"/>
      <c r="AJ45" s="2"/>
      <c r="AK45" s="60"/>
      <c r="AL45" s="60"/>
      <c r="AM45" s="60"/>
      <c r="AN45" s="60"/>
      <c r="AO45" s="2"/>
      <c r="AP45" s="8"/>
      <c r="AQ45" s="2"/>
      <c r="AT45" s="182"/>
    </row>
  </sheetData>
  <mergeCells count="8">
    <mergeCell ref="E2:G2"/>
    <mergeCell ref="H2:J2"/>
    <mergeCell ref="K2:M2"/>
    <mergeCell ref="N2:P2"/>
    <mergeCell ref="E21:G21"/>
    <mergeCell ref="H21:J21"/>
    <mergeCell ref="K21:M21"/>
    <mergeCell ref="N21:P21"/>
  </mergeCell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V166"/>
  <sheetViews>
    <sheetView workbookViewId="0">
      <selection activeCell="L12" sqref="L12"/>
    </sheetView>
  </sheetViews>
  <sheetFormatPr defaultRowHeight="14.4" x14ac:dyDescent="0.3"/>
  <cols>
    <col min="1" max="1" width="13.109375" customWidth="1"/>
    <col min="2" max="2" width="20.33203125" customWidth="1"/>
    <col min="3" max="3" width="12.44140625" style="2" customWidth="1"/>
    <col min="4" max="4" width="15.44140625" style="2" customWidth="1"/>
    <col min="5" max="5" width="15" style="2" customWidth="1"/>
    <col min="6" max="6" width="9.109375" style="2"/>
    <col min="7" max="7" width="16.88671875" style="2" customWidth="1"/>
    <col min="8" max="8" width="23.109375" style="2" customWidth="1"/>
    <col min="9" max="9" width="10.109375" style="2" customWidth="1"/>
    <col min="10" max="10" width="12.5546875" customWidth="1"/>
    <col min="11" max="11" width="38.5546875" customWidth="1"/>
    <col min="12" max="12" width="25.109375" customWidth="1"/>
    <col min="13" max="13" width="19.88671875" customWidth="1"/>
    <col min="14" max="14" width="24.44140625" customWidth="1"/>
    <col min="15" max="15" width="14.33203125" style="2" customWidth="1"/>
    <col min="16" max="16" width="22.109375" customWidth="1"/>
    <col min="17" max="17" width="19.6640625" customWidth="1"/>
    <col min="18" max="18" width="11.5546875" customWidth="1"/>
    <col min="19" max="19" width="14" customWidth="1"/>
    <col min="20" max="20" width="27.88671875" customWidth="1"/>
    <col min="21" max="21" width="26.109375" customWidth="1"/>
    <col min="22" max="22" width="27.5546875" customWidth="1"/>
  </cols>
  <sheetData>
    <row r="3" spans="1:22" x14ac:dyDescent="0.3">
      <c r="B3" s="2" t="s">
        <v>785</v>
      </c>
      <c r="C3" s="2" t="s">
        <v>14</v>
      </c>
      <c r="D3" s="2" t="s">
        <v>15</v>
      </c>
      <c r="E3" s="2" t="s">
        <v>11</v>
      </c>
      <c r="F3" s="2" t="s">
        <v>12</v>
      </c>
      <c r="G3" s="2" t="s">
        <v>13</v>
      </c>
      <c r="H3" s="2" t="s">
        <v>157</v>
      </c>
      <c r="I3" s="2" t="s">
        <v>833</v>
      </c>
      <c r="K3" s="8"/>
    </row>
    <row r="4" spans="1:22" x14ac:dyDescent="0.3">
      <c r="B4" s="2">
        <v>1</v>
      </c>
      <c r="C4" s="2">
        <v>20</v>
      </c>
      <c r="D4" s="2" t="s">
        <v>1274</v>
      </c>
      <c r="E4" s="4">
        <v>44094</v>
      </c>
      <c r="F4" s="2" t="s">
        <v>19</v>
      </c>
      <c r="G4" s="2" t="s">
        <v>17</v>
      </c>
      <c r="H4" s="60">
        <v>8.6111111111111124E-2</v>
      </c>
      <c r="I4" s="60"/>
      <c r="L4" s="2"/>
      <c r="M4" s="2"/>
      <c r="N4" s="2"/>
    </row>
    <row r="5" spans="1:22" x14ac:dyDescent="0.3">
      <c r="B5" s="2">
        <v>2</v>
      </c>
      <c r="C5" s="2">
        <v>11</v>
      </c>
      <c r="D5" s="2" t="s">
        <v>334</v>
      </c>
      <c r="E5" s="4">
        <v>44096</v>
      </c>
      <c r="F5" s="2" t="s">
        <v>20</v>
      </c>
      <c r="G5" s="2" t="s">
        <v>17</v>
      </c>
      <c r="H5" s="60">
        <v>0.12916666666666668</v>
      </c>
      <c r="I5" s="60" t="s">
        <v>834</v>
      </c>
    </row>
    <row r="6" spans="1:22" ht="15" thickBot="1" x14ac:dyDescent="0.35">
      <c r="A6" t="s">
        <v>3771</v>
      </c>
      <c r="B6" s="2">
        <v>3</v>
      </c>
      <c r="C6" s="2">
        <v>9</v>
      </c>
      <c r="D6" s="2" t="s">
        <v>325</v>
      </c>
      <c r="E6" s="4">
        <v>44115</v>
      </c>
      <c r="F6" s="2" t="s">
        <v>19</v>
      </c>
      <c r="G6" s="2" t="s">
        <v>17</v>
      </c>
      <c r="H6" s="60">
        <v>4.3750000000000004E-2</v>
      </c>
      <c r="I6" s="60"/>
      <c r="K6" s="2"/>
      <c r="L6" s="2"/>
      <c r="M6" s="2"/>
      <c r="N6" s="4"/>
    </row>
    <row r="7" spans="1:22" ht="15" thickBot="1" x14ac:dyDescent="0.35">
      <c r="A7" t="s">
        <v>3771</v>
      </c>
      <c r="B7" s="2">
        <v>4</v>
      </c>
      <c r="C7" s="2">
        <v>4</v>
      </c>
      <c r="D7" s="2" t="s">
        <v>331</v>
      </c>
      <c r="E7" s="4">
        <v>44142</v>
      </c>
      <c r="F7" s="2" t="s">
        <v>23</v>
      </c>
      <c r="G7" s="2" t="s">
        <v>17</v>
      </c>
      <c r="H7" s="60">
        <v>4.4444444444444446E-2</v>
      </c>
      <c r="I7" s="60"/>
      <c r="K7" s="1155" t="s">
        <v>4025</v>
      </c>
      <c r="L7" s="1156"/>
      <c r="M7" s="1156"/>
      <c r="N7" s="1156"/>
      <c r="O7" s="1156"/>
      <c r="P7" s="1157"/>
    </row>
    <row r="8" spans="1:22" x14ac:dyDescent="0.3">
      <c r="A8" t="s">
        <v>3771</v>
      </c>
      <c r="B8" s="2">
        <v>5</v>
      </c>
      <c r="C8" s="2">
        <v>15</v>
      </c>
      <c r="D8" s="2" t="s">
        <v>6179</v>
      </c>
      <c r="E8" s="4">
        <v>44144</v>
      </c>
      <c r="F8" s="2" t="s">
        <v>1250</v>
      </c>
      <c r="G8" s="2" t="s">
        <v>16</v>
      </c>
      <c r="H8" s="60">
        <v>0.16805555555555554</v>
      </c>
      <c r="I8" s="60"/>
      <c r="K8" s="462" t="s">
        <v>220</v>
      </c>
      <c r="L8" s="463" t="s">
        <v>14</v>
      </c>
      <c r="M8" s="463" t="s">
        <v>15</v>
      </c>
      <c r="N8" s="463" t="s">
        <v>11</v>
      </c>
      <c r="O8" s="463" t="s">
        <v>12</v>
      </c>
      <c r="P8" s="464" t="s">
        <v>1051</v>
      </c>
    </row>
    <row r="9" spans="1:22" x14ac:dyDescent="0.3">
      <c r="A9" t="s">
        <v>3771</v>
      </c>
      <c r="B9" s="2">
        <v>6</v>
      </c>
      <c r="C9" s="2">
        <v>17</v>
      </c>
      <c r="D9" s="2" t="s">
        <v>331</v>
      </c>
      <c r="E9" s="4">
        <v>44148</v>
      </c>
      <c r="F9" s="2" t="s">
        <v>18</v>
      </c>
      <c r="G9" s="2" t="s">
        <v>16</v>
      </c>
      <c r="H9" s="60" t="s">
        <v>208</v>
      </c>
      <c r="I9" s="60"/>
      <c r="K9" s="465"/>
      <c r="L9" s="466"/>
      <c r="M9" s="466"/>
      <c r="N9" s="467"/>
      <c r="O9" s="466"/>
      <c r="P9" s="468"/>
    </row>
    <row r="10" spans="1:22" ht="15" thickBot="1" x14ac:dyDescent="0.35">
      <c r="A10" t="s">
        <v>3771</v>
      </c>
      <c r="B10" s="2">
        <v>7</v>
      </c>
      <c r="C10" s="2">
        <v>18</v>
      </c>
      <c r="D10" s="2" t="s">
        <v>6076</v>
      </c>
      <c r="E10" s="4">
        <v>44150</v>
      </c>
      <c r="F10" s="2" t="s">
        <v>19</v>
      </c>
      <c r="G10" s="2" t="s">
        <v>17</v>
      </c>
      <c r="H10" s="60">
        <v>4.3055555555555562E-2</v>
      </c>
      <c r="I10" s="60"/>
      <c r="K10" s="465"/>
      <c r="L10" s="466"/>
      <c r="M10" s="466"/>
      <c r="N10" s="467"/>
      <c r="O10" s="466"/>
      <c r="P10" s="468"/>
    </row>
    <row r="11" spans="1:22" x14ac:dyDescent="0.3">
      <c r="A11" t="s">
        <v>3771</v>
      </c>
      <c r="B11" s="2">
        <v>8</v>
      </c>
      <c r="C11" s="2">
        <v>13</v>
      </c>
      <c r="D11" s="2" t="s">
        <v>326</v>
      </c>
      <c r="E11" s="4">
        <v>44152</v>
      </c>
      <c r="F11" s="2" t="s">
        <v>20</v>
      </c>
      <c r="G11" s="2" t="s">
        <v>17</v>
      </c>
      <c r="H11" s="60">
        <v>4.1666666666666664E-2</v>
      </c>
      <c r="I11" s="60"/>
      <c r="K11" s="465"/>
      <c r="L11" s="466"/>
      <c r="M11" s="466"/>
      <c r="N11" s="467"/>
      <c r="O11" s="466"/>
      <c r="P11" s="468"/>
      <c r="T11" s="95" t="s">
        <v>191</v>
      </c>
      <c r="U11" s="96" t="s">
        <v>221</v>
      </c>
      <c r="V11" s="97" t="s">
        <v>222</v>
      </c>
    </row>
    <row r="12" spans="1:22" x14ac:dyDescent="0.3">
      <c r="A12" t="s">
        <v>3771</v>
      </c>
      <c r="B12" s="2">
        <v>9</v>
      </c>
      <c r="C12" s="2">
        <v>3</v>
      </c>
      <c r="D12" s="2" t="s">
        <v>610</v>
      </c>
      <c r="E12" s="4">
        <v>44155</v>
      </c>
      <c r="F12" s="2" t="s">
        <v>18</v>
      </c>
      <c r="G12" s="2" t="s">
        <v>16</v>
      </c>
      <c r="H12" s="2" t="s">
        <v>355</v>
      </c>
      <c r="I12" s="60"/>
      <c r="K12" s="465"/>
      <c r="L12" s="466"/>
      <c r="M12" s="466"/>
      <c r="N12" s="467"/>
      <c r="O12" s="466"/>
      <c r="P12" s="468"/>
      <c r="T12" s="105" t="s">
        <v>184</v>
      </c>
      <c r="U12" s="62">
        <v>4</v>
      </c>
      <c r="V12" s="98">
        <v>4</v>
      </c>
    </row>
    <row r="13" spans="1:22" x14ac:dyDescent="0.3">
      <c r="A13" t="s">
        <v>3771</v>
      </c>
      <c r="B13" s="2">
        <v>10</v>
      </c>
      <c r="C13" s="2">
        <v>7</v>
      </c>
      <c r="D13" s="2" t="s">
        <v>1274</v>
      </c>
      <c r="E13" s="4">
        <v>44157</v>
      </c>
      <c r="F13" s="2" t="s">
        <v>19</v>
      </c>
      <c r="G13" s="2" t="s">
        <v>16</v>
      </c>
      <c r="H13" s="60">
        <v>4.4444444444444446E-2</v>
      </c>
      <c r="I13" s="60"/>
      <c r="K13" s="465"/>
      <c r="L13" s="466"/>
      <c r="M13" s="466"/>
      <c r="N13" s="467"/>
      <c r="O13" s="466"/>
      <c r="P13" s="468"/>
      <c r="T13" s="105" t="s">
        <v>185</v>
      </c>
      <c r="U13" s="62">
        <v>17</v>
      </c>
      <c r="V13" s="98">
        <v>18</v>
      </c>
    </row>
    <row r="14" spans="1:22" x14ac:dyDescent="0.3">
      <c r="A14" t="s">
        <v>3771</v>
      </c>
      <c r="B14" s="2">
        <v>11</v>
      </c>
      <c r="C14" s="2">
        <v>6</v>
      </c>
      <c r="D14" s="2" t="s">
        <v>626</v>
      </c>
      <c r="E14" s="4">
        <v>44159</v>
      </c>
      <c r="F14" s="2" t="s">
        <v>20</v>
      </c>
      <c r="G14" s="2" t="s">
        <v>17</v>
      </c>
      <c r="H14" s="60" t="s">
        <v>159</v>
      </c>
      <c r="I14" s="60"/>
      <c r="K14" s="465"/>
      <c r="L14" s="466"/>
      <c r="M14" s="466"/>
      <c r="N14" s="467"/>
      <c r="O14" s="466"/>
      <c r="P14" s="468"/>
      <c r="T14" s="105" t="s">
        <v>186</v>
      </c>
      <c r="U14" s="62">
        <v>12</v>
      </c>
      <c r="V14" s="98">
        <f>12-1+1</f>
        <v>12</v>
      </c>
    </row>
    <row r="15" spans="1:22" x14ac:dyDescent="0.3">
      <c r="A15" t="s">
        <v>3771</v>
      </c>
      <c r="B15" s="2">
        <v>12</v>
      </c>
      <c r="C15" s="2">
        <v>21</v>
      </c>
      <c r="D15" s="2" t="s">
        <v>327</v>
      </c>
      <c r="E15" s="4">
        <v>44162</v>
      </c>
      <c r="F15" s="2" t="s">
        <v>18</v>
      </c>
      <c r="G15" s="2" t="s">
        <v>16</v>
      </c>
      <c r="H15" s="60">
        <v>4.3055555555555562E-2</v>
      </c>
      <c r="I15" s="60"/>
      <c r="K15" s="465"/>
      <c r="L15" s="466"/>
      <c r="M15" s="466"/>
      <c r="N15" s="467"/>
      <c r="O15" s="466"/>
      <c r="P15" s="468"/>
      <c r="T15" s="105" t="s">
        <v>187</v>
      </c>
      <c r="U15" s="2">
        <v>12</v>
      </c>
      <c r="V15" s="461">
        <f>U15-1+1</f>
        <v>12</v>
      </c>
    </row>
    <row r="16" spans="1:22" ht="15" thickBot="1" x14ac:dyDescent="0.35">
      <c r="A16" t="s">
        <v>3771</v>
      </c>
      <c r="B16" s="170">
        <v>13</v>
      </c>
      <c r="C16" s="170">
        <v>22</v>
      </c>
      <c r="D16" s="170" t="s">
        <v>325</v>
      </c>
      <c r="E16" s="189">
        <v>44164</v>
      </c>
      <c r="F16" s="170" t="s">
        <v>19</v>
      </c>
      <c r="G16" s="170" t="s">
        <v>16</v>
      </c>
      <c r="H16" s="193" t="s">
        <v>352</v>
      </c>
      <c r="I16" s="60"/>
      <c r="K16" s="469"/>
      <c r="L16" s="470"/>
      <c r="M16" s="470"/>
      <c r="N16" s="471"/>
      <c r="O16" s="470"/>
      <c r="P16" s="472"/>
      <c r="T16" s="105" t="s">
        <v>188</v>
      </c>
      <c r="U16" s="2">
        <v>5</v>
      </c>
      <c r="V16" s="461">
        <v>4</v>
      </c>
    </row>
    <row r="17" spans="1:22" ht="15" thickBot="1" x14ac:dyDescent="0.35">
      <c r="A17" t="s">
        <v>3771</v>
      </c>
      <c r="B17" s="2">
        <v>14</v>
      </c>
      <c r="C17" s="2">
        <v>23</v>
      </c>
      <c r="D17" s="2" t="s">
        <v>6086</v>
      </c>
      <c r="E17" s="4">
        <v>44166</v>
      </c>
      <c r="F17" s="2" t="s">
        <v>20</v>
      </c>
      <c r="G17" s="2" t="s">
        <v>17</v>
      </c>
      <c r="H17" s="60">
        <v>8.6111111111111124E-2</v>
      </c>
      <c r="I17" s="60"/>
      <c r="K17" s="473" t="s">
        <v>726</v>
      </c>
      <c r="L17" s="474">
        <f>COUNT(L9:L16)</f>
        <v>0</v>
      </c>
      <c r="M17" s="466"/>
      <c r="N17" s="467"/>
      <c r="O17" s="466"/>
      <c r="P17" s="475"/>
      <c r="T17" s="105" t="s">
        <v>189</v>
      </c>
      <c r="U17" s="2">
        <v>1</v>
      </c>
      <c r="V17" s="461">
        <v>3</v>
      </c>
    </row>
    <row r="18" spans="1:22" x14ac:dyDescent="0.3">
      <c r="A18" t="s">
        <v>3771</v>
      </c>
      <c r="B18" s="2">
        <v>15</v>
      </c>
      <c r="C18" s="2">
        <v>24</v>
      </c>
      <c r="D18" s="2" t="s">
        <v>334</v>
      </c>
      <c r="E18" s="4">
        <v>44169</v>
      </c>
      <c r="F18" s="2" t="s">
        <v>18</v>
      </c>
      <c r="G18" s="2" t="s">
        <v>16</v>
      </c>
      <c r="H18" s="60">
        <v>8.6111111111111124E-2</v>
      </c>
      <c r="I18" s="60"/>
      <c r="K18" s="2"/>
      <c r="L18" s="2"/>
      <c r="M18" s="2"/>
      <c r="N18" s="4"/>
      <c r="T18" s="105" t="s">
        <v>190</v>
      </c>
      <c r="U18" s="2">
        <v>3</v>
      </c>
      <c r="V18" s="461">
        <v>1</v>
      </c>
    </row>
    <row r="19" spans="1:22" x14ac:dyDescent="0.3">
      <c r="A19" t="s">
        <v>3771</v>
      </c>
      <c r="B19" s="2">
        <v>16</v>
      </c>
      <c r="C19" s="2">
        <v>25</v>
      </c>
      <c r="D19" s="2" t="s">
        <v>6091</v>
      </c>
      <c r="E19" s="4">
        <v>44171</v>
      </c>
      <c r="F19" s="2" t="s">
        <v>19</v>
      </c>
      <c r="G19" s="2" t="s">
        <v>17</v>
      </c>
      <c r="H19" s="60">
        <v>0.12638888888888888</v>
      </c>
      <c r="L19" s="2"/>
      <c r="M19" s="2"/>
      <c r="N19" s="4"/>
      <c r="T19" s="105" t="s">
        <v>855</v>
      </c>
      <c r="U19" s="2">
        <v>1</v>
      </c>
      <c r="V19" s="461">
        <v>1</v>
      </c>
    </row>
    <row r="20" spans="1:22" x14ac:dyDescent="0.3">
      <c r="A20" t="s">
        <v>3771</v>
      </c>
      <c r="B20" s="2">
        <v>17</v>
      </c>
      <c r="C20" s="2">
        <v>14</v>
      </c>
      <c r="D20" s="2" t="s">
        <v>328</v>
      </c>
      <c r="E20" s="4">
        <v>44173</v>
      </c>
      <c r="F20" s="2" t="s">
        <v>20</v>
      </c>
      <c r="G20" s="2" t="s">
        <v>17</v>
      </c>
      <c r="H20" s="60" t="s">
        <v>209</v>
      </c>
      <c r="I20" s="60"/>
      <c r="L20" s="2"/>
      <c r="M20" s="2"/>
      <c r="N20" s="4"/>
      <c r="T20" s="106"/>
      <c r="U20" s="2">
        <f>SUM(U12:U19)</f>
        <v>55</v>
      </c>
      <c r="V20" s="99">
        <f>SUM(V12:V19)</f>
        <v>55</v>
      </c>
    </row>
    <row r="21" spans="1:22" x14ac:dyDescent="0.3">
      <c r="A21" t="s">
        <v>3771</v>
      </c>
      <c r="B21" s="2">
        <v>18</v>
      </c>
      <c r="C21" s="2">
        <v>26</v>
      </c>
      <c r="D21" s="2" t="s">
        <v>326</v>
      </c>
      <c r="E21" s="4">
        <v>44177</v>
      </c>
      <c r="F21" s="2" t="s">
        <v>23</v>
      </c>
      <c r="G21" s="2" t="s">
        <v>16</v>
      </c>
      <c r="H21" s="60">
        <v>8.3333333333333329E-2</v>
      </c>
      <c r="I21" s="60"/>
      <c r="L21" s="2"/>
      <c r="M21" s="2"/>
      <c r="N21" s="4"/>
      <c r="T21" s="106"/>
      <c r="V21" s="100"/>
    </row>
    <row r="22" spans="1:22" x14ac:dyDescent="0.3">
      <c r="A22" t="s">
        <v>3771</v>
      </c>
      <c r="B22" s="2">
        <v>19</v>
      </c>
      <c r="C22" s="2">
        <v>27</v>
      </c>
      <c r="D22" s="2" t="s">
        <v>328</v>
      </c>
      <c r="E22" s="4">
        <v>44178</v>
      </c>
      <c r="F22" s="2" t="s">
        <v>19</v>
      </c>
      <c r="G22" s="2" t="s">
        <v>16</v>
      </c>
      <c r="H22" s="60">
        <v>8.7500000000000008E-2</v>
      </c>
      <c r="I22" s="60"/>
      <c r="L22" s="2"/>
      <c r="M22" s="2"/>
      <c r="N22" s="4"/>
      <c r="T22" s="106"/>
      <c r="V22" s="100"/>
    </row>
    <row r="23" spans="1:22" x14ac:dyDescent="0.3">
      <c r="A23" t="s">
        <v>3771</v>
      </c>
      <c r="B23" s="2">
        <v>20</v>
      </c>
      <c r="C23" s="2">
        <v>8</v>
      </c>
      <c r="D23" s="2" t="s">
        <v>327</v>
      </c>
      <c r="E23" s="4">
        <v>44180</v>
      </c>
      <c r="F23" s="2" t="s">
        <v>20</v>
      </c>
      <c r="G23" s="2" t="s">
        <v>17</v>
      </c>
      <c r="H23" s="60" t="s">
        <v>208</v>
      </c>
      <c r="I23" s="60"/>
      <c r="L23" s="2"/>
      <c r="M23" s="2"/>
      <c r="N23" s="4"/>
      <c r="T23" s="105" t="s">
        <v>191</v>
      </c>
      <c r="U23" s="2" t="s">
        <v>221</v>
      </c>
      <c r="V23" s="101" t="s">
        <v>222</v>
      </c>
    </row>
    <row r="24" spans="1:22" x14ac:dyDescent="0.3">
      <c r="A24" t="s">
        <v>3771</v>
      </c>
      <c r="B24" s="2">
        <v>21</v>
      </c>
      <c r="C24" s="2">
        <v>2</v>
      </c>
      <c r="D24" s="2" t="s">
        <v>6179</v>
      </c>
      <c r="E24" s="4">
        <v>44186</v>
      </c>
      <c r="F24" s="2" t="s">
        <v>1250</v>
      </c>
      <c r="G24" s="2" t="s">
        <v>17</v>
      </c>
      <c r="H24" s="60" t="s">
        <v>3796</v>
      </c>
      <c r="I24" s="60"/>
      <c r="L24" s="2"/>
      <c r="M24" s="2"/>
      <c r="N24" s="4"/>
      <c r="T24" s="105" t="s">
        <v>198</v>
      </c>
      <c r="U24" s="62">
        <v>4</v>
      </c>
      <c r="V24" s="98">
        <v>4</v>
      </c>
    </row>
    <row r="25" spans="1:22" x14ac:dyDescent="0.3">
      <c r="A25" t="s">
        <v>3771</v>
      </c>
      <c r="B25" s="2">
        <v>22</v>
      </c>
      <c r="C25" s="2">
        <v>28</v>
      </c>
      <c r="D25" s="2" t="s">
        <v>6179</v>
      </c>
      <c r="E25" s="4">
        <v>44187</v>
      </c>
      <c r="F25" s="2" t="s">
        <v>20</v>
      </c>
      <c r="G25" s="2" t="s">
        <v>17</v>
      </c>
      <c r="H25" s="60" t="s">
        <v>160</v>
      </c>
      <c r="I25" s="60"/>
      <c r="L25" s="2"/>
      <c r="M25" s="2"/>
      <c r="N25" s="4"/>
      <c r="T25" s="105" t="s">
        <v>199</v>
      </c>
      <c r="U25" s="2">
        <v>8</v>
      </c>
      <c r="V25" s="99">
        <v>8</v>
      </c>
    </row>
    <row r="26" spans="1:22" x14ac:dyDescent="0.3">
      <c r="A26" t="s">
        <v>3771</v>
      </c>
      <c r="B26" s="2">
        <v>23</v>
      </c>
      <c r="C26" s="2">
        <v>29</v>
      </c>
      <c r="D26" s="2" t="s">
        <v>610</v>
      </c>
      <c r="E26" s="4">
        <v>44191</v>
      </c>
      <c r="F26" s="2" t="s">
        <v>23</v>
      </c>
      <c r="G26" s="2" t="s">
        <v>16</v>
      </c>
      <c r="H26" s="60">
        <v>0.12916666666666668</v>
      </c>
      <c r="I26" s="60"/>
      <c r="K26" s="2"/>
      <c r="L26" s="2"/>
      <c r="M26" s="2"/>
      <c r="N26" s="4"/>
      <c r="T26" s="105" t="s">
        <v>200</v>
      </c>
      <c r="U26" s="2">
        <v>15</v>
      </c>
      <c r="V26" s="99">
        <f>U26+2</f>
        <v>17</v>
      </c>
    </row>
    <row r="27" spans="1:22" x14ac:dyDescent="0.3">
      <c r="A27" t="s">
        <v>3771</v>
      </c>
      <c r="B27" s="2">
        <v>24</v>
      </c>
      <c r="C27" s="2">
        <v>30</v>
      </c>
      <c r="D27" s="2" t="s">
        <v>331</v>
      </c>
      <c r="E27" s="4">
        <v>44193</v>
      </c>
      <c r="F27" s="2" t="s">
        <v>1250</v>
      </c>
      <c r="G27" s="2" t="s">
        <v>17</v>
      </c>
      <c r="H27" s="60">
        <v>2.0833333333333333E-3</v>
      </c>
      <c r="I27" s="60"/>
      <c r="L27" s="2"/>
      <c r="M27" s="2"/>
      <c r="N27" s="4"/>
      <c r="T27" s="105" t="s">
        <v>201</v>
      </c>
      <c r="U27" s="2">
        <v>12</v>
      </c>
      <c r="V27" s="99">
        <f>U27-2+2</f>
        <v>12</v>
      </c>
    </row>
    <row r="28" spans="1:22" x14ac:dyDescent="0.3">
      <c r="A28" t="s">
        <v>3771</v>
      </c>
      <c r="B28" s="2">
        <v>25</v>
      </c>
      <c r="C28" s="2">
        <v>31</v>
      </c>
      <c r="D28" s="2" t="s">
        <v>6076</v>
      </c>
      <c r="E28" s="4">
        <v>44195</v>
      </c>
      <c r="F28" s="2" t="s">
        <v>21</v>
      </c>
      <c r="G28" s="2" t="s">
        <v>16</v>
      </c>
      <c r="H28" s="60" t="s">
        <v>351</v>
      </c>
      <c r="I28" s="60"/>
      <c r="L28" s="2"/>
      <c r="M28" s="2"/>
      <c r="N28" s="4"/>
      <c r="T28" s="105" t="s">
        <v>202</v>
      </c>
      <c r="U28" s="2">
        <v>8</v>
      </c>
      <c r="V28" s="99">
        <f>U28-2+1</f>
        <v>7</v>
      </c>
    </row>
    <row r="29" spans="1:22" x14ac:dyDescent="0.3">
      <c r="A29" t="s">
        <v>3771</v>
      </c>
      <c r="B29" s="170">
        <v>26</v>
      </c>
      <c r="C29" s="170">
        <v>32</v>
      </c>
      <c r="D29" s="170" t="s">
        <v>626</v>
      </c>
      <c r="E29" s="189">
        <v>44199</v>
      </c>
      <c r="F29" s="170" t="s">
        <v>19</v>
      </c>
      <c r="G29" s="170" t="s">
        <v>17</v>
      </c>
      <c r="H29" s="193" t="s">
        <v>160</v>
      </c>
      <c r="I29" s="60"/>
      <c r="L29" s="2"/>
      <c r="M29" s="2"/>
      <c r="N29" s="4"/>
      <c r="T29" s="105" t="s">
        <v>203</v>
      </c>
      <c r="U29" s="2">
        <v>3</v>
      </c>
      <c r="V29" s="99">
        <f>U29+1-1</f>
        <v>3</v>
      </c>
    </row>
    <row r="30" spans="1:22" x14ac:dyDescent="0.3">
      <c r="A30" t="s">
        <v>3771</v>
      </c>
      <c r="B30" s="2">
        <v>27</v>
      </c>
      <c r="C30" s="2">
        <v>5</v>
      </c>
      <c r="D30" s="2" t="s">
        <v>6076</v>
      </c>
      <c r="E30" s="4">
        <v>44201</v>
      </c>
      <c r="F30" s="2" t="s">
        <v>20</v>
      </c>
      <c r="G30" s="2" t="s">
        <v>16</v>
      </c>
      <c r="H30" s="60">
        <v>0.25277777777777777</v>
      </c>
      <c r="I30" s="60"/>
      <c r="L30" s="2"/>
      <c r="M30" s="2"/>
      <c r="N30" s="4"/>
      <c r="T30" s="105" t="s">
        <v>204</v>
      </c>
      <c r="U30" s="2">
        <v>5</v>
      </c>
      <c r="V30" s="99">
        <v>4</v>
      </c>
    </row>
    <row r="31" spans="1:22" x14ac:dyDescent="0.3">
      <c r="A31" t="s">
        <v>3771</v>
      </c>
      <c r="B31" s="2">
        <v>28</v>
      </c>
      <c r="C31" s="2">
        <v>33</v>
      </c>
      <c r="D31" s="2" t="s">
        <v>3797</v>
      </c>
      <c r="E31" s="4">
        <v>44204</v>
      </c>
      <c r="F31" s="2" t="s">
        <v>18</v>
      </c>
      <c r="G31" s="2" t="s">
        <v>16</v>
      </c>
      <c r="H31" s="60">
        <v>4.3750000000000004E-2</v>
      </c>
      <c r="I31" s="60"/>
      <c r="L31" s="2"/>
      <c r="M31" s="2"/>
      <c r="N31" s="4"/>
      <c r="T31" s="105" t="s">
        <v>205</v>
      </c>
      <c r="U31" s="2">
        <v>0</v>
      </c>
      <c r="V31" s="99">
        <v>0</v>
      </c>
    </row>
    <row r="32" spans="1:22" x14ac:dyDescent="0.3">
      <c r="A32" t="s">
        <v>3771</v>
      </c>
      <c r="B32" s="2">
        <v>29</v>
      </c>
      <c r="C32" s="2">
        <v>34</v>
      </c>
      <c r="D32" s="2" t="s">
        <v>327</v>
      </c>
      <c r="E32" s="4">
        <v>44206</v>
      </c>
      <c r="F32" s="2" t="s">
        <v>19</v>
      </c>
      <c r="G32" s="2" t="s">
        <v>17</v>
      </c>
      <c r="H32" s="60">
        <v>0.20833333333333334</v>
      </c>
      <c r="I32" s="60"/>
      <c r="T32" s="105" t="s">
        <v>3429</v>
      </c>
      <c r="U32" s="2">
        <v>0</v>
      </c>
      <c r="V32" s="99">
        <v>0</v>
      </c>
    </row>
    <row r="33" spans="1:22" ht="15" thickBot="1" x14ac:dyDescent="0.35">
      <c r="A33" t="s">
        <v>3771</v>
      </c>
      <c r="B33" s="2">
        <v>30</v>
      </c>
      <c r="C33" s="2">
        <v>12</v>
      </c>
      <c r="D33" s="2" t="s">
        <v>6091</v>
      </c>
      <c r="E33" s="4">
        <v>44208</v>
      </c>
      <c r="F33" s="2" t="s">
        <v>20</v>
      </c>
      <c r="G33" s="2" t="s">
        <v>16</v>
      </c>
      <c r="H33" s="60">
        <v>0.1277777777777778</v>
      </c>
      <c r="I33" s="60"/>
      <c r="T33" s="102"/>
      <c r="U33" s="103">
        <f>SUM(U24:U32)</f>
        <v>55</v>
      </c>
      <c r="V33" s="104">
        <f>SUM(V24:V32)</f>
        <v>55</v>
      </c>
    </row>
    <row r="34" spans="1:22" ht="15" thickBot="1" x14ac:dyDescent="0.35">
      <c r="A34" t="s">
        <v>3771</v>
      </c>
      <c r="B34" s="2">
        <v>31</v>
      </c>
      <c r="C34" s="2">
        <v>35</v>
      </c>
      <c r="D34" s="2" t="s">
        <v>325</v>
      </c>
      <c r="E34" s="4">
        <v>44211</v>
      </c>
      <c r="F34" s="2" t="s">
        <v>18</v>
      </c>
      <c r="G34" s="2" t="s">
        <v>17</v>
      </c>
      <c r="H34" s="60">
        <v>0.12847222222222224</v>
      </c>
      <c r="L34" s="1146" t="s">
        <v>3682</v>
      </c>
      <c r="M34" s="1147"/>
      <c r="N34" s="1148"/>
      <c r="O34" s="240" t="s">
        <v>315</v>
      </c>
    </row>
    <row r="35" spans="1:22" x14ac:dyDescent="0.3">
      <c r="A35" t="s">
        <v>3771</v>
      </c>
      <c r="B35" s="2">
        <v>32</v>
      </c>
      <c r="C35" s="2">
        <v>36</v>
      </c>
      <c r="D35" s="2" t="s">
        <v>6086</v>
      </c>
      <c r="E35" s="4">
        <v>44213</v>
      </c>
      <c r="F35" s="2" t="s">
        <v>19</v>
      </c>
      <c r="G35" s="2" t="s">
        <v>16</v>
      </c>
      <c r="H35" s="60">
        <v>0.12638888888888888</v>
      </c>
      <c r="I35" s="60"/>
      <c r="L35" s="430" t="s">
        <v>238</v>
      </c>
      <c r="M35" s="431" t="s">
        <v>240</v>
      </c>
      <c r="N35" s="432" t="s">
        <v>241</v>
      </c>
      <c r="O35" s="121" t="s">
        <v>314</v>
      </c>
      <c r="U35" s="395" t="s">
        <v>3438</v>
      </c>
      <c r="V35" s="186" t="s">
        <v>3437</v>
      </c>
    </row>
    <row r="36" spans="1:22" ht="15" thickBot="1" x14ac:dyDescent="0.35">
      <c r="A36" t="s">
        <v>3771</v>
      </c>
      <c r="B36" s="2">
        <v>33</v>
      </c>
      <c r="C36" s="2">
        <v>37</v>
      </c>
      <c r="D36" s="2" t="s">
        <v>334</v>
      </c>
      <c r="E36" s="4">
        <v>44216</v>
      </c>
      <c r="F36" s="2" t="s">
        <v>21</v>
      </c>
      <c r="G36" s="425" t="s">
        <v>17</v>
      </c>
      <c r="H36" s="60">
        <v>4.3055555555555562E-2</v>
      </c>
      <c r="I36" s="60"/>
      <c r="L36" s="354">
        <v>44054</v>
      </c>
      <c r="M36" s="63" t="s">
        <v>6076</v>
      </c>
      <c r="N36" s="98" t="s">
        <v>818</v>
      </c>
      <c r="O36" s="107">
        <v>3.472222222222222E-3</v>
      </c>
      <c r="U36" s="396">
        <f>(V15+V16+V17+V18+V19)/V20</f>
        <v>0.38181818181818183</v>
      </c>
      <c r="V36" s="394">
        <f>(V27+V28+V29+V30+V31+V32)/V33</f>
        <v>0.47272727272727272</v>
      </c>
    </row>
    <row r="37" spans="1:22" x14ac:dyDescent="0.3">
      <c r="A37" t="s">
        <v>3771</v>
      </c>
      <c r="B37" s="2">
        <v>34</v>
      </c>
      <c r="C37" s="2">
        <v>38</v>
      </c>
      <c r="D37" s="2" t="s">
        <v>6091</v>
      </c>
      <c r="E37" s="4">
        <v>44218</v>
      </c>
      <c r="F37" s="2" t="s">
        <v>18</v>
      </c>
      <c r="G37" s="2" t="s">
        <v>16</v>
      </c>
      <c r="H37" s="60">
        <v>0.16874999999999998</v>
      </c>
      <c r="I37" s="60"/>
      <c r="L37" s="354">
        <v>44056</v>
      </c>
      <c r="M37" s="63" t="s">
        <v>818</v>
      </c>
      <c r="N37" s="98" t="s">
        <v>6076</v>
      </c>
      <c r="O37" s="107">
        <v>0.25</v>
      </c>
    </row>
    <row r="38" spans="1:22" x14ac:dyDescent="0.3">
      <c r="A38" t="s">
        <v>3771</v>
      </c>
      <c r="B38" s="2">
        <v>35</v>
      </c>
      <c r="C38" s="2">
        <v>39</v>
      </c>
      <c r="D38" s="2" t="s">
        <v>326</v>
      </c>
      <c r="E38" s="4">
        <v>44220</v>
      </c>
      <c r="F38" s="2" t="s">
        <v>19</v>
      </c>
      <c r="G38" s="2" t="s">
        <v>17</v>
      </c>
      <c r="H38" s="60">
        <v>0.12638888888888888</v>
      </c>
      <c r="I38" s="60"/>
      <c r="L38" s="354">
        <v>44057</v>
      </c>
      <c r="M38" s="63" t="s">
        <v>610</v>
      </c>
      <c r="N38" s="98" t="s">
        <v>818</v>
      </c>
      <c r="O38" s="107">
        <v>4.1666666666666664E-2</v>
      </c>
    </row>
    <row r="39" spans="1:22" x14ac:dyDescent="0.3">
      <c r="A39" t="s">
        <v>3771</v>
      </c>
      <c r="B39" s="2">
        <v>36</v>
      </c>
      <c r="C39" s="2">
        <v>1</v>
      </c>
      <c r="D39" s="2" t="s">
        <v>328</v>
      </c>
      <c r="E39" s="4">
        <v>44222</v>
      </c>
      <c r="F39" s="2" t="s">
        <v>20</v>
      </c>
      <c r="G39" s="2" t="s">
        <v>17</v>
      </c>
      <c r="H39" s="60">
        <v>0.12638888888888888</v>
      </c>
      <c r="I39" s="60"/>
      <c r="L39" s="354">
        <v>44061</v>
      </c>
      <c r="M39" s="63" t="s">
        <v>818</v>
      </c>
      <c r="N39" s="98" t="s">
        <v>610</v>
      </c>
      <c r="O39" s="107" t="s">
        <v>354</v>
      </c>
    </row>
    <row r="40" spans="1:22" x14ac:dyDescent="0.3">
      <c r="A40" t="s">
        <v>3771</v>
      </c>
      <c r="B40" s="2">
        <v>37</v>
      </c>
      <c r="C40" s="2">
        <v>40</v>
      </c>
      <c r="D40" s="2" t="s">
        <v>328</v>
      </c>
      <c r="E40" s="4">
        <v>44225</v>
      </c>
      <c r="F40" s="2" t="s">
        <v>18</v>
      </c>
      <c r="G40" s="2" t="s">
        <v>16</v>
      </c>
      <c r="H40" s="60">
        <v>8.5416666666666655E-2</v>
      </c>
      <c r="I40" s="60"/>
      <c r="L40" s="354">
        <v>44062</v>
      </c>
      <c r="M40" s="63" t="s">
        <v>818</v>
      </c>
      <c r="N40" s="101" t="s">
        <v>6086</v>
      </c>
      <c r="O40" s="107">
        <v>0.16805555555555554</v>
      </c>
    </row>
    <row r="41" spans="1:22" x14ac:dyDescent="0.3">
      <c r="A41" t="s">
        <v>3771</v>
      </c>
      <c r="B41" s="2">
        <v>38</v>
      </c>
      <c r="C41" s="2">
        <v>41</v>
      </c>
      <c r="D41" s="2" t="s">
        <v>6179</v>
      </c>
      <c r="E41" s="4">
        <v>44226</v>
      </c>
      <c r="F41" s="2" t="s">
        <v>23</v>
      </c>
      <c r="G41" s="2" t="s">
        <v>16</v>
      </c>
      <c r="H41" s="60">
        <v>0.16874999999999998</v>
      </c>
      <c r="I41" s="60"/>
      <c r="L41" s="354">
        <v>44063</v>
      </c>
      <c r="M41" s="7" t="s">
        <v>6086</v>
      </c>
      <c r="N41" s="98" t="s">
        <v>818</v>
      </c>
      <c r="O41" s="107">
        <v>0.12847222222222224</v>
      </c>
    </row>
    <row r="42" spans="1:22" x14ac:dyDescent="0.3">
      <c r="A42" t="s">
        <v>3771</v>
      </c>
      <c r="B42" s="170">
        <v>39</v>
      </c>
      <c r="C42" s="170">
        <v>42</v>
      </c>
      <c r="D42" s="170" t="s">
        <v>610</v>
      </c>
      <c r="E42" s="189">
        <v>44229</v>
      </c>
      <c r="F42" s="170" t="s">
        <v>20</v>
      </c>
      <c r="G42" s="170" t="s">
        <v>17</v>
      </c>
      <c r="H42" s="193">
        <v>4.5833333333333337E-2</v>
      </c>
      <c r="I42" s="60"/>
      <c r="L42" s="354">
        <v>44067</v>
      </c>
      <c r="M42" s="63" t="s">
        <v>331</v>
      </c>
      <c r="N42" s="98" t="s">
        <v>818</v>
      </c>
      <c r="O42" s="107">
        <v>8.4722222222222213E-2</v>
      </c>
    </row>
    <row r="43" spans="1:22" x14ac:dyDescent="0.3">
      <c r="A43" t="s">
        <v>3771</v>
      </c>
      <c r="B43" s="2">
        <v>40</v>
      </c>
      <c r="C43" s="2">
        <v>43</v>
      </c>
      <c r="D43" s="2" t="s">
        <v>331</v>
      </c>
      <c r="E43" s="4">
        <v>44232</v>
      </c>
      <c r="F43" s="2" t="s">
        <v>18</v>
      </c>
      <c r="G43" s="2" t="s">
        <v>16</v>
      </c>
      <c r="H43" s="60">
        <v>0.17013888888888887</v>
      </c>
      <c r="I43" s="60"/>
      <c r="L43" s="354">
        <v>44069</v>
      </c>
      <c r="M43" s="63" t="s">
        <v>818</v>
      </c>
      <c r="N43" s="98" t="s">
        <v>331</v>
      </c>
      <c r="O43" s="107">
        <v>8.6805555555555566E-2</v>
      </c>
    </row>
    <row r="44" spans="1:22" x14ac:dyDescent="0.3">
      <c r="A44" t="s">
        <v>3771</v>
      </c>
      <c r="B44" s="2">
        <v>41</v>
      </c>
      <c r="C44" s="2">
        <v>44</v>
      </c>
      <c r="D44" s="2" t="s">
        <v>6076</v>
      </c>
      <c r="E44" s="4">
        <v>44234</v>
      </c>
      <c r="F44" s="2" t="s">
        <v>19</v>
      </c>
      <c r="G44" s="2" t="s">
        <v>17</v>
      </c>
      <c r="H44" s="60" t="s">
        <v>351</v>
      </c>
      <c r="I44" s="60"/>
      <c r="L44" s="354">
        <v>44077</v>
      </c>
      <c r="M44" s="63" t="s">
        <v>818</v>
      </c>
      <c r="N44" s="98" t="s">
        <v>323</v>
      </c>
      <c r="O44" s="107">
        <v>4.3750000000000004E-2</v>
      </c>
      <c r="P44" s="2"/>
    </row>
    <row r="45" spans="1:22" ht="15" thickBot="1" x14ac:dyDescent="0.35">
      <c r="A45" t="s">
        <v>3771</v>
      </c>
      <c r="B45" s="2">
        <v>42</v>
      </c>
      <c r="C45" s="2">
        <v>10</v>
      </c>
      <c r="D45" s="2" t="s">
        <v>6086</v>
      </c>
      <c r="E45" s="4">
        <v>44236</v>
      </c>
      <c r="F45" s="2" t="s">
        <v>20</v>
      </c>
      <c r="G45" s="2" t="s">
        <v>16</v>
      </c>
      <c r="H45" s="60" t="s">
        <v>161</v>
      </c>
      <c r="I45" s="60"/>
      <c r="L45" s="355">
        <v>44083</v>
      </c>
      <c r="M45" s="429" t="s">
        <v>818</v>
      </c>
      <c r="N45" s="433" t="s">
        <v>6086</v>
      </c>
      <c r="O45" s="122">
        <v>0.12569444444444444</v>
      </c>
      <c r="P45" s="2"/>
    </row>
    <row r="46" spans="1:22" x14ac:dyDescent="0.3">
      <c r="A46" t="s">
        <v>3771</v>
      </c>
      <c r="B46" s="2">
        <v>43</v>
      </c>
      <c r="C46" s="2">
        <v>16</v>
      </c>
      <c r="D46" s="2" t="s">
        <v>610</v>
      </c>
      <c r="E46" s="4">
        <v>44242</v>
      </c>
      <c r="F46" s="2" t="s">
        <v>1250</v>
      </c>
      <c r="G46" s="2" t="s">
        <v>17</v>
      </c>
      <c r="H46" s="60" t="s">
        <v>589</v>
      </c>
      <c r="I46" s="60"/>
      <c r="O46" s="428">
        <v>1.0604166666666666</v>
      </c>
      <c r="P46" t="s">
        <v>580</v>
      </c>
    </row>
    <row r="47" spans="1:22" x14ac:dyDescent="0.3">
      <c r="A47" t="s">
        <v>3771</v>
      </c>
      <c r="B47" s="2">
        <v>44</v>
      </c>
      <c r="C47" s="2">
        <v>45</v>
      </c>
      <c r="D47" s="2" t="s">
        <v>626</v>
      </c>
      <c r="E47" s="4">
        <v>44244</v>
      </c>
      <c r="F47" s="2" t="s">
        <v>21</v>
      </c>
      <c r="G47" s="2" t="s">
        <v>16</v>
      </c>
      <c r="H47" s="60">
        <v>0.1277777777777778</v>
      </c>
      <c r="I47" s="60"/>
      <c r="O47" s="60">
        <v>0.59375</v>
      </c>
      <c r="P47" t="s">
        <v>821</v>
      </c>
    </row>
    <row r="48" spans="1:22" x14ac:dyDescent="0.3">
      <c r="A48" t="s">
        <v>3771</v>
      </c>
      <c r="B48" s="2">
        <v>45</v>
      </c>
      <c r="C48" s="2">
        <v>46</v>
      </c>
      <c r="D48" s="2" t="s">
        <v>1274</v>
      </c>
      <c r="E48" s="4">
        <v>44246</v>
      </c>
      <c r="F48" s="2" t="s">
        <v>18</v>
      </c>
      <c r="G48" s="2" t="s">
        <v>17</v>
      </c>
      <c r="H48" s="60">
        <v>8.5416666666666655E-2</v>
      </c>
      <c r="I48" s="60"/>
    </row>
    <row r="49" spans="1:14" x14ac:dyDescent="0.3">
      <c r="A49" t="s">
        <v>3771</v>
      </c>
      <c r="B49" s="2">
        <v>46</v>
      </c>
      <c r="C49" s="2">
        <v>47</v>
      </c>
      <c r="D49" s="2" t="s">
        <v>327</v>
      </c>
      <c r="E49" s="4">
        <v>44248</v>
      </c>
      <c r="F49" s="2" t="s">
        <v>19</v>
      </c>
      <c r="G49" s="2" t="s">
        <v>16</v>
      </c>
      <c r="H49" s="60">
        <v>0.12569444444444444</v>
      </c>
      <c r="I49" s="60"/>
    </row>
    <row r="50" spans="1:14" x14ac:dyDescent="0.3">
      <c r="A50" t="s">
        <v>3771</v>
      </c>
      <c r="B50" s="2">
        <v>47</v>
      </c>
      <c r="C50" s="2">
        <v>19</v>
      </c>
      <c r="D50" s="2" t="s">
        <v>626</v>
      </c>
      <c r="E50" s="4">
        <v>44250</v>
      </c>
      <c r="F50" s="2" t="s">
        <v>20</v>
      </c>
      <c r="G50" s="2" t="s">
        <v>16</v>
      </c>
      <c r="H50" s="60">
        <v>8.4027777777777771E-2</v>
      </c>
      <c r="I50" s="60"/>
    </row>
    <row r="51" spans="1:14" x14ac:dyDescent="0.3">
      <c r="A51" t="s">
        <v>3771</v>
      </c>
      <c r="B51" s="2">
        <v>48</v>
      </c>
      <c r="C51" s="2">
        <v>48</v>
      </c>
      <c r="D51" s="2" t="s">
        <v>325</v>
      </c>
      <c r="E51" s="4">
        <v>44253</v>
      </c>
      <c r="F51" s="2" t="s">
        <v>18</v>
      </c>
      <c r="G51" s="2" t="s">
        <v>16</v>
      </c>
      <c r="H51" s="60">
        <v>0.16805555555555554</v>
      </c>
      <c r="I51" s="60"/>
    </row>
    <row r="52" spans="1:14" x14ac:dyDescent="0.3">
      <c r="A52" t="s">
        <v>3771</v>
      </c>
      <c r="B52" s="2">
        <v>49</v>
      </c>
      <c r="C52" s="2">
        <v>49</v>
      </c>
      <c r="D52" s="2" t="s">
        <v>6086</v>
      </c>
      <c r="E52" s="4">
        <v>44255</v>
      </c>
      <c r="F52" s="2" t="s">
        <v>19</v>
      </c>
      <c r="G52" s="2" t="s">
        <v>17</v>
      </c>
      <c r="H52" s="60">
        <v>0.25208333333333333</v>
      </c>
      <c r="I52" s="60"/>
    </row>
    <row r="53" spans="1:14" x14ac:dyDescent="0.3">
      <c r="A53" t="s">
        <v>3771</v>
      </c>
      <c r="B53" s="2">
        <v>50</v>
      </c>
      <c r="C53" s="2">
        <v>50</v>
      </c>
      <c r="D53" s="2" t="s">
        <v>334</v>
      </c>
      <c r="E53" s="4">
        <v>44259</v>
      </c>
      <c r="F53" s="2" t="s">
        <v>22</v>
      </c>
      <c r="G53" s="2" t="s">
        <v>3798</v>
      </c>
      <c r="H53" s="60">
        <v>0.12638888888888888</v>
      </c>
      <c r="I53" s="60"/>
    </row>
    <row r="54" spans="1:14" x14ac:dyDescent="0.3">
      <c r="A54" t="s">
        <v>3771</v>
      </c>
      <c r="B54" s="2">
        <v>51</v>
      </c>
      <c r="C54" s="2">
        <v>51</v>
      </c>
      <c r="D54" s="2" t="s">
        <v>6091</v>
      </c>
      <c r="E54" s="4">
        <v>44260</v>
      </c>
      <c r="F54" s="2" t="s">
        <v>18</v>
      </c>
      <c r="G54" s="2" t="s">
        <v>17</v>
      </c>
      <c r="H54" s="60">
        <v>0.29375000000000001</v>
      </c>
      <c r="I54" s="60"/>
    </row>
    <row r="55" spans="1:14" x14ac:dyDescent="0.3">
      <c r="A55" t="s">
        <v>3771</v>
      </c>
      <c r="B55" s="170">
        <v>52</v>
      </c>
      <c r="C55" s="170">
        <v>52</v>
      </c>
      <c r="D55" s="170" t="s">
        <v>326</v>
      </c>
      <c r="E55" s="189">
        <v>44262</v>
      </c>
      <c r="F55" s="170" t="s">
        <v>19</v>
      </c>
      <c r="G55" s="170" t="s">
        <v>16</v>
      </c>
      <c r="H55" s="193">
        <v>2.0833333333333333E-3</v>
      </c>
      <c r="I55" s="60"/>
    </row>
    <row r="56" spans="1:14" x14ac:dyDescent="0.3">
      <c r="A56" t="s">
        <v>3771</v>
      </c>
      <c r="B56" s="2">
        <v>53</v>
      </c>
      <c r="C56" s="2" t="s">
        <v>1060</v>
      </c>
      <c r="D56" s="2" t="s">
        <v>1274</v>
      </c>
      <c r="E56" s="4">
        <v>44265</v>
      </c>
      <c r="F56" s="2" t="s">
        <v>21</v>
      </c>
      <c r="G56" s="2" t="s">
        <v>16</v>
      </c>
      <c r="H56" s="60">
        <v>1.3888888888888889E-3</v>
      </c>
      <c r="I56" s="60"/>
    </row>
    <row r="57" spans="1:14" x14ac:dyDescent="0.3">
      <c r="A57" t="s">
        <v>3771</v>
      </c>
      <c r="B57" s="2">
        <v>54</v>
      </c>
      <c r="C57" s="2" t="s">
        <v>1060</v>
      </c>
      <c r="D57" s="2" t="s">
        <v>1274</v>
      </c>
      <c r="E57" s="4">
        <v>44266</v>
      </c>
      <c r="F57" s="2" t="s">
        <v>22</v>
      </c>
      <c r="G57" s="2" t="s">
        <v>16</v>
      </c>
      <c r="H57" s="60">
        <v>4.3750000000000004E-2</v>
      </c>
      <c r="I57" s="60"/>
    </row>
    <row r="58" spans="1:14" x14ac:dyDescent="0.3">
      <c r="A58" t="s">
        <v>3771</v>
      </c>
      <c r="B58" s="2">
        <v>55</v>
      </c>
      <c r="C58" s="2" t="s">
        <v>1060</v>
      </c>
      <c r="D58" s="2" t="s">
        <v>1274</v>
      </c>
      <c r="E58" s="4">
        <v>44268</v>
      </c>
      <c r="F58" s="2" t="s">
        <v>23</v>
      </c>
      <c r="G58" s="2" t="s">
        <v>17</v>
      </c>
      <c r="H58" s="60">
        <v>4.5138888888888888E-2</v>
      </c>
      <c r="I58" s="60"/>
    </row>
    <row r="59" spans="1:14" ht="15" thickBot="1" x14ac:dyDescent="0.35">
      <c r="B59" s="2"/>
      <c r="E59" s="4"/>
      <c r="H59" s="60"/>
      <c r="I59" s="60"/>
    </row>
    <row r="60" spans="1:14" ht="15" thickBot="1" x14ac:dyDescent="0.35">
      <c r="B60" s="2"/>
      <c r="E60" s="295">
        <f>I60/E82</f>
        <v>1.9230769230769232E-2</v>
      </c>
      <c r="F60" s="296" t="s">
        <v>1121</v>
      </c>
      <c r="G60" s="297"/>
      <c r="H60" s="298"/>
      <c r="I60" s="426">
        <f>52-(COUNTBLANK(I4:I55))</f>
        <v>1</v>
      </c>
    </row>
    <row r="61" spans="1:14" ht="15" thickBot="1" x14ac:dyDescent="0.35">
      <c r="B61" s="2"/>
      <c r="E61"/>
      <c r="F61"/>
      <c r="G61"/>
      <c r="H61"/>
    </row>
    <row r="62" spans="1:14" x14ac:dyDescent="0.3">
      <c r="B62" s="1142" t="s">
        <v>3665</v>
      </c>
      <c r="C62" s="1143"/>
      <c r="D62" s="1143"/>
      <c r="E62" s="1143"/>
      <c r="F62" s="1143"/>
      <c r="G62" s="1143"/>
      <c r="H62" s="1144"/>
      <c r="J62" s="260" t="s">
        <v>840</v>
      </c>
      <c r="K62" s="1145" t="s">
        <v>3783</v>
      </c>
      <c r="L62" s="1143"/>
      <c r="M62" s="1143"/>
      <c r="N62" s="1144"/>
    </row>
    <row r="63" spans="1:14" ht="15" thickBot="1" x14ac:dyDescent="0.35">
      <c r="B63" s="201"/>
      <c r="C63" s="202" t="s">
        <v>16</v>
      </c>
      <c r="D63" s="202" t="s">
        <v>793</v>
      </c>
      <c r="E63" s="202" t="s">
        <v>794</v>
      </c>
      <c r="F63" s="202" t="s">
        <v>743</v>
      </c>
      <c r="G63" s="202" t="s">
        <v>796</v>
      </c>
      <c r="H63" s="203" t="s">
        <v>795</v>
      </c>
      <c r="J63" s="261"/>
      <c r="K63" s="235" t="s">
        <v>813</v>
      </c>
      <c r="L63" s="200" t="s">
        <v>814</v>
      </c>
      <c r="M63" s="200" t="s">
        <v>816</v>
      </c>
      <c r="N63" s="230" t="s">
        <v>817</v>
      </c>
    </row>
    <row r="64" spans="1:14" x14ac:dyDescent="0.3">
      <c r="B64" s="204" t="s">
        <v>792</v>
      </c>
      <c r="C64" s="205">
        <f>C65+C66</f>
        <v>2</v>
      </c>
      <c r="D64" s="205">
        <f t="shared" ref="D64:F64" si="0">D65+D66</f>
        <v>3</v>
      </c>
      <c r="E64" s="205">
        <f t="shared" si="0"/>
        <v>1</v>
      </c>
      <c r="F64" s="205">
        <f t="shared" si="0"/>
        <v>7</v>
      </c>
      <c r="G64" s="205">
        <f>G65+G66</f>
        <v>13</v>
      </c>
      <c r="H64" s="274">
        <v>1.0659722222222221</v>
      </c>
      <c r="I64" s="243"/>
      <c r="J64" s="231">
        <v>1</v>
      </c>
      <c r="K64" s="251" t="s">
        <v>1274</v>
      </c>
      <c r="L64" s="171">
        <v>1</v>
      </c>
      <c r="M64" s="169">
        <v>12</v>
      </c>
      <c r="N64" s="231">
        <f t="shared" ref="N64:N77" si="1">M64-L64</f>
        <v>11</v>
      </c>
    </row>
    <row r="65" spans="2:14" x14ac:dyDescent="0.3">
      <c r="B65" s="198" t="s">
        <v>797</v>
      </c>
      <c r="C65" s="183">
        <v>1</v>
      </c>
      <c r="D65" s="183">
        <v>1</v>
      </c>
      <c r="E65" s="183">
        <v>0</v>
      </c>
      <c r="F65" s="183">
        <v>5</v>
      </c>
      <c r="G65" s="383">
        <f t="shared" ref="G65:G78" si="2">C65*3+D65*2+E65</f>
        <v>5</v>
      </c>
      <c r="H65" s="229">
        <v>0.55694444444444446</v>
      </c>
      <c r="I65" s="60"/>
      <c r="J65" s="232">
        <v>2</v>
      </c>
      <c r="K65" s="252" t="s">
        <v>334</v>
      </c>
      <c r="L65" s="184">
        <v>1</v>
      </c>
      <c r="M65" s="234">
        <v>12</v>
      </c>
      <c r="N65" s="232">
        <f t="shared" si="1"/>
        <v>11</v>
      </c>
    </row>
    <row r="66" spans="2:14" ht="15" thickBot="1" x14ac:dyDescent="0.35">
      <c r="B66" s="199" t="s">
        <v>798</v>
      </c>
      <c r="C66" s="200">
        <v>1</v>
      </c>
      <c r="D66" s="200">
        <v>2</v>
      </c>
      <c r="E66" s="200">
        <v>1</v>
      </c>
      <c r="F66" s="200">
        <v>2</v>
      </c>
      <c r="G66" s="384">
        <f t="shared" si="2"/>
        <v>8</v>
      </c>
      <c r="H66" s="249">
        <v>0.50902777777777775</v>
      </c>
      <c r="I66" s="244"/>
      <c r="J66" s="232">
        <v>3</v>
      </c>
      <c r="K66" s="252" t="s">
        <v>325</v>
      </c>
      <c r="L66" s="184">
        <v>0</v>
      </c>
      <c r="M66" s="234">
        <v>9</v>
      </c>
      <c r="N66" s="232">
        <f t="shared" si="1"/>
        <v>9</v>
      </c>
    </row>
    <row r="67" spans="2:14" x14ac:dyDescent="0.3">
      <c r="B67" s="204" t="s">
        <v>799</v>
      </c>
      <c r="C67" s="205">
        <f>C68+C69</f>
        <v>2</v>
      </c>
      <c r="D67" s="205">
        <f t="shared" ref="D67:G67" si="3">D68+D69</f>
        <v>4</v>
      </c>
      <c r="E67" s="205">
        <f t="shared" si="3"/>
        <v>2</v>
      </c>
      <c r="F67" s="205">
        <f t="shared" si="3"/>
        <v>5</v>
      </c>
      <c r="G67" s="205">
        <f t="shared" si="3"/>
        <v>16</v>
      </c>
      <c r="H67" s="274">
        <v>1.2347222222222223</v>
      </c>
      <c r="I67" s="243"/>
      <c r="J67" s="232">
        <v>4</v>
      </c>
      <c r="K67" s="252" t="s">
        <v>331</v>
      </c>
      <c r="L67" s="184">
        <v>1</v>
      </c>
      <c r="M67" s="234">
        <v>10</v>
      </c>
      <c r="N67" s="232">
        <f t="shared" si="1"/>
        <v>9</v>
      </c>
    </row>
    <row r="68" spans="2:14" x14ac:dyDescent="0.3">
      <c r="B68" s="198" t="s">
        <v>797</v>
      </c>
      <c r="C68" s="183">
        <v>1</v>
      </c>
      <c r="D68" s="183">
        <v>3</v>
      </c>
      <c r="E68" s="183">
        <v>2</v>
      </c>
      <c r="F68" s="183">
        <v>2</v>
      </c>
      <c r="G68" s="383">
        <f t="shared" si="2"/>
        <v>11</v>
      </c>
      <c r="H68" s="229">
        <v>0.72222222222222221</v>
      </c>
      <c r="I68" s="244"/>
      <c r="J68" s="232">
        <v>5</v>
      </c>
      <c r="K68" s="252" t="s">
        <v>6086</v>
      </c>
      <c r="L68" s="184">
        <v>0</v>
      </c>
      <c r="M68" s="234">
        <v>2</v>
      </c>
      <c r="N68" s="232">
        <f t="shared" si="1"/>
        <v>2</v>
      </c>
    </row>
    <row r="69" spans="2:14" ht="15" thickBot="1" x14ac:dyDescent="0.35">
      <c r="B69" s="199" t="s">
        <v>798</v>
      </c>
      <c r="C69" s="200">
        <v>1</v>
      </c>
      <c r="D69" s="200">
        <v>1</v>
      </c>
      <c r="E69" s="200">
        <v>0</v>
      </c>
      <c r="F69" s="200">
        <v>3</v>
      </c>
      <c r="G69" s="384">
        <f t="shared" si="2"/>
        <v>5</v>
      </c>
      <c r="H69" s="249">
        <v>0.51250000000000007</v>
      </c>
      <c r="I69" s="244"/>
      <c r="J69" s="232">
        <v>6</v>
      </c>
      <c r="K69" s="252" t="s">
        <v>610</v>
      </c>
      <c r="L69" s="184">
        <v>3</v>
      </c>
      <c r="M69" s="234">
        <v>4</v>
      </c>
      <c r="N69" s="232">
        <f t="shared" si="1"/>
        <v>1</v>
      </c>
    </row>
    <row r="70" spans="2:14" x14ac:dyDescent="0.3">
      <c r="B70" s="204" t="s">
        <v>800</v>
      </c>
      <c r="C70" s="205">
        <f>C71+C72</f>
        <v>7</v>
      </c>
      <c r="D70" s="205">
        <f t="shared" ref="D70:G70" si="4">D71+D72</f>
        <v>0</v>
      </c>
      <c r="E70" s="205">
        <f t="shared" si="4"/>
        <v>0</v>
      </c>
      <c r="F70" s="205">
        <f t="shared" si="4"/>
        <v>6</v>
      </c>
      <c r="G70" s="205">
        <f t="shared" si="4"/>
        <v>21</v>
      </c>
      <c r="H70" s="274">
        <v>1.6520833333333333</v>
      </c>
      <c r="I70" s="243"/>
      <c r="J70" s="232">
        <v>7</v>
      </c>
      <c r="K70" s="252" t="s">
        <v>6076</v>
      </c>
      <c r="L70" s="184">
        <v>9</v>
      </c>
      <c r="M70" s="234">
        <v>6</v>
      </c>
      <c r="N70" s="232">
        <f t="shared" si="1"/>
        <v>-3</v>
      </c>
    </row>
    <row r="71" spans="2:14" x14ac:dyDescent="0.3">
      <c r="B71" s="198" t="s">
        <v>797</v>
      </c>
      <c r="C71" s="183">
        <v>3</v>
      </c>
      <c r="D71" s="183">
        <v>0</v>
      </c>
      <c r="E71" s="183">
        <v>0</v>
      </c>
      <c r="F71" s="183">
        <v>3</v>
      </c>
      <c r="G71" s="383">
        <f t="shared" si="2"/>
        <v>9</v>
      </c>
      <c r="H71" s="229">
        <v>0.67847222222222225</v>
      </c>
      <c r="I71" s="244"/>
      <c r="J71" s="232">
        <v>8</v>
      </c>
      <c r="K71" s="252" t="s">
        <v>327</v>
      </c>
      <c r="L71" s="184">
        <v>4</v>
      </c>
      <c r="M71" s="234">
        <v>1</v>
      </c>
      <c r="N71" s="232">
        <f t="shared" si="1"/>
        <v>-3</v>
      </c>
    </row>
    <row r="72" spans="2:14" ht="15" thickBot="1" x14ac:dyDescent="0.35">
      <c r="B72" s="199" t="s">
        <v>798</v>
      </c>
      <c r="C72" s="200">
        <v>4</v>
      </c>
      <c r="D72" s="200">
        <v>0</v>
      </c>
      <c r="E72" s="200">
        <v>0</v>
      </c>
      <c r="F72" s="200">
        <v>3</v>
      </c>
      <c r="G72" s="384">
        <f t="shared" si="2"/>
        <v>12</v>
      </c>
      <c r="H72" s="249">
        <v>0.97361111111111109</v>
      </c>
      <c r="I72" s="244"/>
      <c r="J72" s="232">
        <v>9</v>
      </c>
      <c r="K72" s="252" t="s">
        <v>328</v>
      </c>
      <c r="L72" s="184">
        <v>6</v>
      </c>
      <c r="M72" s="234">
        <v>2</v>
      </c>
      <c r="N72" s="232">
        <f t="shared" si="1"/>
        <v>-4</v>
      </c>
    </row>
    <row r="73" spans="2:14" x14ac:dyDescent="0.3">
      <c r="B73" s="204" t="s">
        <v>801</v>
      </c>
      <c r="C73" s="205">
        <f>C74+C75</f>
        <v>6</v>
      </c>
      <c r="D73" s="205">
        <f>D74+D75</f>
        <v>1</v>
      </c>
      <c r="E73" s="205">
        <f t="shared" ref="E73:G73" si="5">E74+E75</f>
        <v>2</v>
      </c>
      <c r="F73" s="205">
        <f t="shared" si="5"/>
        <v>4</v>
      </c>
      <c r="G73" s="205">
        <f t="shared" si="5"/>
        <v>22</v>
      </c>
      <c r="H73" s="387">
        <v>1.6881944444444443</v>
      </c>
      <c r="I73" s="243"/>
      <c r="J73" s="232">
        <v>10</v>
      </c>
      <c r="K73" s="252" t="s">
        <v>326</v>
      </c>
      <c r="L73" s="184">
        <v>10</v>
      </c>
      <c r="M73" s="234">
        <v>6</v>
      </c>
      <c r="N73" s="232">
        <f t="shared" si="1"/>
        <v>-4</v>
      </c>
    </row>
    <row r="74" spans="2:14" x14ac:dyDescent="0.3">
      <c r="B74" s="198" t="s">
        <v>797</v>
      </c>
      <c r="C74" s="183">
        <v>2</v>
      </c>
      <c r="D74" s="183">
        <v>1</v>
      </c>
      <c r="E74" s="183">
        <v>1</v>
      </c>
      <c r="F74" s="183">
        <v>1</v>
      </c>
      <c r="G74" s="383">
        <f t="shared" si="2"/>
        <v>9</v>
      </c>
      <c r="H74" s="400">
        <v>0.80069444444444438</v>
      </c>
      <c r="I74" s="244"/>
      <c r="J74" s="232">
        <v>11</v>
      </c>
      <c r="K74" s="252" t="s">
        <v>626</v>
      </c>
      <c r="L74" s="184">
        <v>9</v>
      </c>
      <c r="M74" s="234">
        <v>3</v>
      </c>
      <c r="N74" s="232">
        <f t="shared" si="1"/>
        <v>-6</v>
      </c>
    </row>
    <row r="75" spans="2:14" ht="15" thickBot="1" x14ac:dyDescent="0.35">
      <c r="B75" s="199" t="s">
        <v>798</v>
      </c>
      <c r="C75" s="200">
        <v>4</v>
      </c>
      <c r="D75" s="200">
        <v>0</v>
      </c>
      <c r="E75" s="200">
        <v>1</v>
      </c>
      <c r="F75" s="200">
        <v>3</v>
      </c>
      <c r="G75" s="384">
        <f t="shared" si="2"/>
        <v>13</v>
      </c>
      <c r="H75" s="399">
        <v>0.88958333333333339</v>
      </c>
      <c r="I75" s="244"/>
      <c r="J75" s="232">
        <v>12</v>
      </c>
      <c r="K75" s="252" t="s">
        <v>6179</v>
      </c>
      <c r="L75" s="184">
        <v>7</v>
      </c>
      <c r="M75" s="234">
        <v>1</v>
      </c>
      <c r="N75" s="232">
        <f t="shared" si="1"/>
        <v>-6</v>
      </c>
    </row>
    <row r="76" spans="2:14" x14ac:dyDescent="0.3">
      <c r="B76" s="220" t="s">
        <v>804</v>
      </c>
      <c r="C76" s="221">
        <f>C64+C67+C70+C73</f>
        <v>17</v>
      </c>
      <c r="D76" s="221">
        <f t="shared" ref="D76:E78" si="6">D64+D67+D70+D73</f>
        <v>8</v>
      </c>
      <c r="E76" s="221">
        <f t="shared" si="6"/>
        <v>5</v>
      </c>
      <c r="F76" s="221">
        <f>F64+F67+F70+F73</f>
        <v>22</v>
      </c>
      <c r="G76" s="222">
        <f t="shared" si="2"/>
        <v>72</v>
      </c>
      <c r="H76" s="387" t="s">
        <v>3875</v>
      </c>
      <c r="I76" s="243"/>
      <c r="J76" s="232">
        <v>13</v>
      </c>
      <c r="K76" s="253" t="s">
        <v>818</v>
      </c>
      <c r="L76" s="237">
        <v>12</v>
      </c>
      <c r="M76" s="238">
        <v>4</v>
      </c>
      <c r="N76" s="239">
        <f t="shared" si="1"/>
        <v>-8</v>
      </c>
    </row>
    <row r="77" spans="2:14" ht="15" thickBot="1" x14ac:dyDescent="0.35">
      <c r="B77" s="223" t="s">
        <v>797</v>
      </c>
      <c r="C77" s="224">
        <f>C65+C68+C71+C74</f>
        <v>7</v>
      </c>
      <c r="D77" s="224">
        <f t="shared" si="6"/>
        <v>5</v>
      </c>
      <c r="E77" s="224">
        <f t="shared" si="6"/>
        <v>3</v>
      </c>
      <c r="F77" s="224">
        <f>F65+F68+F71+F74</f>
        <v>11</v>
      </c>
      <c r="G77" s="256">
        <f t="shared" si="2"/>
        <v>34</v>
      </c>
      <c r="H77" s="388" t="s">
        <v>3844</v>
      </c>
      <c r="I77" s="60"/>
      <c r="J77" s="233">
        <v>14</v>
      </c>
      <c r="K77" s="254" t="s">
        <v>6091</v>
      </c>
      <c r="L77" s="235">
        <v>10</v>
      </c>
      <c r="M77" s="236">
        <v>1</v>
      </c>
      <c r="N77" s="233">
        <f t="shared" si="1"/>
        <v>-9</v>
      </c>
    </row>
    <row r="78" spans="2:14" ht="15" thickBot="1" x14ac:dyDescent="0.35">
      <c r="B78" s="226" t="s">
        <v>798</v>
      </c>
      <c r="C78" s="227">
        <f>C66+C69+C72+C75</f>
        <v>10</v>
      </c>
      <c r="D78" s="227">
        <f t="shared" si="6"/>
        <v>3</v>
      </c>
      <c r="E78" s="227">
        <f t="shared" si="6"/>
        <v>2</v>
      </c>
      <c r="F78" s="227">
        <f>F66+F69+F72+F75</f>
        <v>11</v>
      </c>
      <c r="G78" s="258">
        <f t="shared" si="2"/>
        <v>38</v>
      </c>
      <c r="H78" s="391" t="s">
        <v>3874</v>
      </c>
      <c r="I78" s="244"/>
    </row>
    <row r="79" spans="2:14" x14ac:dyDescent="0.3">
      <c r="B79" s="214"/>
      <c r="C79" s="215"/>
      <c r="D79" s="215"/>
      <c r="E79" s="215"/>
      <c r="F79" s="215"/>
      <c r="G79" s="215"/>
      <c r="H79" s="389"/>
      <c r="I79" s="250"/>
      <c r="K79" s="129" t="s">
        <v>811</v>
      </c>
      <c r="L79" s="2">
        <f>SUM(L64:L77)</f>
        <v>73</v>
      </c>
      <c r="M79" s="2">
        <f>SUM(M64:M77)</f>
        <v>73</v>
      </c>
      <c r="N79" s="2">
        <f>L79-M79</f>
        <v>0</v>
      </c>
    </row>
    <row r="80" spans="2:14" x14ac:dyDescent="0.3">
      <c r="B80" s="216"/>
      <c r="C80" s="217"/>
      <c r="D80" s="217"/>
      <c r="E80" s="217"/>
      <c r="F80" s="217"/>
      <c r="G80" s="217"/>
      <c r="H80" s="300"/>
      <c r="I80" s="60"/>
    </row>
    <row r="81" spans="2:18" ht="15" thickBot="1" x14ac:dyDescent="0.35">
      <c r="B81" s="218"/>
      <c r="C81" s="219"/>
      <c r="D81" s="219"/>
      <c r="E81" s="219"/>
      <c r="F81" s="219"/>
      <c r="G81" s="219"/>
      <c r="H81" s="301"/>
      <c r="I81" s="60"/>
    </row>
    <row r="82" spans="2:18" x14ac:dyDescent="0.3">
      <c r="B82" s="2" t="s">
        <v>811</v>
      </c>
      <c r="C82" s="8" t="s">
        <v>812</v>
      </c>
      <c r="E82" s="2">
        <f>C76+D76+E76+F76</f>
        <v>52</v>
      </c>
    </row>
    <row r="90" spans="2:18" x14ac:dyDescent="0.3">
      <c r="K90" s="2"/>
      <c r="P90" s="2"/>
    </row>
    <row r="91" spans="2:18" x14ac:dyDescent="0.3">
      <c r="C91"/>
      <c r="D91"/>
      <c r="E91"/>
      <c r="K91" s="129"/>
      <c r="L91" s="130"/>
      <c r="M91" s="130"/>
      <c r="N91" s="130"/>
      <c r="O91" s="130"/>
      <c r="P91" s="130"/>
    </row>
    <row r="92" spans="2:18" x14ac:dyDescent="0.3">
      <c r="C92"/>
      <c r="D92"/>
      <c r="E92"/>
      <c r="K92" s="129"/>
      <c r="L92" s="130"/>
      <c r="M92" s="130"/>
      <c r="N92" s="60"/>
      <c r="O92" s="130"/>
      <c r="P92" s="130"/>
    </row>
    <row r="93" spans="2:18" x14ac:dyDescent="0.3">
      <c r="C93"/>
      <c r="D93"/>
      <c r="E93"/>
      <c r="K93" s="2"/>
      <c r="L93" s="130"/>
      <c r="M93" s="130"/>
      <c r="N93" s="130"/>
      <c r="O93" s="130"/>
      <c r="P93" s="130"/>
    </row>
    <row r="94" spans="2:18" x14ac:dyDescent="0.3">
      <c r="C94"/>
      <c r="D94"/>
      <c r="E94"/>
      <c r="F94"/>
      <c r="G94"/>
      <c r="H94"/>
      <c r="I94"/>
    </row>
    <row r="95" spans="2:18" x14ac:dyDescent="0.3">
      <c r="C95"/>
      <c r="D95"/>
      <c r="E95"/>
      <c r="F95"/>
      <c r="G95"/>
      <c r="H95"/>
      <c r="I95"/>
      <c r="K95" s="2"/>
      <c r="L95" s="60"/>
      <c r="M95" s="2"/>
      <c r="N95" s="60"/>
      <c r="O95" s="130"/>
      <c r="P95" s="60"/>
      <c r="Q95" s="2"/>
    </row>
    <row r="96" spans="2:18" x14ac:dyDescent="0.3">
      <c r="C96"/>
      <c r="D96"/>
      <c r="E96"/>
      <c r="F96"/>
      <c r="G96"/>
      <c r="H96"/>
      <c r="I96"/>
      <c r="K96" s="2"/>
      <c r="L96" s="2"/>
      <c r="M96" s="2"/>
      <c r="N96" s="60"/>
      <c r="O96" s="60"/>
      <c r="P96" s="244"/>
      <c r="Q96" s="130"/>
      <c r="R96" s="129"/>
    </row>
    <row r="97" spans="3:18" x14ac:dyDescent="0.3">
      <c r="C97"/>
      <c r="D97"/>
      <c r="E97"/>
      <c r="F97"/>
      <c r="G97"/>
      <c r="H97"/>
      <c r="I97"/>
      <c r="K97" s="2"/>
      <c r="L97" s="60"/>
      <c r="M97" s="60"/>
      <c r="N97" s="2"/>
      <c r="O97" s="130"/>
      <c r="P97" s="60"/>
      <c r="Q97" s="130"/>
      <c r="R97" s="129"/>
    </row>
    <row r="98" spans="3:18" x14ac:dyDescent="0.3">
      <c r="C98"/>
      <c r="D98"/>
      <c r="E98"/>
      <c r="F98"/>
      <c r="G98"/>
      <c r="H98"/>
      <c r="I98"/>
      <c r="Q98" s="130"/>
      <c r="R98" s="129"/>
    </row>
    <row r="99" spans="3:18" x14ac:dyDescent="0.3">
      <c r="C99"/>
      <c r="D99"/>
      <c r="E99"/>
      <c r="F99"/>
      <c r="G99"/>
      <c r="H99"/>
      <c r="I99"/>
      <c r="K99" s="2"/>
      <c r="L99" s="2"/>
      <c r="M99" s="2"/>
    </row>
    <row r="100" spans="3:18" x14ac:dyDescent="0.3">
      <c r="C100"/>
      <c r="D100"/>
      <c r="E100"/>
      <c r="F100"/>
      <c r="G100"/>
      <c r="H100"/>
      <c r="I100"/>
      <c r="K100" s="129"/>
      <c r="L100" s="2"/>
      <c r="M100" s="244"/>
      <c r="Q100" s="130"/>
      <c r="R100" s="129"/>
    </row>
    <row r="101" spans="3:18" x14ac:dyDescent="0.3">
      <c r="C101"/>
      <c r="D101"/>
      <c r="E101"/>
      <c r="F101"/>
      <c r="G101"/>
      <c r="H101"/>
      <c r="I101"/>
      <c r="K101" s="2"/>
      <c r="L101" s="2"/>
      <c r="M101" s="244"/>
      <c r="Q101" s="60"/>
      <c r="R101" s="129"/>
    </row>
    <row r="102" spans="3:18" x14ac:dyDescent="0.3">
      <c r="C102"/>
      <c r="D102"/>
      <c r="E102"/>
      <c r="F102"/>
      <c r="G102"/>
      <c r="H102"/>
      <c r="I102"/>
      <c r="K102" s="129"/>
      <c r="L102" s="2"/>
      <c r="M102" s="244"/>
      <c r="Q102" s="60"/>
      <c r="R102" s="129"/>
    </row>
    <row r="103" spans="3:18" x14ac:dyDescent="0.3">
      <c r="C103"/>
      <c r="D103"/>
      <c r="E103"/>
      <c r="F103"/>
      <c r="G103"/>
      <c r="H103"/>
      <c r="I103"/>
      <c r="K103" s="129"/>
      <c r="L103" s="2"/>
    </row>
    <row r="104" spans="3:18" x14ac:dyDescent="0.3">
      <c r="C104"/>
      <c r="D104"/>
      <c r="E104"/>
      <c r="F104"/>
      <c r="G104"/>
      <c r="H104"/>
      <c r="I104"/>
    </row>
    <row r="105" spans="3:18" x14ac:dyDescent="0.3">
      <c r="C105"/>
      <c r="D105"/>
      <c r="E105"/>
      <c r="F105"/>
      <c r="G105"/>
      <c r="H105"/>
      <c r="I105"/>
      <c r="O105"/>
    </row>
    <row r="106" spans="3:18" x14ac:dyDescent="0.3">
      <c r="C106"/>
      <c r="D106"/>
      <c r="E106"/>
      <c r="F106"/>
      <c r="G106"/>
      <c r="H106"/>
      <c r="I106"/>
      <c r="O106"/>
    </row>
    <row r="107" spans="3:18" x14ac:dyDescent="0.3">
      <c r="C107"/>
      <c r="D107"/>
      <c r="E107"/>
      <c r="F107"/>
      <c r="G107"/>
      <c r="H107"/>
      <c r="I107"/>
      <c r="O107"/>
    </row>
    <row r="108" spans="3:18" x14ac:dyDescent="0.3">
      <c r="C108"/>
      <c r="D108"/>
      <c r="E108"/>
      <c r="F108"/>
      <c r="G108"/>
      <c r="H108"/>
      <c r="I108"/>
      <c r="O108"/>
    </row>
    <row r="109" spans="3:18" x14ac:dyDescent="0.3">
      <c r="C109"/>
      <c r="D109"/>
      <c r="E109"/>
      <c r="F109"/>
      <c r="G109"/>
      <c r="H109"/>
      <c r="I109"/>
      <c r="O109"/>
    </row>
    <row r="110" spans="3:18" x14ac:dyDescent="0.3">
      <c r="O110"/>
    </row>
    <row r="111" spans="3:18" x14ac:dyDescent="0.3">
      <c r="O111"/>
    </row>
    <row r="112" spans="3:18" x14ac:dyDescent="0.3">
      <c r="O112"/>
    </row>
    <row r="113" spans="15:15" x14ac:dyDescent="0.3">
      <c r="O113"/>
    </row>
    <row r="114" spans="15:15" x14ac:dyDescent="0.3">
      <c r="O114"/>
    </row>
    <row r="115" spans="15:15" x14ac:dyDescent="0.3">
      <c r="O115"/>
    </row>
    <row r="116" spans="15:15" x14ac:dyDescent="0.3">
      <c r="O116"/>
    </row>
    <row r="117" spans="15:15" x14ac:dyDescent="0.3">
      <c r="O117"/>
    </row>
    <row r="118" spans="15:15" x14ac:dyDescent="0.3">
      <c r="O118"/>
    </row>
    <row r="119" spans="15:15" x14ac:dyDescent="0.3">
      <c r="O119"/>
    </row>
    <row r="120" spans="15:15" x14ac:dyDescent="0.3">
      <c r="O120"/>
    </row>
    <row r="121" spans="15:15" x14ac:dyDescent="0.3">
      <c r="O121"/>
    </row>
    <row r="122" spans="15:15" x14ac:dyDescent="0.3">
      <c r="O122"/>
    </row>
    <row r="123" spans="15:15" x14ac:dyDescent="0.3">
      <c r="O123"/>
    </row>
    <row r="124" spans="15:15" x14ac:dyDescent="0.3">
      <c r="O124"/>
    </row>
    <row r="125" spans="15:15" x14ac:dyDescent="0.3">
      <c r="O125"/>
    </row>
    <row r="126" spans="15:15" x14ac:dyDescent="0.3">
      <c r="O126"/>
    </row>
    <row r="127" spans="15:15" x14ac:dyDescent="0.3">
      <c r="O127"/>
    </row>
    <row r="128" spans="15:15" x14ac:dyDescent="0.3">
      <c r="O128"/>
    </row>
    <row r="129" spans="15:15" x14ac:dyDescent="0.3">
      <c r="O129"/>
    </row>
    <row r="130" spans="15:15" x14ac:dyDescent="0.3">
      <c r="O130"/>
    </row>
    <row r="131" spans="15:15" x14ac:dyDescent="0.3">
      <c r="O131"/>
    </row>
    <row r="132" spans="15:15" x14ac:dyDescent="0.3">
      <c r="O132"/>
    </row>
    <row r="133" spans="15:15" x14ac:dyDescent="0.3">
      <c r="O133"/>
    </row>
    <row r="134" spans="15:15" x14ac:dyDescent="0.3">
      <c r="O134"/>
    </row>
    <row r="135" spans="15:15" x14ac:dyDescent="0.3">
      <c r="O135"/>
    </row>
    <row r="136" spans="15:15" x14ac:dyDescent="0.3">
      <c r="O136"/>
    </row>
    <row r="137" spans="15:15" x14ac:dyDescent="0.3">
      <c r="O137"/>
    </row>
    <row r="138" spans="15:15" x14ac:dyDescent="0.3">
      <c r="O138"/>
    </row>
    <row r="139" spans="15:15" x14ac:dyDescent="0.3">
      <c r="O139"/>
    </row>
    <row r="140" spans="15:15" x14ac:dyDescent="0.3">
      <c r="O140"/>
    </row>
    <row r="141" spans="15:15" x14ac:dyDescent="0.3">
      <c r="O141"/>
    </row>
    <row r="142" spans="15:15" x14ac:dyDescent="0.3">
      <c r="O142"/>
    </row>
    <row r="143" spans="15:15" x14ac:dyDescent="0.3">
      <c r="O143"/>
    </row>
    <row r="144" spans="15:15" x14ac:dyDescent="0.3">
      <c r="O144"/>
    </row>
    <row r="145" spans="15:15" x14ac:dyDescent="0.3">
      <c r="O145"/>
    </row>
    <row r="146" spans="15:15" x14ac:dyDescent="0.3">
      <c r="O146"/>
    </row>
    <row r="147" spans="15:15" x14ac:dyDescent="0.3">
      <c r="O147"/>
    </row>
    <row r="148" spans="15:15" x14ac:dyDescent="0.3">
      <c r="O148"/>
    </row>
    <row r="149" spans="15:15" x14ac:dyDescent="0.3">
      <c r="O149"/>
    </row>
    <row r="150" spans="15:15" x14ac:dyDescent="0.3">
      <c r="O150"/>
    </row>
    <row r="151" spans="15:15" x14ac:dyDescent="0.3">
      <c r="O151"/>
    </row>
    <row r="152" spans="15:15" x14ac:dyDescent="0.3">
      <c r="O152"/>
    </row>
    <row r="153" spans="15:15" x14ac:dyDescent="0.3">
      <c r="O153"/>
    </row>
    <row r="154" spans="15:15" x14ac:dyDescent="0.3">
      <c r="O154"/>
    </row>
    <row r="155" spans="15:15" x14ac:dyDescent="0.3">
      <c r="O155"/>
    </row>
    <row r="156" spans="15:15" x14ac:dyDescent="0.3">
      <c r="O156"/>
    </row>
    <row r="157" spans="15:15" x14ac:dyDescent="0.3">
      <c r="O157"/>
    </row>
    <row r="158" spans="15:15" x14ac:dyDescent="0.3">
      <c r="O158"/>
    </row>
    <row r="159" spans="15:15" x14ac:dyDescent="0.3">
      <c r="O159"/>
    </row>
    <row r="160" spans="15:15" x14ac:dyDescent="0.3">
      <c r="O160"/>
    </row>
    <row r="161" spans="15:15" x14ac:dyDescent="0.3">
      <c r="O161"/>
    </row>
    <row r="162" spans="15:15" x14ac:dyDescent="0.3">
      <c r="O162"/>
    </row>
    <row r="163" spans="15:15" x14ac:dyDescent="0.3">
      <c r="O163"/>
    </row>
    <row r="164" spans="15:15" x14ac:dyDescent="0.3">
      <c r="O164"/>
    </row>
    <row r="165" spans="15:15" x14ac:dyDescent="0.3">
      <c r="O165"/>
    </row>
    <row r="166" spans="15:15" x14ac:dyDescent="0.3">
      <c r="O166"/>
    </row>
  </sheetData>
  <autoFilter ref="K63:N77" xr:uid="{00000000-0009-0000-0000-00000A000000}">
    <sortState xmlns:xlrd2="http://schemas.microsoft.com/office/spreadsheetml/2017/richdata2" ref="K60:N73">
      <sortCondition descending="1" ref="N59:N73"/>
    </sortState>
  </autoFilter>
  <mergeCells count="4">
    <mergeCell ref="K7:P7"/>
    <mergeCell ref="B62:H62"/>
    <mergeCell ref="K62:N62"/>
    <mergeCell ref="L34:N34"/>
  </mergeCells>
  <conditionalFormatting sqref="F1:F13">
    <cfRule type="cellIs" dxfId="228" priority="17" operator="equal">
      <formula>"so"</formula>
    </cfRule>
  </conditionalFormatting>
  <conditionalFormatting sqref="F4:F13">
    <cfRule type="cellIs" dxfId="227" priority="18" operator="equal">
      <formula>"ne"</formula>
    </cfRule>
    <cfRule type="cellIs" dxfId="226" priority="19" operator="equal">
      <formula>"pá"</formula>
    </cfRule>
  </conditionalFormatting>
  <conditionalFormatting sqref="F15:F16">
    <cfRule type="cellIs" dxfId="225" priority="13" operator="equal">
      <formula>"so"</formula>
    </cfRule>
    <cfRule type="cellIs" dxfId="224" priority="14" operator="equal">
      <formula>"ne"</formula>
    </cfRule>
    <cfRule type="cellIs" dxfId="223" priority="15" operator="equal">
      <formula>"pá"</formula>
    </cfRule>
  </conditionalFormatting>
  <conditionalFormatting sqref="F18:F29">
    <cfRule type="cellIs" dxfId="222" priority="7" operator="equal">
      <formula>"so"</formula>
    </cfRule>
    <cfRule type="cellIs" dxfId="221" priority="8" operator="equal">
      <formula>"ne"</formula>
    </cfRule>
    <cfRule type="cellIs" dxfId="220" priority="9" operator="equal">
      <formula>"pá"</formula>
    </cfRule>
  </conditionalFormatting>
  <conditionalFormatting sqref="F31:F60">
    <cfRule type="cellIs" dxfId="219" priority="1" operator="equal">
      <formula>"so"</formula>
    </cfRule>
    <cfRule type="cellIs" dxfId="218" priority="2" operator="equal">
      <formula>"ne"</formula>
    </cfRule>
    <cfRule type="cellIs" dxfId="217" priority="3" operator="equal">
      <formula>"pá"</formula>
    </cfRule>
  </conditionalFormatting>
  <conditionalFormatting sqref="G4:G11 P9:P16 G54:G60 E55:E60 F63 G65:G66 G68:G69 G71:G72 G74:G93 G110:G213">
    <cfRule type="cellIs" dxfId="216" priority="906" operator="equal">
      <formula>"D"</formula>
    </cfRule>
  </conditionalFormatting>
  <conditionalFormatting sqref="G13:G52">
    <cfRule type="cellIs" dxfId="215" priority="16" operator="equal">
      <formula>"D"</formula>
    </cfRule>
  </conditionalFormatting>
  <conditionalFormatting sqref="N64:N77 N79">
    <cfRule type="cellIs" dxfId="214" priority="891" operator="lessThan">
      <formula>0</formula>
    </cfRule>
  </conditionalFormatting>
  <conditionalFormatting sqref="N79">
    <cfRule type="cellIs" dxfId="213" priority="890" operator="equal">
      <formula>0</formula>
    </cfRule>
  </conditionalFormatting>
  <conditionalFormatting sqref="O6 O9:O23 O26:O31 E63 F65:F66 F68:F69 F71:F72 F74:F75 F80:F93 F110:F205">
    <cfRule type="cellIs" dxfId="212" priority="904" operator="equal">
      <formula>"ne"</formula>
    </cfRule>
    <cfRule type="cellIs" dxfId="211" priority="905" operator="equal">
      <formula>"pá"</formula>
    </cfRule>
  </conditionalFormatting>
  <conditionalFormatting sqref="O9:O16 F82:F93 F110:F1048576">
    <cfRule type="cellIs" dxfId="210" priority="896" operator="equal">
      <formula>"so"</formula>
    </cfRule>
  </conditionalFormatting>
  <pageMargins left="0.7" right="0.7" top="0.78740157499999996" bottom="0.78740157499999996"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70"/>
  <sheetViews>
    <sheetView workbookViewId="0">
      <pane xSplit="7" ySplit="2" topLeftCell="H3" activePane="bottomRight" state="frozen"/>
      <selection activeCell="L12" sqref="L12"/>
      <selection pane="topRight" activeCell="L12" sqref="L12"/>
      <selection pane="bottomLeft" activeCell="L12" sqref="L12"/>
      <selection pane="bottomRight" activeCell="I1" sqref="I1:J1048576"/>
    </sheetView>
  </sheetViews>
  <sheetFormatPr defaultRowHeight="14.4" x14ac:dyDescent="0.3"/>
  <cols>
    <col min="1" max="1" width="14.88671875" customWidth="1"/>
    <col min="2" max="2" width="11.109375" customWidth="1"/>
    <col min="3" max="4" width="11.33203125" style="2" customWidth="1"/>
    <col min="5" max="5" width="17.5546875" style="2" customWidth="1"/>
    <col min="6" max="6" width="18" style="2" customWidth="1"/>
    <col min="7" max="8" width="22.6640625" style="1058" customWidth="1"/>
    <col min="9" max="10" width="22.6640625" style="259" customWidth="1"/>
    <col min="11" max="12" width="22.6640625" style="1058" customWidth="1"/>
    <col min="13" max="13" width="18" style="2" customWidth="1"/>
    <col min="14" max="14" width="16.44140625" style="2" customWidth="1"/>
    <col min="15" max="15" width="15.6640625" style="2" customWidth="1"/>
    <col min="16" max="16" width="18.33203125" style="168" customWidth="1"/>
    <col min="17" max="17" width="16.6640625" style="2" customWidth="1"/>
    <col min="18" max="18" width="23.88671875" style="2" customWidth="1"/>
    <col min="19" max="19" width="22.33203125" style="2" customWidth="1"/>
    <col min="20" max="20" width="17.88671875" style="2" customWidth="1"/>
    <col min="21" max="21" width="16.109375" style="2" customWidth="1"/>
    <col min="22" max="22" width="14.44140625" style="242" customWidth="1"/>
    <col min="23" max="25" width="11.109375" style="1058" customWidth="1"/>
    <col min="26" max="26" width="12.88671875" style="1058" customWidth="1"/>
    <col min="27" max="27" width="45.6640625" style="1061" customWidth="1"/>
    <col min="28" max="28" width="68.109375" style="168" customWidth="1"/>
    <col min="29" max="29" width="62.5546875" style="2" customWidth="1"/>
    <col min="30" max="30" width="63" style="2" customWidth="1"/>
    <col min="31" max="31" width="59.88671875" style="2" customWidth="1"/>
    <col min="32" max="32" width="57.33203125" style="2" customWidth="1"/>
    <col min="33" max="34" width="58" style="2" customWidth="1"/>
    <col min="35" max="35" width="59.109375" style="242" customWidth="1"/>
    <col min="36" max="36" width="55.88671875" style="8" customWidth="1"/>
    <col min="37" max="37" width="17.109375" customWidth="1"/>
  </cols>
  <sheetData>
    <row r="1" spans="1:37" x14ac:dyDescent="0.3">
      <c r="P1" s="1149"/>
      <c r="Q1" s="1151"/>
      <c r="R1" s="1149"/>
      <c r="S1" s="1151"/>
      <c r="T1" s="1149"/>
      <c r="U1" s="1150"/>
      <c r="V1" s="1151"/>
      <c r="W1" s="1152"/>
      <c r="X1" s="1153"/>
      <c r="Y1" s="1153"/>
      <c r="Z1" s="1150"/>
      <c r="AA1" s="1150"/>
      <c r="AB1" s="1149"/>
      <c r="AC1" s="1150"/>
      <c r="AD1" s="1150"/>
      <c r="AE1" s="1150"/>
      <c r="AF1" s="1150"/>
      <c r="AG1" s="1150"/>
      <c r="AH1" s="1150"/>
      <c r="AI1" s="1151"/>
    </row>
    <row r="2" spans="1:37" s="2" customFormat="1" x14ac:dyDescent="0.3">
      <c r="A2" s="1051" t="s">
        <v>1053</v>
      </c>
      <c r="B2" s="2" t="s">
        <v>785</v>
      </c>
      <c r="C2" s="2" t="s">
        <v>14</v>
      </c>
      <c r="D2" t="s">
        <v>11</v>
      </c>
      <c r="E2" s="2" t="s">
        <v>15</v>
      </c>
      <c r="F2" s="2" t="s">
        <v>13</v>
      </c>
      <c r="G2" s="987" t="s">
        <v>157</v>
      </c>
      <c r="H2" s="987" t="s">
        <v>1047</v>
      </c>
      <c r="I2" s="1089" t="s">
        <v>6063</v>
      </c>
      <c r="J2" s="1089" t="s">
        <v>6064</v>
      </c>
      <c r="K2" s="1051" t="s">
        <v>6177</v>
      </c>
      <c r="L2" s="1051" t="s">
        <v>6178</v>
      </c>
      <c r="M2" s="987" t="s">
        <v>707</v>
      </c>
      <c r="N2" s="2" t="s">
        <v>708</v>
      </c>
      <c r="O2" s="2" t="s">
        <v>759</v>
      </c>
      <c r="P2" s="1052" t="s">
        <v>6180</v>
      </c>
      <c r="Q2" s="1051" t="s">
        <v>6181</v>
      </c>
      <c r="R2" s="1052" t="s">
        <v>6182</v>
      </c>
      <c r="S2" s="1052" t="s">
        <v>6183</v>
      </c>
      <c r="T2" s="1052" t="s">
        <v>6184</v>
      </c>
      <c r="U2" s="1051" t="s">
        <v>6185</v>
      </c>
      <c r="V2" s="1051" t="s">
        <v>6186</v>
      </c>
      <c r="W2" s="1062" t="s">
        <v>6059</v>
      </c>
      <c r="X2" s="1063" t="s">
        <v>6060</v>
      </c>
      <c r="Y2" s="1063" t="s">
        <v>6061</v>
      </c>
      <c r="Z2" s="1063" t="s">
        <v>6062</v>
      </c>
      <c r="AA2" s="170" t="s">
        <v>698</v>
      </c>
      <c r="AB2" s="169" t="s">
        <v>699</v>
      </c>
      <c r="AC2" s="170" t="s">
        <v>700</v>
      </c>
      <c r="AD2" s="170" t="s">
        <v>701</v>
      </c>
      <c r="AE2" s="170" t="s">
        <v>702</v>
      </c>
      <c r="AF2" s="170" t="s">
        <v>703</v>
      </c>
      <c r="AG2" s="170" t="s">
        <v>704</v>
      </c>
      <c r="AH2" s="171" t="s">
        <v>854</v>
      </c>
      <c r="AI2" s="171" t="s">
        <v>5166</v>
      </c>
      <c r="AJ2" s="2" t="s">
        <v>3878</v>
      </c>
      <c r="AK2" s="2" t="s">
        <v>4614</v>
      </c>
    </row>
    <row r="3" spans="1:37" x14ac:dyDescent="0.3">
      <c r="A3" s="985" t="s">
        <v>6198</v>
      </c>
      <c r="B3" s="2">
        <v>1</v>
      </c>
      <c r="C3" s="2">
        <v>20</v>
      </c>
      <c r="D3" s="4">
        <v>44094</v>
      </c>
      <c r="E3" s="2" t="s">
        <v>1274</v>
      </c>
      <c r="F3" s="2" t="s">
        <v>17</v>
      </c>
      <c r="G3" s="1058" t="s">
        <v>6082</v>
      </c>
      <c r="M3" s="2">
        <v>12</v>
      </c>
      <c r="N3" s="2">
        <v>-3</v>
      </c>
      <c r="O3" s="2">
        <v>0</v>
      </c>
      <c r="P3" s="168">
        <v>0</v>
      </c>
      <c r="Q3" s="2">
        <v>0</v>
      </c>
      <c r="R3" s="2">
        <v>0</v>
      </c>
      <c r="S3" s="2">
        <v>0</v>
      </c>
      <c r="T3" s="2">
        <v>5</v>
      </c>
      <c r="U3" s="2">
        <v>2</v>
      </c>
      <c r="V3" s="242">
        <v>1298</v>
      </c>
      <c r="W3" s="1058" t="s">
        <v>6189</v>
      </c>
      <c r="X3" s="1058" t="s">
        <v>6097</v>
      </c>
      <c r="Y3" s="1058" t="s">
        <v>6187</v>
      </c>
      <c r="AA3" s="1058" t="s">
        <v>3767</v>
      </c>
      <c r="AB3" s="168" t="s">
        <v>3772</v>
      </c>
      <c r="AC3" s="2" t="s">
        <v>3773</v>
      </c>
      <c r="AK3" s="8" t="s">
        <v>3766</v>
      </c>
    </row>
    <row r="4" spans="1:37" x14ac:dyDescent="0.3">
      <c r="A4" s="985" t="str">
        <f>A3</f>
        <v>Sezóna 20/21</v>
      </c>
      <c r="B4" s="2">
        <v>2</v>
      </c>
      <c r="C4" s="2">
        <v>11</v>
      </c>
      <c r="D4" s="4">
        <v>44096</v>
      </c>
      <c r="E4" s="2" t="s">
        <v>334</v>
      </c>
      <c r="F4" s="2" t="s">
        <v>17</v>
      </c>
      <c r="G4" s="1058" t="s">
        <v>6092</v>
      </c>
      <c r="M4" s="2">
        <v>12</v>
      </c>
      <c r="N4" s="2">
        <v>-6</v>
      </c>
      <c r="O4" s="2">
        <v>0</v>
      </c>
      <c r="P4" s="168">
        <v>0</v>
      </c>
      <c r="Q4" s="2">
        <v>0</v>
      </c>
      <c r="R4" s="2">
        <v>0</v>
      </c>
      <c r="S4" s="2">
        <v>3</v>
      </c>
      <c r="T4" s="2">
        <v>3</v>
      </c>
      <c r="U4" s="2">
        <v>6</v>
      </c>
      <c r="V4" s="242">
        <v>1037</v>
      </c>
      <c r="W4" s="1058" t="s">
        <v>6097</v>
      </c>
      <c r="X4" s="1058" t="s">
        <v>6194</v>
      </c>
      <c r="Y4" s="1058" t="s">
        <v>6171</v>
      </c>
      <c r="AA4" s="1058" t="s">
        <v>3768</v>
      </c>
      <c r="AB4" s="168" t="s">
        <v>3774</v>
      </c>
      <c r="AC4" s="2" t="s">
        <v>3776</v>
      </c>
      <c r="AD4" s="2" t="s">
        <v>3775</v>
      </c>
      <c r="AK4" s="181" t="s">
        <v>3769</v>
      </c>
    </row>
    <row r="5" spans="1:37" x14ac:dyDescent="0.3">
      <c r="A5" s="985" t="str">
        <f t="shared" ref="A5:A57" si="0">A4</f>
        <v>Sezóna 20/21</v>
      </c>
      <c r="B5" s="2">
        <v>3</v>
      </c>
      <c r="C5" s="2">
        <v>9</v>
      </c>
      <c r="D5" s="4">
        <v>44115</v>
      </c>
      <c r="E5" s="2" t="s">
        <v>325</v>
      </c>
      <c r="F5" s="2" t="s">
        <v>17</v>
      </c>
      <c r="G5" s="1058" t="s">
        <v>6102</v>
      </c>
      <c r="M5" s="2">
        <v>14</v>
      </c>
      <c r="N5" s="2">
        <v>-9</v>
      </c>
      <c r="O5" s="2">
        <v>0</v>
      </c>
      <c r="P5" s="168">
        <v>1</v>
      </c>
      <c r="Q5" s="2">
        <v>0</v>
      </c>
      <c r="R5" s="2">
        <v>1</v>
      </c>
      <c r="S5" s="2">
        <v>0</v>
      </c>
      <c r="T5" s="2">
        <v>5</v>
      </c>
      <c r="U5" s="2">
        <v>3</v>
      </c>
      <c r="V5" s="242">
        <v>0</v>
      </c>
      <c r="W5" s="1058" t="s">
        <v>6187</v>
      </c>
      <c r="X5" s="1058" t="s">
        <v>6171</v>
      </c>
      <c r="Y5" s="1058" t="s">
        <v>6188</v>
      </c>
      <c r="AA5" s="1058" t="s">
        <v>3307</v>
      </c>
      <c r="AB5" s="168" t="s">
        <v>3777</v>
      </c>
      <c r="AK5" s="8" t="s">
        <v>3770</v>
      </c>
    </row>
    <row r="6" spans="1:37" x14ac:dyDescent="0.3">
      <c r="A6" s="985" t="str">
        <f t="shared" si="0"/>
        <v>Sezóna 20/21</v>
      </c>
      <c r="B6" s="2">
        <v>4</v>
      </c>
      <c r="C6" s="2">
        <v>4</v>
      </c>
      <c r="D6" s="4">
        <v>44142</v>
      </c>
      <c r="E6" s="2" t="s">
        <v>331</v>
      </c>
      <c r="F6" s="2" t="s">
        <v>17</v>
      </c>
      <c r="G6" s="1058" t="s">
        <v>6128</v>
      </c>
      <c r="M6" s="2">
        <v>14</v>
      </c>
      <c r="N6" s="2">
        <v>-12</v>
      </c>
      <c r="O6" s="2">
        <v>0</v>
      </c>
      <c r="P6" s="168">
        <v>0</v>
      </c>
      <c r="Q6" s="2">
        <v>0</v>
      </c>
      <c r="R6" s="2">
        <v>0</v>
      </c>
      <c r="S6" s="2">
        <v>0</v>
      </c>
      <c r="T6" s="2">
        <v>5</v>
      </c>
      <c r="U6" s="2">
        <v>2</v>
      </c>
      <c r="V6" s="242">
        <v>0</v>
      </c>
      <c r="W6" s="1058" t="s">
        <v>6189</v>
      </c>
      <c r="X6" s="1058" t="s">
        <v>6171</v>
      </c>
      <c r="Y6" s="1058" t="s">
        <v>6187</v>
      </c>
      <c r="AA6" s="1058" t="s">
        <v>3778</v>
      </c>
      <c r="AB6" s="168" t="s">
        <v>3786</v>
      </c>
      <c r="AK6" s="8" t="s">
        <v>3779</v>
      </c>
    </row>
    <row r="7" spans="1:37" x14ac:dyDescent="0.3">
      <c r="A7" s="985" t="str">
        <f>A6</f>
        <v>Sezóna 20/21</v>
      </c>
      <c r="B7" s="2">
        <v>5</v>
      </c>
      <c r="C7" s="2">
        <v>15</v>
      </c>
      <c r="D7" s="4">
        <v>44144</v>
      </c>
      <c r="E7" s="2" t="s">
        <v>6179</v>
      </c>
      <c r="F7" s="2" t="s">
        <v>16</v>
      </c>
      <c r="G7" s="1058" t="s">
        <v>6073</v>
      </c>
      <c r="M7" s="2">
        <v>12</v>
      </c>
      <c r="N7" s="2">
        <v>-9</v>
      </c>
      <c r="O7" s="2">
        <v>3</v>
      </c>
      <c r="P7" s="168">
        <v>0</v>
      </c>
      <c r="Q7" s="2">
        <v>0</v>
      </c>
      <c r="R7" s="2">
        <v>0</v>
      </c>
      <c r="S7" s="2">
        <v>0</v>
      </c>
      <c r="T7" s="2">
        <v>2</v>
      </c>
      <c r="U7" s="2">
        <v>4</v>
      </c>
      <c r="V7" s="242">
        <v>0</v>
      </c>
      <c r="W7" s="1058" t="s">
        <v>6189</v>
      </c>
      <c r="X7" s="1058" t="s">
        <v>6110</v>
      </c>
      <c r="Y7" s="1058" t="s">
        <v>6187</v>
      </c>
      <c r="AA7" s="1058" t="s">
        <v>3780</v>
      </c>
      <c r="AB7" s="168" t="s">
        <v>3787</v>
      </c>
      <c r="AC7" s="2" t="s">
        <v>3788</v>
      </c>
      <c r="AD7" s="2" t="s">
        <v>3789</v>
      </c>
      <c r="AE7" s="2" t="s">
        <v>3790</v>
      </c>
      <c r="AK7" s="442" t="s">
        <v>3782</v>
      </c>
    </row>
    <row r="8" spans="1:37" x14ac:dyDescent="0.3">
      <c r="A8" s="985" t="str">
        <f t="shared" si="0"/>
        <v>Sezóna 20/21</v>
      </c>
      <c r="B8" s="2">
        <v>6</v>
      </c>
      <c r="C8" s="2">
        <v>17</v>
      </c>
      <c r="D8" s="4">
        <v>44148</v>
      </c>
      <c r="E8" s="2" t="s">
        <v>331</v>
      </c>
      <c r="F8" s="2" t="s">
        <v>16</v>
      </c>
      <c r="G8" s="1058" t="s">
        <v>208</v>
      </c>
      <c r="M8" s="2">
        <v>12</v>
      </c>
      <c r="N8" s="2">
        <v>-8</v>
      </c>
      <c r="O8" s="2">
        <v>4</v>
      </c>
      <c r="P8" s="168">
        <v>0</v>
      </c>
      <c r="Q8" s="2">
        <v>0</v>
      </c>
      <c r="R8" s="2">
        <v>0</v>
      </c>
      <c r="S8" s="2">
        <v>0</v>
      </c>
      <c r="T8" s="2">
        <v>1</v>
      </c>
      <c r="U8" s="2">
        <v>2</v>
      </c>
      <c r="V8" s="242">
        <v>0</v>
      </c>
      <c r="W8" s="1058" t="s">
        <v>6189</v>
      </c>
      <c r="X8" s="1058" t="s">
        <v>6120</v>
      </c>
      <c r="Y8" s="1058" t="s">
        <v>6188</v>
      </c>
      <c r="Z8" s="1058" t="s">
        <v>3784</v>
      </c>
      <c r="AA8" s="1058" t="s">
        <v>3785</v>
      </c>
      <c r="AB8" s="168" t="s">
        <v>3877</v>
      </c>
      <c r="AJ8" s="8" t="s">
        <v>3879</v>
      </c>
      <c r="AK8" s="442" t="s">
        <v>3781</v>
      </c>
    </row>
    <row r="9" spans="1:37" x14ac:dyDescent="0.3">
      <c r="A9" s="985" t="str">
        <f t="shared" si="0"/>
        <v>Sezóna 20/21</v>
      </c>
      <c r="B9" s="2">
        <v>7</v>
      </c>
      <c r="C9" s="2">
        <v>18</v>
      </c>
      <c r="D9" s="4">
        <v>44150</v>
      </c>
      <c r="E9" s="2" t="s">
        <v>6076</v>
      </c>
      <c r="F9" s="2" t="s">
        <v>17</v>
      </c>
      <c r="G9" s="1058" t="s">
        <v>6097</v>
      </c>
      <c r="M9" s="2">
        <v>12</v>
      </c>
      <c r="N9" s="2">
        <v>-11</v>
      </c>
      <c r="O9" s="2">
        <v>4</v>
      </c>
      <c r="P9" s="168">
        <v>0</v>
      </c>
      <c r="Q9" s="2">
        <v>0</v>
      </c>
      <c r="R9" s="2">
        <v>0</v>
      </c>
      <c r="S9" s="2">
        <v>0</v>
      </c>
      <c r="T9" s="2">
        <v>2</v>
      </c>
      <c r="U9" s="2">
        <v>4</v>
      </c>
      <c r="V9" s="242">
        <v>0</v>
      </c>
      <c r="W9" s="1058" t="s">
        <v>6187</v>
      </c>
      <c r="X9" s="1058" t="s">
        <v>6188</v>
      </c>
      <c r="Y9" s="1058" t="s">
        <v>6189</v>
      </c>
      <c r="AA9" s="1058" t="s">
        <v>3819</v>
      </c>
      <c r="AB9" s="168" t="s">
        <v>3880</v>
      </c>
      <c r="AK9" s="8" t="s">
        <v>3861</v>
      </c>
    </row>
    <row r="10" spans="1:37" x14ac:dyDescent="0.3">
      <c r="A10" s="985" t="str">
        <f t="shared" si="0"/>
        <v>Sezóna 20/21</v>
      </c>
      <c r="B10" s="2">
        <v>8</v>
      </c>
      <c r="C10" s="2">
        <v>13</v>
      </c>
      <c r="D10" s="4">
        <v>44152</v>
      </c>
      <c r="E10" s="2" t="s">
        <v>326</v>
      </c>
      <c r="F10" s="2" t="s">
        <v>17</v>
      </c>
      <c r="G10" s="1058" t="s">
        <v>6120</v>
      </c>
      <c r="M10" s="2">
        <v>11</v>
      </c>
      <c r="N10" s="2">
        <v>-11</v>
      </c>
      <c r="O10" s="2">
        <v>7</v>
      </c>
      <c r="P10" s="168">
        <v>0</v>
      </c>
      <c r="Q10" s="2">
        <v>0</v>
      </c>
      <c r="R10" s="2">
        <v>0</v>
      </c>
      <c r="S10" s="2">
        <v>0</v>
      </c>
      <c r="T10" s="2">
        <v>2</v>
      </c>
      <c r="U10" s="2">
        <v>3</v>
      </c>
      <c r="V10" s="242">
        <v>0</v>
      </c>
      <c r="W10" s="1058" t="s">
        <v>6188</v>
      </c>
      <c r="X10" s="1058" t="s">
        <v>6120</v>
      </c>
      <c r="Y10" s="1058" t="s">
        <v>6188</v>
      </c>
      <c r="AA10" s="1058" t="s">
        <v>6120</v>
      </c>
      <c r="AB10" s="168" t="s">
        <v>3860</v>
      </c>
      <c r="AK10" s="8" t="s">
        <v>3859</v>
      </c>
    </row>
    <row r="11" spans="1:37" x14ac:dyDescent="0.3">
      <c r="A11" s="985" t="str">
        <f t="shared" si="0"/>
        <v>Sezóna 20/21</v>
      </c>
      <c r="B11" s="2">
        <v>9</v>
      </c>
      <c r="C11" s="2">
        <v>3</v>
      </c>
      <c r="D11" s="4">
        <v>44155</v>
      </c>
      <c r="E11" s="2" t="s">
        <v>610</v>
      </c>
      <c r="F11" s="2" t="s">
        <v>16</v>
      </c>
      <c r="G11" s="1058" t="s">
        <v>355</v>
      </c>
      <c r="M11" s="2">
        <v>10</v>
      </c>
      <c r="N11" s="2">
        <v>-9</v>
      </c>
      <c r="O11" s="2">
        <v>9</v>
      </c>
      <c r="P11" s="168">
        <v>1</v>
      </c>
      <c r="Q11" s="2">
        <v>0</v>
      </c>
      <c r="R11" s="2">
        <v>0</v>
      </c>
      <c r="S11" s="2">
        <v>1</v>
      </c>
      <c r="T11" s="2">
        <v>5</v>
      </c>
      <c r="U11" s="2">
        <v>3</v>
      </c>
      <c r="V11" s="242">
        <v>0</v>
      </c>
      <c r="W11" s="1058" t="s">
        <v>6188</v>
      </c>
      <c r="X11" s="1058" t="s">
        <v>6187</v>
      </c>
      <c r="Y11" s="1058" t="s">
        <v>6188</v>
      </c>
      <c r="Z11" s="1058" t="s">
        <v>355</v>
      </c>
      <c r="AA11" s="1058" t="s">
        <v>3858</v>
      </c>
      <c r="AB11" s="168" t="s">
        <v>3881</v>
      </c>
      <c r="AJ11" s="8" t="s">
        <v>3882</v>
      </c>
      <c r="AK11" s="8" t="s">
        <v>3857</v>
      </c>
    </row>
    <row r="12" spans="1:37" x14ac:dyDescent="0.3">
      <c r="A12" s="985" t="str">
        <f t="shared" si="0"/>
        <v>Sezóna 20/21</v>
      </c>
      <c r="B12" s="2">
        <v>10</v>
      </c>
      <c r="C12" s="2">
        <v>7</v>
      </c>
      <c r="D12" s="4">
        <v>44157</v>
      </c>
      <c r="E12" s="2" t="s">
        <v>1274</v>
      </c>
      <c r="F12" s="2" t="s">
        <v>16</v>
      </c>
      <c r="G12" s="1058" t="s">
        <v>6128</v>
      </c>
      <c r="M12" s="2">
        <v>11</v>
      </c>
      <c r="N12" s="2">
        <v>-9</v>
      </c>
      <c r="O12" s="2">
        <v>9</v>
      </c>
      <c r="P12" s="168">
        <v>0</v>
      </c>
      <c r="Q12" s="2">
        <v>0</v>
      </c>
      <c r="R12" s="2">
        <v>0</v>
      </c>
      <c r="S12" s="2">
        <v>2</v>
      </c>
      <c r="T12" s="2">
        <v>5</v>
      </c>
      <c r="U12" s="2">
        <v>6.5</v>
      </c>
      <c r="V12" s="242">
        <v>0</v>
      </c>
      <c r="W12" s="1058" t="s">
        <v>6079</v>
      </c>
      <c r="X12" s="1058" t="s">
        <v>6189</v>
      </c>
      <c r="Y12" s="1058" t="s">
        <v>6120</v>
      </c>
      <c r="AA12" s="1058" t="s">
        <v>3778</v>
      </c>
      <c r="AB12" s="168" t="s">
        <v>3883</v>
      </c>
      <c r="AK12" s="8" t="s">
        <v>3856</v>
      </c>
    </row>
    <row r="13" spans="1:37" x14ac:dyDescent="0.3">
      <c r="A13" s="985" t="str">
        <f t="shared" si="0"/>
        <v>Sezóna 20/21</v>
      </c>
      <c r="B13" s="2">
        <v>11</v>
      </c>
      <c r="C13" s="2">
        <v>6</v>
      </c>
      <c r="D13" s="4">
        <v>44159</v>
      </c>
      <c r="E13" s="2" t="s">
        <v>626</v>
      </c>
      <c r="F13" s="2" t="s">
        <v>17</v>
      </c>
      <c r="G13" s="1058" t="s">
        <v>159</v>
      </c>
      <c r="M13" s="2">
        <v>11</v>
      </c>
      <c r="N13" s="2">
        <v>-10</v>
      </c>
      <c r="O13" s="2">
        <v>11</v>
      </c>
      <c r="P13" s="168">
        <v>1</v>
      </c>
      <c r="Q13" s="2">
        <v>0</v>
      </c>
      <c r="R13" s="2">
        <v>1</v>
      </c>
      <c r="S13" s="2">
        <v>0</v>
      </c>
      <c r="T13" s="2">
        <v>4</v>
      </c>
      <c r="U13" s="2">
        <v>3</v>
      </c>
      <c r="V13" s="242">
        <v>0</v>
      </c>
      <c r="W13" s="1058" t="s">
        <v>6120</v>
      </c>
      <c r="X13" s="1058" t="s">
        <v>6097</v>
      </c>
      <c r="Y13" s="1058" t="s">
        <v>6187</v>
      </c>
      <c r="Z13" s="1058" t="s">
        <v>619</v>
      </c>
      <c r="AA13" s="1058" t="s">
        <v>3855</v>
      </c>
      <c r="AB13" s="168" t="s">
        <v>3884</v>
      </c>
      <c r="AC13" s="2" t="s">
        <v>3885</v>
      </c>
      <c r="AD13" s="2" t="s">
        <v>3886</v>
      </c>
      <c r="AJ13" s="8" t="s">
        <v>3887</v>
      </c>
      <c r="AK13" s="8" t="s">
        <v>3854</v>
      </c>
    </row>
    <row r="14" spans="1:37" x14ac:dyDescent="0.3">
      <c r="A14" s="985" t="str">
        <f t="shared" si="0"/>
        <v>Sezóna 20/21</v>
      </c>
      <c r="B14" s="2">
        <v>12</v>
      </c>
      <c r="C14" s="2">
        <v>21</v>
      </c>
      <c r="D14" s="4">
        <v>44162</v>
      </c>
      <c r="E14" s="2" t="s">
        <v>327</v>
      </c>
      <c r="F14" s="2" t="s">
        <v>16</v>
      </c>
      <c r="G14" s="1058" t="s">
        <v>6097</v>
      </c>
      <c r="M14" s="2">
        <v>11</v>
      </c>
      <c r="N14" s="2">
        <v>-10</v>
      </c>
      <c r="O14" s="2">
        <v>11</v>
      </c>
      <c r="P14" s="168">
        <v>1</v>
      </c>
      <c r="Q14" s="2">
        <v>0</v>
      </c>
      <c r="R14" s="2">
        <v>0</v>
      </c>
      <c r="S14" s="2">
        <v>0</v>
      </c>
      <c r="T14" s="2">
        <v>2</v>
      </c>
      <c r="U14" s="2">
        <v>3</v>
      </c>
      <c r="V14" s="242">
        <v>0</v>
      </c>
      <c r="W14" s="1058" t="s">
        <v>6187</v>
      </c>
      <c r="X14" s="1058" t="s">
        <v>6188</v>
      </c>
      <c r="Y14" s="1058" t="s">
        <v>6189</v>
      </c>
      <c r="AA14" s="1058" t="s">
        <v>3062</v>
      </c>
      <c r="AB14" s="168" t="s">
        <v>3888</v>
      </c>
      <c r="AK14" s="8" t="s">
        <v>3853</v>
      </c>
    </row>
    <row r="15" spans="1:37" s="191" customFormat="1" x14ac:dyDescent="0.3">
      <c r="A15" s="985" t="str">
        <f t="shared" si="0"/>
        <v>Sezóna 20/21</v>
      </c>
      <c r="B15" s="170">
        <v>13</v>
      </c>
      <c r="C15" s="170">
        <v>22</v>
      </c>
      <c r="D15" s="189">
        <v>44164</v>
      </c>
      <c r="E15" s="170" t="s">
        <v>325</v>
      </c>
      <c r="F15" s="170" t="s">
        <v>16</v>
      </c>
      <c r="G15" s="1059" t="s">
        <v>352</v>
      </c>
      <c r="H15" s="1059"/>
      <c r="I15" s="1091"/>
      <c r="J15" s="1091"/>
      <c r="K15" s="1059"/>
      <c r="L15" s="1059"/>
      <c r="M15" s="269">
        <v>11</v>
      </c>
      <c r="N15" s="269">
        <v>-8</v>
      </c>
      <c r="O15" s="269">
        <v>13</v>
      </c>
      <c r="P15" s="169">
        <v>0</v>
      </c>
      <c r="Q15" s="170">
        <v>0</v>
      </c>
      <c r="R15" s="170">
        <v>0</v>
      </c>
      <c r="S15" s="170">
        <v>1</v>
      </c>
      <c r="T15" s="170">
        <v>5</v>
      </c>
      <c r="U15" s="170">
        <v>5</v>
      </c>
      <c r="V15" s="171">
        <v>0</v>
      </c>
      <c r="W15" s="1059" t="s">
        <v>6097</v>
      </c>
      <c r="X15" s="1059" t="s">
        <v>6120</v>
      </c>
      <c r="Y15" s="1059" t="s">
        <v>6188</v>
      </c>
      <c r="Z15" s="1059" t="s">
        <v>355</v>
      </c>
      <c r="AA15" s="1059" t="s">
        <v>3852</v>
      </c>
      <c r="AB15" s="169" t="s">
        <v>3889</v>
      </c>
      <c r="AC15" s="170" t="s">
        <v>3890</v>
      </c>
      <c r="AD15" s="170"/>
      <c r="AE15" s="170"/>
      <c r="AF15" s="170"/>
      <c r="AG15" s="170"/>
      <c r="AH15" s="170"/>
      <c r="AI15" s="171"/>
      <c r="AJ15" s="268" t="s">
        <v>3891</v>
      </c>
      <c r="AK15" s="268" t="s">
        <v>3851</v>
      </c>
    </row>
    <row r="16" spans="1:37" x14ac:dyDescent="0.3">
      <c r="A16" s="985" t="str">
        <f t="shared" si="0"/>
        <v>Sezóna 20/21</v>
      </c>
      <c r="B16" s="2">
        <v>14</v>
      </c>
      <c r="C16" s="2">
        <v>23</v>
      </c>
      <c r="D16" s="4">
        <v>44166</v>
      </c>
      <c r="E16" s="2" t="s">
        <v>6086</v>
      </c>
      <c r="F16" s="2" t="s">
        <v>17</v>
      </c>
      <c r="G16" s="1058" t="s">
        <v>6082</v>
      </c>
      <c r="M16" s="2">
        <v>12</v>
      </c>
      <c r="N16" s="2">
        <v>-11</v>
      </c>
      <c r="O16" s="2">
        <v>13</v>
      </c>
      <c r="P16" s="168">
        <v>1</v>
      </c>
      <c r="Q16" s="2">
        <v>0</v>
      </c>
      <c r="R16" s="2">
        <v>0</v>
      </c>
      <c r="S16" s="2">
        <v>0</v>
      </c>
      <c r="T16" s="2">
        <v>2</v>
      </c>
      <c r="U16" s="2">
        <v>2</v>
      </c>
      <c r="V16" s="242">
        <v>0</v>
      </c>
      <c r="W16" s="1058" t="s">
        <v>6171</v>
      </c>
      <c r="X16" s="1058" t="s">
        <v>6146</v>
      </c>
      <c r="Y16" s="1058" t="s">
        <v>6189</v>
      </c>
      <c r="AA16" s="1058" t="s">
        <v>3850</v>
      </c>
      <c r="AB16" s="168" t="s">
        <v>3892</v>
      </c>
      <c r="AC16" s="2" t="s">
        <v>3893</v>
      </c>
      <c r="AK16" s="8" t="s">
        <v>3849</v>
      </c>
    </row>
    <row r="17" spans="1:37" x14ac:dyDescent="0.3">
      <c r="A17" s="985" t="str">
        <f t="shared" si="0"/>
        <v>Sezóna 20/21</v>
      </c>
      <c r="B17" s="2">
        <v>15</v>
      </c>
      <c r="C17" s="2">
        <v>24</v>
      </c>
      <c r="D17" s="4">
        <v>44169</v>
      </c>
      <c r="E17" s="2" t="s">
        <v>334</v>
      </c>
      <c r="F17" s="2" t="s">
        <v>16</v>
      </c>
      <c r="G17" s="1058" t="s">
        <v>6082</v>
      </c>
      <c r="M17" s="2">
        <v>13</v>
      </c>
      <c r="N17" s="2">
        <v>-11</v>
      </c>
      <c r="O17" s="2">
        <v>13</v>
      </c>
      <c r="P17" s="168">
        <v>0</v>
      </c>
      <c r="Q17" s="2">
        <v>0</v>
      </c>
      <c r="R17" s="2">
        <v>0</v>
      </c>
      <c r="S17" s="2">
        <v>1</v>
      </c>
      <c r="T17" s="2">
        <v>1</v>
      </c>
      <c r="U17" s="2">
        <v>4</v>
      </c>
      <c r="V17" s="242">
        <v>0</v>
      </c>
      <c r="W17" s="1058" t="s">
        <v>6187</v>
      </c>
      <c r="X17" s="1058" t="s">
        <v>6189</v>
      </c>
      <c r="Y17" s="1058" t="s">
        <v>6097</v>
      </c>
      <c r="AA17" s="1058" t="s">
        <v>3848</v>
      </c>
      <c r="AB17" s="168" t="s">
        <v>3894</v>
      </c>
      <c r="AC17" s="2" t="s">
        <v>3895</v>
      </c>
      <c r="AK17" s="8" t="s">
        <v>3847</v>
      </c>
    </row>
    <row r="18" spans="1:37" x14ac:dyDescent="0.3">
      <c r="A18" s="985" t="str">
        <f t="shared" si="0"/>
        <v>Sezóna 20/21</v>
      </c>
      <c r="B18" s="2">
        <v>16</v>
      </c>
      <c r="C18" s="2">
        <v>25</v>
      </c>
      <c r="D18" s="4">
        <v>44171</v>
      </c>
      <c r="E18" s="2" t="s">
        <v>6091</v>
      </c>
      <c r="F18" s="2" t="s">
        <v>17</v>
      </c>
      <c r="G18" s="1058" t="s">
        <v>6113</v>
      </c>
      <c r="M18" s="2">
        <v>13</v>
      </c>
      <c r="N18" s="2">
        <v>-11</v>
      </c>
      <c r="O18" s="2">
        <v>16</v>
      </c>
      <c r="P18" s="168">
        <v>0</v>
      </c>
      <c r="Q18" s="2">
        <v>0</v>
      </c>
      <c r="R18" s="2">
        <v>0</v>
      </c>
      <c r="S18" s="2">
        <v>0</v>
      </c>
      <c r="T18" s="2">
        <v>3</v>
      </c>
      <c r="U18" s="2">
        <v>4</v>
      </c>
      <c r="V18" s="242">
        <v>0</v>
      </c>
      <c r="W18" s="1058" t="s">
        <v>6187</v>
      </c>
      <c r="X18" s="1058" t="s">
        <v>6189</v>
      </c>
      <c r="Y18" s="1058" t="s">
        <v>6089</v>
      </c>
      <c r="AA18" s="1058" t="s">
        <v>3846</v>
      </c>
      <c r="AB18" s="168" t="s">
        <v>3896</v>
      </c>
      <c r="AC18" s="2" t="s">
        <v>3897</v>
      </c>
      <c r="AD18" s="2" t="s">
        <v>3898</v>
      </c>
      <c r="AK18" s="8" t="s">
        <v>3845</v>
      </c>
    </row>
    <row r="19" spans="1:37" x14ac:dyDescent="0.3">
      <c r="A19" s="985" t="str">
        <f t="shared" si="0"/>
        <v>Sezóna 20/21</v>
      </c>
      <c r="B19" s="2">
        <v>17</v>
      </c>
      <c r="C19" s="2">
        <v>14</v>
      </c>
      <c r="D19" s="4">
        <v>44173</v>
      </c>
      <c r="E19" s="2" t="s">
        <v>328</v>
      </c>
      <c r="F19" s="2" t="s">
        <v>17</v>
      </c>
      <c r="G19" s="1058" t="s">
        <v>209</v>
      </c>
      <c r="M19" s="2">
        <v>10</v>
      </c>
      <c r="N19" s="2">
        <v>-12</v>
      </c>
      <c r="O19" s="2">
        <v>18</v>
      </c>
      <c r="P19" s="168">
        <v>0</v>
      </c>
      <c r="Q19" s="2">
        <v>0</v>
      </c>
      <c r="R19" s="2">
        <v>0</v>
      </c>
      <c r="S19" s="2">
        <v>0</v>
      </c>
      <c r="T19" s="2">
        <v>3.5</v>
      </c>
      <c r="U19" s="2">
        <v>2</v>
      </c>
      <c r="V19" s="242">
        <v>0</v>
      </c>
      <c r="W19" s="1058" t="s">
        <v>6188</v>
      </c>
      <c r="X19" s="1058" t="s">
        <v>6188</v>
      </c>
      <c r="Y19" s="1058" t="s">
        <v>6188</v>
      </c>
      <c r="Z19" s="1058" t="s">
        <v>756</v>
      </c>
      <c r="AA19" s="1058" t="s">
        <v>209</v>
      </c>
      <c r="AB19" s="168" t="s">
        <v>3899</v>
      </c>
      <c r="AK19" s="8" t="s">
        <v>3839</v>
      </c>
    </row>
    <row r="20" spans="1:37" x14ac:dyDescent="0.3">
      <c r="A20" s="985" t="str">
        <f t="shared" si="0"/>
        <v>Sezóna 20/21</v>
      </c>
      <c r="B20" s="2">
        <v>18</v>
      </c>
      <c r="C20" s="2">
        <v>26</v>
      </c>
      <c r="D20" s="4">
        <v>44177</v>
      </c>
      <c r="E20" s="2" t="s">
        <v>326</v>
      </c>
      <c r="F20" s="2" t="s">
        <v>16</v>
      </c>
      <c r="G20" s="1058" t="s">
        <v>6089</v>
      </c>
      <c r="M20" s="2">
        <v>8</v>
      </c>
      <c r="N20" s="2">
        <v>-9</v>
      </c>
      <c r="O20" s="2">
        <v>21</v>
      </c>
      <c r="P20" s="168">
        <v>0</v>
      </c>
      <c r="Q20" s="2">
        <v>0</v>
      </c>
      <c r="R20" s="2">
        <v>0</v>
      </c>
      <c r="S20" s="2">
        <v>0</v>
      </c>
      <c r="T20" s="2">
        <v>5</v>
      </c>
      <c r="U20" s="2">
        <v>2</v>
      </c>
      <c r="V20" s="242">
        <v>0</v>
      </c>
      <c r="W20" s="1058" t="s">
        <v>6188</v>
      </c>
      <c r="X20" s="1058" t="s">
        <v>6188</v>
      </c>
      <c r="Y20" s="1058" t="s">
        <v>6089</v>
      </c>
      <c r="AA20" s="1058" t="s">
        <v>6089</v>
      </c>
      <c r="AB20" s="168" t="s">
        <v>3900</v>
      </c>
      <c r="AC20" s="2" t="s">
        <v>3901</v>
      </c>
      <c r="AK20" s="8" t="s">
        <v>3840</v>
      </c>
    </row>
    <row r="21" spans="1:37" x14ac:dyDescent="0.3">
      <c r="A21" s="985" t="str">
        <f t="shared" si="0"/>
        <v>Sezóna 20/21</v>
      </c>
      <c r="B21" s="2">
        <v>19</v>
      </c>
      <c r="C21" s="2">
        <v>27</v>
      </c>
      <c r="D21" s="4">
        <v>44178</v>
      </c>
      <c r="E21" s="2" t="s">
        <v>328</v>
      </c>
      <c r="F21" s="2" t="s">
        <v>16</v>
      </c>
      <c r="G21" s="1058" t="s">
        <v>6210</v>
      </c>
      <c r="M21" s="2">
        <v>11</v>
      </c>
      <c r="N21" s="2">
        <v>-9</v>
      </c>
      <c r="O21" s="2">
        <v>21</v>
      </c>
      <c r="P21" s="168">
        <v>0</v>
      </c>
      <c r="Q21" s="2">
        <v>0</v>
      </c>
      <c r="R21" s="2">
        <v>0</v>
      </c>
      <c r="S21" s="2">
        <v>3</v>
      </c>
      <c r="T21" s="2">
        <v>2</v>
      </c>
      <c r="U21" s="2">
        <v>5</v>
      </c>
      <c r="V21" s="242">
        <v>0</v>
      </c>
      <c r="W21" s="1058" t="s">
        <v>6097</v>
      </c>
      <c r="X21" s="1058" t="s">
        <v>6128</v>
      </c>
      <c r="Y21" s="1058" t="s">
        <v>6188</v>
      </c>
      <c r="AA21" s="1058" t="s">
        <v>3842</v>
      </c>
      <c r="AB21" s="168" t="s">
        <v>3902</v>
      </c>
      <c r="AC21" s="2" t="s">
        <v>3903</v>
      </c>
      <c r="AK21" s="8" t="s">
        <v>3841</v>
      </c>
    </row>
    <row r="22" spans="1:37" x14ac:dyDescent="0.3">
      <c r="A22" s="985" t="str">
        <f t="shared" si="0"/>
        <v>Sezóna 20/21</v>
      </c>
      <c r="B22" s="2">
        <v>20</v>
      </c>
      <c r="C22" s="2">
        <v>8</v>
      </c>
      <c r="D22" s="4">
        <v>44180</v>
      </c>
      <c r="E22" s="2" t="s">
        <v>327</v>
      </c>
      <c r="F22" s="2" t="s">
        <v>17</v>
      </c>
      <c r="G22" s="1058" t="s">
        <v>208</v>
      </c>
      <c r="M22" s="2">
        <v>11</v>
      </c>
      <c r="N22" s="2">
        <v>-11</v>
      </c>
      <c r="O22" s="2">
        <v>22</v>
      </c>
      <c r="P22" s="168">
        <v>0</v>
      </c>
      <c r="Q22" s="2">
        <v>0</v>
      </c>
      <c r="R22" s="2">
        <v>0</v>
      </c>
      <c r="S22" s="2">
        <v>0</v>
      </c>
      <c r="T22" s="2">
        <v>1</v>
      </c>
      <c r="U22" s="2">
        <v>3</v>
      </c>
      <c r="V22" s="242">
        <v>0</v>
      </c>
      <c r="W22" s="1058" t="s">
        <v>6189</v>
      </c>
      <c r="X22" s="1058" t="s">
        <v>6188</v>
      </c>
      <c r="Y22" s="1058" t="s">
        <v>6120</v>
      </c>
      <c r="Z22" s="1058" t="s">
        <v>3836</v>
      </c>
      <c r="AA22" s="1058" t="s">
        <v>3837</v>
      </c>
      <c r="AB22" s="168" t="s">
        <v>3904</v>
      </c>
      <c r="AJ22" s="8" t="s">
        <v>3905</v>
      </c>
      <c r="AK22" s="8" t="s">
        <v>3835</v>
      </c>
    </row>
    <row r="23" spans="1:37" x14ac:dyDescent="0.3">
      <c r="A23" s="985" t="str">
        <f t="shared" si="0"/>
        <v>Sezóna 20/21</v>
      </c>
      <c r="B23" s="2">
        <v>21</v>
      </c>
      <c r="C23" s="2">
        <v>2</v>
      </c>
      <c r="D23" s="4">
        <v>44186</v>
      </c>
      <c r="E23" s="2" t="s">
        <v>6179</v>
      </c>
      <c r="F23" s="2" t="s">
        <v>17</v>
      </c>
      <c r="G23" s="1058" t="s">
        <v>3796</v>
      </c>
      <c r="M23" s="2">
        <v>12</v>
      </c>
      <c r="N23" s="2">
        <v>-13</v>
      </c>
      <c r="O23" s="2">
        <v>23</v>
      </c>
      <c r="P23" s="168">
        <v>2</v>
      </c>
      <c r="Q23" s="2">
        <v>0</v>
      </c>
      <c r="R23" s="2">
        <v>0</v>
      </c>
      <c r="S23" s="2">
        <v>1</v>
      </c>
      <c r="T23" s="2">
        <v>3</v>
      </c>
      <c r="U23" s="2">
        <v>3</v>
      </c>
      <c r="V23" s="242">
        <v>0</v>
      </c>
      <c r="W23" s="1058" t="s">
        <v>6193</v>
      </c>
      <c r="X23" s="1058" t="s">
        <v>6194</v>
      </c>
      <c r="Y23" s="1058" t="s">
        <v>6187</v>
      </c>
      <c r="Z23" s="1058" t="s">
        <v>3784</v>
      </c>
      <c r="AA23" s="1058" t="s">
        <v>3907</v>
      </c>
      <c r="AB23" s="168" t="s">
        <v>3908</v>
      </c>
      <c r="AC23" s="2" t="s">
        <v>3909</v>
      </c>
      <c r="AD23" s="2" t="s">
        <v>3910</v>
      </c>
      <c r="AE23" s="2" t="s">
        <v>3911</v>
      </c>
      <c r="AF23" s="2" t="s">
        <v>3912</v>
      </c>
      <c r="AG23" s="2" t="s">
        <v>3913</v>
      </c>
      <c r="AJ23" s="8" t="s">
        <v>3906</v>
      </c>
      <c r="AK23" s="8" t="s">
        <v>3838</v>
      </c>
    </row>
    <row r="24" spans="1:37" ht="16.8" x14ac:dyDescent="0.4">
      <c r="A24" s="985" t="str">
        <f t="shared" si="0"/>
        <v>Sezóna 20/21</v>
      </c>
      <c r="B24" s="2">
        <v>22</v>
      </c>
      <c r="C24" s="2">
        <v>28</v>
      </c>
      <c r="D24" s="4">
        <v>44187</v>
      </c>
      <c r="E24" s="2" t="s">
        <v>6179</v>
      </c>
      <c r="F24" s="2" t="s">
        <v>17</v>
      </c>
      <c r="G24" s="1058" t="s">
        <v>160</v>
      </c>
      <c r="M24" s="2">
        <v>10</v>
      </c>
      <c r="N24" s="2">
        <v>-14</v>
      </c>
      <c r="O24" s="2">
        <v>25</v>
      </c>
      <c r="P24" s="168">
        <v>2</v>
      </c>
      <c r="Q24" s="2">
        <v>0</v>
      </c>
      <c r="R24" s="2">
        <v>0</v>
      </c>
      <c r="S24" s="2">
        <v>0</v>
      </c>
      <c r="T24" s="2">
        <v>4</v>
      </c>
      <c r="U24" s="2">
        <v>4</v>
      </c>
      <c r="V24" s="242">
        <v>0</v>
      </c>
      <c r="W24" s="1058" t="s">
        <v>6188</v>
      </c>
      <c r="X24" s="1058" t="s">
        <v>6187</v>
      </c>
      <c r="Y24" s="1058" t="s">
        <v>6188</v>
      </c>
      <c r="Z24" s="1058" t="s">
        <v>756</v>
      </c>
      <c r="AA24" s="1058" t="s">
        <v>3834</v>
      </c>
      <c r="AB24" s="168" t="s">
        <v>3914</v>
      </c>
      <c r="AC24" s="2" t="s">
        <v>3915</v>
      </c>
      <c r="AK24" s="390" t="s">
        <v>3916</v>
      </c>
    </row>
    <row r="25" spans="1:37" x14ac:dyDescent="0.3">
      <c r="A25" s="985" t="str">
        <f t="shared" si="0"/>
        <v>Sezóna 20/21</v>
      </c>
      <c r="B25" s="2">
        <v>23</v>
      </c>
      <c r="C25" s="2">
        <v>29</v>
      </c>
      <c r="D25" s="4">
        <v>44191</v>
      </c>
      <c r="E25" s="2" t="s">
        <v>610</v>
      </c>
      <c r="F25" s="2" t="s">
        <v>16</v>
      </c>
      <c r="G25" s="1058" t="s">
        <v>6092</v>
      </c>
      <c r="M25" s="385">
        <v>11</v>
      </c>
      <c r="N25" s="2">
        <v>-14</v>
      </c>
      <c r="O25" s="2">
        <v>25</v>
      </c>
      <c r="P25" s="168">
        <v>1</v>
      </c>
      <c r="Q25" s="2">
        <v>0</v>
      </c>
      <c r="R25" s="2">
        <v>1</v>
      </c>
      <c r="S25" s="2">
        <v>1</v>
      </c>
      <c r="T25" s="2">
        <v>2</v>
      </c>
      <c r="U25" s="2">
        <v>3</v>
      </c>
      <c r="V25" s="242">
        <v>0</v>
      </c>
      <c r="W25" s="1058" t="s">
        <v>6171</v>
      </c>
      <c r="X25" s="1058" t="s">
        <v>6128</v>
      </c>
      <c r="Y25" s="1058" t="s">
        <v>6089</v>
      </c>
      <c r="AA25" s="1058" t="s">
        <v>3833</v>
      </c>
      <c r="AB25" s="168" t="s">
        <v>3917</v>
      </c>
      <c r="AC25" s="2" t="s">
        <v>3918</v>
      </c>
      <c r="AD25" s="2" t="s">
        <v>3919</v>
      </c>
      <c r="AK25" s="8" t="s">
        <v>3832</v>
      </c>
    </row>
    <row r="26" spans="1:37" x14ac:dyDescent="0.3">
      <c r="A26" s="985" t="str">
        <f t="shared" si="0"/>
        <v>Sezóna 20/21</v>
      </c>
      <c r="B26" s="2">
        <v>24</v>
      </c>
      <c r="C26" s="2">
        <v>30</v>
      </c>
      <c r="D26" s="4">
        <v>44193</v>
      </c>
      <c r="E26" s="2" t="s">
        <v>331</v>
      </c>
      <c r="F26" s="2" t="s">
        <v>17</v>
      </c>
      <c r="G26" s="1058" t="s">
        <v>6079</v>
      </c>
      <c r="M26" s="2">
        <v>12</v>
      </c>
      <c r="N26" s="2">
        <v>-17</v>
      </c>
      <c r="O26" s="2">
        <v>25</v>
      </c>
      <c r="P26" s="168">
        <v>0</v>
      </c>
      <c r="Q26" s="2">
        <v>0</v>
      </c>
      <c r="R26" s="2">
        <v>0</v>
      </c>
      <c r="S26" s="2">
        <v>0</v>
      </c>
      <c r="T26" s="2">
        <v>4</v>
      </c>
      <c r="U26" s="2">
        <v>6</v>
      </c>
      <c r="V26" s="242">
        <v>0</v>
      </c>
      <c r="W26" s="1058" t="s">
        <v>6189</v>
      </c>
      <c r="X26" s="1058" t="s">
        <v>6188</v>
      </c>
      <c r="Y26" s="1058" t="s">
        <v>6171</v>
      </c>
      <c r="AA26" s="1058" t="s">
        <v>6079</v>
      </c>
      <c r="AB26" s="168" t="s">
        <v>515</v>
      </c>
      <c r="AK26" s="8" t="s">
        <v>3831</v>
      </c>
    </row>
    <row r="27" spans="1:37" x14ac:dyDescent="0.3">
      <c r="A27" s="985" t="str">
        <f t="shared" si="0"/>
        <v>Sezóna 20/21</v>
      </c>
      <c r="B27" s="2">
        <v>25</v>
      </c>
      <c r="C27" s="2">
        <v>31</v>
      </c>
      <c r="D27" s="4">
        <v>44195</v>
      </c>
      <c r="E27" s="2" t="s">
        <v>6076</v>
      </c>
      <c r="F27" s="2" t="s">
        <v>16</v>
      </c>
      <c r="G27" s="1058" t="s">
        <v>351</v>
      </c>
      <c r="M27" s="2">
        <v>12</v>
      </c>
      <c r="N27" s="2">
        <v>-15</v>
      </c>
      <c r="O27" s="2">
        <v>27</v>
      </c>
      <c r="P27" s="168">
        <v>0</v>
      </c>
      <c r="Q27" s="2">
        <v>0</v>
      </c>
      <c r="R27" s="2">
        <v>0</v>
      </c>
      <c r="S27" s="2">
        <v>0</v>
      </c>
      <c r="T27" s="2">
        <v>3</v>
      </c>
      <c r="U27" s="2">
        <v>6</v>
      </c>
      <c r="V27" s="242">
        <v>0</v>
      </c>
      <c r="W27" s="1058" t="s">
        <v>6188</v>
      </c>
      <c r="X27" s="1058" t="s">
        <v>6189</v>
      </c>
      <c r="Y27" s="1058" t="s">
        <v>6118</v>
      </c>
      <c r="Z27" s="1058" t="s">
        <v>756</v>
      </c>
      <c r="AA27" s="1058" t="s">
        <v>3287</v>
      </c>
      <c r="AB27" s="168" t="s">
        <v>3920</v>
      </c>
      <c r="AC27" s="2" t="s">
        <v>3921</v>
      </c>
      <c r="AD27" s="2" t="s">
        <v>3922</v>
      </c>
      <c r="AK27" s="8" t="s">
        <v>3830</v>
      </c>
    </row>
    <row r="28" spans="1:37" s="191" customFormat="1" x14ac:dyDescent="0.3">
      <c r="A28" s="985" t="str">
        <f t="shared" si="0"/>
        <v>Sezóna 20/21</v>
      </c>
      <c r="B28" s="170">
        <v>26</v>
      </c>
      <c r="C28" s="170">
        <v>32</v>
      </c>
      <c r="D28" s="189">
        <v>44199</v>
      </c>
      <c r="E28" s="170" t="s">
        <v>626</v>
      </c>
      <c r="F28" s="170" t="s">
        <v>17</v>
      </c>
      <c r="G28" s="1059" t="s">
        <v>160</v>
      </c>
      <c r="H28" s="1059"/>
      <c r="I28" s="1091"/>
      <c r="J28" s="1091"/>
      <c r="K28" s="1059"/>
      <c r="L28" s="1059"/>
      <c r="M28" s="269">
        <v>11</v>
      </c>
      <c r="N28" s="269">
        <v>-16</v>
      </c>
      <c r="O28" s="269">
        <v>29</v>
      </c>
      <c r="P28" s="169">
        <v>0</v>
      </c>
      <c r="Q28" s="170">
        <v>0</v>
      </c>
      <c r="R28" s="170">
        <v>0</v>
      </c>
      <c r="S28" s="170">
        <v>0</v>
      </c>
      <c r="T28" s="170">
        <v>2</v>
      </c>
      <c r="U28" s="170">
        <v>4</v>
      </c>
      <c r="V28" s="171">
        <v>0</v>
      </c>
      <c r="W28" s="1059" t="s">
        <v>6188</v>
      </c>
      <c r="X28" s="1059" t="s">
        <v>6189</v>
      </c>
      <c r="Y28" s="1059" t="s">
        <v>6120</v>
      </c>
      <c r="Z28" s="1059" t="s">
        <v>756</v>
      </c>
      <c r="AA28" s="1059" t="s">
        <v>3828</v>
      </c>
      <c r="AB28" s="169" t="s">
        <v>3923</v>
      </c>
      <c r="AC28" s="170" t="s">
        <v>3924</v>
      </c>
      <c r="AD28" s="170"/>
      <c r="AE28" s="170"/>
      <c r="AF28" s="170"/>
      <c r="AG28" s="170"/>
      <c r="AH28" s="170"/>
      <c r="AI28" s="171"/>
      <c r="AJ28" s="268"/>
      <c r="AK28" s="268" t="s">
        <v>3829</v>
      </c>
    </row>
    <row r="29" spans="1:37" x14ac:dyDescent="0.3">
      <c r="A29" s="985" t="str">
        <f t="shared" si="0"/>
        <v>Sezóna 20/21</v>
      </c>
      <c r="B29" s="2">
        <v>27</v>
      </c>
      <c r="C29" s="2">
        <v>5</v>
      </c>
      <c r="D29" s="4">
        <v>44201</v>
      </c>
      <c r="E29" s="2" t="s">
        <v>6076</v>
      </c>
      <c r="F29" s="2" t="s">
        <v>16</v>
      </c>
      <c r="G29" s="1058" t="s">
        <v>6191</v>
      </c>
      <c r="M29" s="2">
        <v>10</v>
      </c>
      <c r="N29" s="2">
        <v>-13</v>
      </c>
      <c r="O29" s="2">
        <v>32</v>
      </c>
      <c r="P29" s="168">
        <v>1</v>
      </c>
      <c r="Q29" s="2">
        <v>0</v>
      </c>
      <c r="R29" s="2">
        <v>0</v>
      </c>
      <c r="S29" s="2">
        <v>0</v>
      </c>
      <c r="T29" s="2">
        <v>2</v>
      </c>
      <c r="U29" s="2">
        <v>1</v>
      </c>
      <c r="V29" s="242">
        <v>0</v>
      </c>
      <c r="W29" s="1058" t="s">
        <v>6187</v>
      </c>
      <c r="X29" s="1058" t="s">
        <v>6187</v>
      </c>
      <c r="Y29" s="1058" t="s">
        <v>6073</v>
      </c>
      <c r="AA29" s="1058" t="s">
        <v>3827</v>
      </c>
      <c r="AB29" s="168" t="s">
        <v>3925</v>
      </c>
      <c r="AC29" s="2" t="s">
        <v>3926</v>
      </c>
      <c r="AD29" s="2" t="s">
        <v>3927</v>
      </c>
      <c r="AE29" s="2" t="s">
        <v>3928</v>
      </c>
      <c r="AF29" s="2" t="s">
        <v>3929</v>
      </c>
      <c r="AG29" s="2" t="s">
        <v>3930</v>
      </c>
      <c r="AK29" s="8" t="s">
        <v>3826</v>
      </c>
    </row>
    <row r="30" spans="1:37" x14ac:dyDescent="0.3">
      <c r="A30" s="985" t="str">
        <f t="shared" si="0"/>
        <v>Sezóna 20/21</v>
      </c>
      <c r="B30" s="2">
        <v>28</v>
      </c>
      <c r="C30" s="2">
        <v>33</v>
      </c>
      <c r="D30" s="4">
        <v>44204</v>
      </c>
      <c r="E30" s="2" t="s">
        <v>3797</v>
      </c>
      <c r="F30" s="2" t="s">
        <v>16</v>
      </c>
      <c r="G30" s="1058" t="s">
        <v>6102</v>
      </c>
      <c r="M30" s="2">
        <v>10</v>
      </c>
      <c r="N30" s="2">
        <v>-13</v>
      </c>
      <c r="O30" s="2">
        <v>32</v>
      </c>
      <c r="P30" s="168">
        <v>1</v>
      </c>
      <c r="Q30" s="2">
        <v>0</v>
      </c>
      <c r="R30" s="2">
        <v>1</v>
      </c>
      <c r="S30" s="2">
        <v>1</v>
      </c>
      <c r="T30" s="2">
        <v>5</v>
      </c>
      <c r="U30" s="2">
        <v>2</v>
      </c>
      <c r="V30" s="242">
        <v>0</v>
      </c>
      <c r="W30" s="1058" t="s">
        <v>6189</v>
      </c>
      <c r="X30" s="1058" t="s">
        <v>6187</v>
      </c>
      <c r="Y30" s="1058" t="s">
        <v>6189</v>
      </c>
      <c r="AA30" s="1058" t="s">
        <v>3377</v>
      </c>
      <c r="AB30" s="168" t="s">
        <v>3931</v>
      </c>
      <c r="AK30" s="8" t="s">
        <v>3932</v>
      </c>
    </row>
    <row r="31" spans="1:37" x14ac:dyDescent="0.3">
      <c r="A31" s="985" t="str">
        <f t="shared" si="0"/>
        <v>Sezóna 20/21</v>
      </c>
      <c r="B31" s="2">
        <v>29</v>
      </c>
      <c r="C31" s="2">
        <v>34</v>
      </c>
      <c r="D31" s="4">
        <v>44206</v>
      </c>
      <c r="E31" s="2" t="s">
        <v>327</v>
      </c>
      <c r="F31" s="2" t="s">
        <v>17</v>
      </c>
      <c r="G31" s="1058" t="s">
        <v>6175</v>
      </c>
      <c r="M31" s="2">
        <v>10</v>
      </c>
      <c r="N31" s="2">
        <v>-13</v>
      </c>
      <c r="O31" s="2">
        <v>35</v>
      </c>
      <c r="P31" s="168">
        <v>1</v>
      </c>
      <c r="Q31" s="2">
        <v>0</v>
      </c>
      <c r="R31" s="2">
        <v>0</v>
      </c>
      <c r="S31" s="2">
        <v>0</v>
      </c>
      <c r="T31" s="2">
        <v>1</v>
      </c>
      <c r="U31" s="2">
        <v>1</v>
      </c>
      <c r="V31" s="242">
        <v>0</v>
      </c>
      <c r="W31" s="1058" t="s">
        <v>6120</v>
      </c>
      <c r="X31" s="1058" t="s">
        <v>6188</v>
      </c>
      <c r="Y31" s="1058" t="s">
        <v>6202</v>
      </c>
      <c r="AA31" s="1058" t="s">
        <v>6175</v>
      </c>
      <c r="AB31" s="168" t="s">
        <v>3933</v>
      </c>
      <c r="AC31" s="2" t="s">
        <v>3934</v>
      </c>
      <c r="AD31" s="2" t="s">
        <v>3935</v>
      </c>
      <c r="AE31" s="2" t="s">
        <v>3936</v>
      </c>
      <c r="AF31" s="2" t="s">
        <v>3937</v>
      </c>
      <c r="AK31" s="8" t="s">
        <v>3825</v>
      </c>
    </row>
    <row r="32" spans="1:37" x14ac:dyDescent="0.3">
      <c r="A32" s="985" t="str">
        <f t="shared" si="0"/>
        <v>Sezóna 20/21</v>
      </c>
      <c r="B32" s="2">
        <v>30</v>
      </c>
      <c r="C32" s="2">
        <v>12</v>
      </c>
      <c r="D32" s="4">
        <v>44208</v>
      </c>
      <c r="E32" s="2" t="s">
        <v>6091</v>
      </c>
      <c r="F32" s="2" t="s">
        <v>16</v>
      </c>
      <c r="G32" s="1058" t="s">
        <v>6211</v>
      </c>
      <c r="M32" s="2">
        <v>10</v>
      </c>
      <c r="N32" s="2">
        <v>-13</v>
      </c>
      <c r="O32" s="2">
        <v>35</v>
      </c>
      <c r="P32" s="168">
        <v>1</v>
      </c>
      <c r="Q32" s="2">
        <v>0</v>
      </c>
      <c r="R32" s="2">
        <v>0</v>
      </c>
      <c r="S32" s="2">
        <v>2</v>
      </c>
      <c r="T32" s="2">
        <v>1</v>
      </c>
      <c r="U32" s="2">
        <v>5</v>
      </c>
      <c r="V32" s="242">
        <v>0</v>
      </c>
      <c r="W32" s="1058" t="s">
        <v>6189</v>
      </c>
      <c r="X32" s="1058" t="s">
        <v>6097</v>
      </c>
      <c r="Y32" s="1058" t="s">
        <v>6118</v>
      </c>
      <c r="AA32" s="1058" t="s">
        <v>3802</v>
      </c>
      <c r="AB32" s="168" t="s">
        <v>3938</v>
      </c>
      <c r="AC32" s="2" t="s">
        <v>3939</v>
      </c>
      <c r="AD32" s="2" t="s">
        <v>3940</v>
      </c>
      <c r="AK32" s="8" t="s">
        <v>3824</v>
      </c>
    </row>
    <row r="33" spans="1:37" x14ac:dyDescent="0.3">
      <c r="A33" s="985" t="str">
        <f t="shared" si="0"/>
        <v>Sezóna 20/21</v>
      </c>
      <c r="B33" s="2">
        <v>31</v>
      </c>
      <c r="C33" s="2">
        <v>35</v>
      </c>
      <c r="D33" s="4">
        <v>44211</v>
      </c>
      <c r="E33" s="2" t="s">
        <v>325</v>
      </c>
      <c r="F33" s="2" t="s">
        <v>17</v>
      </c>
      <c r="G33" s="1058" t="s">
        <v>6204</v>
      </c>
      <c r="M33" s="2">
        <v>12</v>
      </c>
      <c r="N33" s="2">
        <v>-16</v>
      </c>
      <c r="O33" s="2">
        <v>35</v>
      </c>
      <c r="P33" s="168">
        <v>0</v>
      </c>
      <c r="Q33" s="2">
        <v>0</v>
      </c>
      <c r="R33" s="2">
        <v>0</v>
      </c>
      <c r="S33" s="2">
        <v>1</v>
      </c>
      <c r="T33" s="2">
        <v>2</v>
      </c>
      <c r="U33" s="2">
        <v>3</v>
      </c>
      <c r="V33" s="242">
        <v>0</v>
      </c>
      <c r="W33" s="1058" t="s">
        <v>6097</v>
      </c>
      <c r="X33" s="1058" t="s">
        <v>6194</v>
      </c>
      <c r="Y33" s="1058" t="s">
        <v>6189</v>
      </c>
      <c r="AA33" s="1058" t="s">
        <v>3822</v>
      </c>
      <c r="AB33" s="168" t="s">
        <v>3941</v>
      </c>
      <c r="AC33" s="2" t="s">
        <v>3942</v>
      </c>
      <c r="AD33" s="2" t="s">
        <v>3943</v>
      </c>
      <c r="AK33" s="8" t="s">
        <v>3823</v>
      </c>
    </row>
    <row r="34" spans="1:37" x14ac:dyDescent="0.3">
      <c r="A34" s="985" t="str">
        <f t="shared" si="0"/>
        <v>Sezóna 20/21</v>
      </c>
      <c r="B34" s="2">
        <v>32</v>
      </c>
      <c r="C34" s="2">
        <v>36</v>
      </c>
      <c r="D34" s="4">
        <v>44213</v>
      </c>
      <c r="E34" s="2" t="s">
        <v>6086</v>
      </c>
      <c r="F34" s="2" t="s">
        <v>16</v>
      </c>
      <c r="G34" s="1058" t="s">
        <v>6113</v>
      </c>
      <c r="M34" s="2">
        <v>11</v>
      </c>
      <c r="N34" s="2">
        <v>-13</v>
      </c>
      <c r="O34" s="2">
        <v>38</v>
      </c>
      <c r="P34" s="168">
        <v>0</v>
      </c>
      <c r="Q34" s="2">
        <v>0</v>
      </c>
      <c r="R34" s="2">
        <v>0</v>
      </c>
      <c r="S34" s="2">
        <v>0</v>
      </c>
      <c r="T34" s="2">
        <v>0</v>
      </c>
      <c r="U34" s="2">
        <v>5</v>
      </c>
      <c r="V34" s="242">
        <v>0</v>
      </c>
      <c r="W34" s="1058" t="s">
        <v>6118</v>
      </c>
      <c r="X34" s="1058" t="s">
        <v>6120</v>
      </c>
      <c r="Y34" s="1058" t="s">
        <v>6189</v>
      </c>
      <c r="AA34" s="1058" t="s">
        <v>3821</v>
      </c>
      <c r="AB34" s="168" t="s">
        <v>3944</v>
      </c>
      <c r="AC34" s="2" t="s">
        <v>3945</v>
      </c>
      <c r="AD34" s="2" t="s">
        <v>3946</v>
      </c>
      <c r="AK34" s="8" t="s">
        <v>3811</v>
      </c>
    </row>
    <row r="35" spans="1:37" x14ac:dyDescent="0.3">
      <c r="A35" s="985" t="str">
        <f t="shared" si="0"/>
        <v>Sezóna 20/21</v>
      </c>
      <c r="B35" s="2">
        <v>33</v>
      </c>
      <c r="C35" s="2">
        <v>37</v>
      </c>
      <c r="D35" s="4">
        <v>44216</v>
      </c>
      <c r="E35" s="2" t="s">
        <v>334</v>
      </c>
      <c r="F35" s="425" t="s">
        <v>17</v>
      </c>
      <c r="G35" s="1058" t="s">
        <v>6097</v>
      </c>
      <c r="M35" s="2">
        <v>12</v>
      </c>
      <c r="N35" s="2">
        <v>-16</v>
      </c>
      <c r="O35" s="2">
        <v>38</v>
      </c>
      <c r="P35" s="168">
        <v>1</v>
      </c>
      <c r="Q35" s="2">
        <v>0</v>
      </c>
      <c r="R35" s="2">
        <v>0</v>
      </c>
      <c r="S35" s="2">
        <v>1</v>
      </c>
      <c r="T35" s="2">
        <v>2</v>
      </c>
      <c r="U35" s="2">
        <v>2</v>
      </c>
      <c r="V35" s="242">
        <v>0</v>
      </c>
      <c r="W35" s="1058" t="s">
        <v>6120</v>
      </c>
      <c r="X35" s="1058" t="s">
        <v>6171</v>
      </c>
      <c r="Y35" s="1058" t="s">
        <v>6188</v>
      </c>
      <c r="AA35" s="1058" t="s">
        <v>3819</v>
      </c>
      <c r="AB35" s="168" t="s">
        <v>3947</v>
      </c>
      <c r="AK35" s="8" t="s">
        <v>3820</v>
      </c>
    </row>
    <row r="36" spans="1:37" x14ac:dyDescent="0.3">
      <c r="A36" s="985" t="str">
        <f t="shared" si="0"/>
        <v>Sezóna 20/21</v>
      </c>
      <c r="B36" s="2">
        <v>34</v>
      </c>
      <c r="C36" s="2">
        <v>38</v>
      </c>
      <c r="D36" s="4">
        <v>44218</v>
      </c>
      <c r="E36" s="2" t="s">
        <v>6091</v>
      </c>
      <c r="F36" s="2" t="s">
        <v>16</v>
      </c>
      <c r="G36" s="1058" t="s">
        <v>6192</v>
      </c>
      <c r="M36" s="2">
        <v>11</v>
      </c>
      <c r="N36" s="2">
        <v>-13</v>
      </c>
      <c r="O36" s="2">
        <v>41</v>
      </c>
      <c r="P36" s="168">
        <v>1</v>
      </c>
      <c r="Q36" s="2">
        <v>0</v>
      </c>
      <c r="R36" s="2">
        <v>0</v>
      </c>
      <c r="S36" s="2">
        <v>0</v>
      </c>
      <c r="T36" s="2">
        <v>3</v>
      </c>
      <c r="U36" s="2">
        <v>5</v>
      </c>
      <c r="V36" s="242">
        <v>0</v>
      </c>
      <c r="W36" s="1058" t="s">
        <v>6188</v>
      </c>
      <c r="X36" s="1058" t="s">
        <v>6194</v>
      </c>
      <c r="Y36" s="1058" t="s">
        <v>6118</v>
      </c>
      <c r="AA36" s="1058" t="s">
        <v>3818</v>
      </c>
      <c r="AB36" s="168" t="s">
        <v>3948</v>
      </c>
      <c r="AC36" s="2" t="s">
        <v>3949</v>
      </c>
      <c r="AD36" s="2" t="s">
        <v>3950</v>
      </c>
      <c r="AE36" s="2" t="s">
        <v>3951</v>
      </c>
      <c r="AK36" s="8" t="s">
        <v>3817</v>
      </c>
    </row>
    <row r="37" spans="1:37" x14ac:dyDescent="0.3">
      <c r="A37" s="985" t="str">
        <f t="shared" si="0"/>
        <v>Sezóna 20/21</v>
      </c>
      <c r="B37" s="2">
        <v>35</v>
      </c>
      <c r="C37" s="2">
        <v>39</v>
      </c>
      <c r="D37" s="4">
        <v>44220</v>
      </c>
      <c r="E37" s="2" t="s">
        <v>326</v>
      </c>
      <c r="F37" s="2" t="s">
        <v>17</v>
      </c>
      <c r="G37" s="1058" t="s">
        <v>6113</v>
      </c>
      <c r="M37" s="2">
        <v>10</v>
      </c>
      <c r="N37" s="2">
        <v>-13</v>
      </c>
      <c r="O37" s="2">
        <v>44</v>
      </c>
      <c r="P37" s="168">
        <v>0</v>
      </c>
      <c r="Q37" s="2">
        <v>0</v>
      </c>
      <c r="R37" s="2">
        <v>0</v>
      </c>
      <c r="S37" s="2">
        <v>1</v>
      </c>
      <c r="T37" s="2">
        <v>4</v>
      </c>
      <c r="U37" s="2">
        <v>2.5</v>
      </c>
      <c r="V37" s="242">
        <v>0</v>
      </c>
      <c r="W37" s="1058" t="s">
        <v>6187</v>
      </c>
      <c r="X37" s="1058" t="s">
        <v>6118</v>
      </c>
      <c r="Y37" s="1058" t="s">
        <v>6188</v>
      </c>
      <c r="AA37" s="1058" t="s">
        <v>3815</v>
      </c>
      <c r="AB37" s="168" t="s">
        <v>3952</v>
      </c>
      <c r="AC37" s="2" t="s">
        <v>3953</v>
      </c>
      <c r="AD37" s="2" t="s">
        <v>3954</v>
      </c>
      <c r="AK37" s="8" t="s">
        <v>3816</v>
      </c>
    </row>
    <row r="38" spans="1:37" x14ac:dyDescent="0.3">
      <c r="A38" s="985" t="str">
        <f t="shared" si="0"/>
        <v>Sezóna 20/21</v>
      </c>
      <c r="B38" s="2">
        <v>36</v>
      </c>
      <c r="C38" s="2">
        <v>1</v>
      </c>
      <c r="D38" s="4">
        <v>44222</v>
      </c>
      <c r="E38" s="2" t="s">
        <v>328</v>
      </c>
      <c r="F38" s="2" t="s">
        <v>17</v>
      </c>
      <c r="G38" s="1058" t="s">
        <v>6113</v>
      </c>
      <c r="M38" s="2">
        <v>10</v>
      </c>
      <c r="N38" s="2">
        <v>-13</v>
      </c>
      <c r="O38" s="2">
        <v>47</v>
      </c>
      <c r="P38" s="168">
        <v>1</v>
      </c>
      <c r="Q38" s="2">
        <v>0</v>
      </c>
      <c r="R38" s="2">
        <v>0</v>
      </c>
      <c r="S38" s="2">
        <v>1</v>
      </c>
      <c r="T38" s="2">
        <v>4</v>
      </c>
      <c r="U38" s="2">
        <v>3</v>
      </c>
      <c r="V38" s="242">
        <v>0</v>
      </c>
      <c r="W38" s="1058" t="s">
        <v>6189</v>
      </c>
      <c r="X38" s="1058" t="s">
        <v>6118</v>
      </c>
      <c r="Y38" s="1058" t="s">
        <v>6120</v>
      </c>
      <c r="AA38" s="1058" t="s">
        <v>3813</v>
      </c>
      <c r="AB38" s="168" t="s">
        <v>3955</v>
      </c>
      <c r="AC38" s="2" t="s">
        <v>3956</v>
      </c>
      <c r="AD38" s="2" t="s">
        <v>3957</v>
      </c>
      <c r="AK38" s="8" t="s">
        <v>3814</v>
      </c>
    </row>
    <row r="39" spans="1:37" x14ac:dyDescent="0.3">
      <c r="A39" s="985" t="str">
        <f t="shared" si="0"/>
        <v>Sezóna 20/21</v>
      </c>
      <c r="B39" s="2">
        <v>37</v>
      </c>
      <c r="C39" s="2">
        <v>40</v>
      </c>
      <c r="D39" s="4">
        <v>44225</v>
      </c>
      <c r="E39" s="2" t="s">
        <v>328</v>
      </c>
      <c r="F39" s="2" t="s">
        <v>16</v>
      </c>
      <c r="G39" s="1058" t="s">
        <v>6146</v>
      </c>
      <c r="M39" s="2">
        <v>10</v>
      </c>
      <c r="N39" s="2">
        <v>-13</v>
      </c>
      <c r="O39" s="2">
        <v>47</v>
      </c>
      <c r="P39" s="168">
        <v>0</v>
      </c>
      <c r="Q39" s="2">
        <v>0</v>
      </c>
      <c r="R39" s="2">
        <v>0</v>
      </c>
      <c r="S39" s="2">
        <v>1</v>
      </c>
      <c r="T39" s="2">
        <v>2</v>
      </c>
      <c r="U39" s="2">
        <v>3</v>
      </c>
      <c r="V39" s="242">
        <v>0</v>
      </c>
      <c r="W39" s="1058" t="s">
        <v>6189</v>
      </c>
      <c r="X39" s="1058" t="s">
        <v>6187</v>
      </c>
      <c r="Y39" s="1058" t="s">
        <v>6187</v>
      </c>
      <c r="AA39" s="1058" t="s">
        <v>3812</v>
      </c>
      <c r="AB39" s="168" t="s">
        <v>3958</v>
      </c>
      <c r="AC39" s="2" t="s">
        <v>3959</v>
      </c>
      <c r="AK39" s="8" t="s">
        <v>3811</v>
      </c>
    </row>
    <row r="40" spans="1:37" x14ac:dyDescent="0.3">
      <c r="A40" s="985" t="str">
        <f t="shared" si="0"/>
        <v>Sezóna 20/21</v>
      </c>
      <c r="B40" s="2">
        <v>38</v>
      </c>
      <c r="C40" s="2">
        <v>41</v>
      </c>
      <c r="D40" s="4">
        <v>44226</v>
      </c>
      <c r="E40" s="2" t="s">
        <v>6179</v>
      </c>
      <c r="F40" s="2" t="s">
        <v>16</v>
      </c>
      <c r="G40" s="1058" t="s">
        <v>6192</v>
      </c>
      <c r="M40" s="2">
        <v>9</v>
      </c>
      <c r="N40" s="2">
        <v>-10</v>
      </c>
      <c r="O40" s="2">
        <v>50</v>
      </c>
      <c r="P40" s="168">
        <v>2</v>
      </c>
      <c r="Q40" s="2">
        <v>0</v>
      </c>
      <c r="R40" s="2">
        <v>0</v>
      </c>
      <c r="S40" s="2">
        <v>1</v>
      </c>
      <c r="T40" s="2">
        <v>4</v>
      </c>
      <c r="U40" s="2">
        <v>3</v>
      </c>
      <c r="V40" s="242">
        <v>0</v>
      </c>
      <c r="W40" s="1058" t="s">
        <v>6171</v>
      </c>
      <c r="X40" s="1058" t="s">
        <v>6120</v>
      </c>
      <c r="Y40" s="1058" t="s">
        <v>6100</v>
      </c>
      <c r="AA40" s="1058" t="s">
        <v>3810</v>
      </c>
      <c r="AB40" s="168" t="s">
        <v>3960</v>
      </c>
      <c r="AC40" s="2" t="s">
        <v>3961</v>
      </c>
      <c r="AD40" s="2" t="s">
        <v>3962</v>
      </c>
      <c r="AE40" s="2" t="s">
        <v>3963</v>
      </c>
      <c r="AK40" s="8" t="s">
        <v>3862</v>
      </c>
    </row>
    <row r="41" spans="1:37" s="191" customFormat="1" x14ac:dyDescent="0.3">
      <c r="A41" s="985" t="str">
        <f t="shared" si="0"/>
        <v>Sezóna 20/21</v>
      </c>
      <c r="B41" s="170">
        <v>39</v>
      </c>
      <c r="C41" s="170">
        <v>42</v>
      </c>
      <c r="D41" s="189">
        <v>44229</v>
      </c>
      <c r="E41" s="170" t="s">
        <v>610</v>
      </c>
      <c r="F41" s="170" t="s">
        <v>17</v>
      </c>
      <c r="G41" s="1059" t="s">
        <v>6215</v>
      </c>
      <c r="H41" s="1059"/>
      <c r="I41" s="1091"/>
      <c r="J41" s="1091"/>
      <c r="K41" s="1059"/>
      <c r="L41" s="1059"/>
      <c r="M41" s="269">
        <v>10</v>
      </c>
      <c r="N41" s="269">
        <v>-13</v>
      </c>
      <c r="O41" s="269">
        <v>50</v>
      </c>
      <c r="P41" s="169">
        <v>0</v>
      </c>
      <c r="Q41" s="170">
        <v>0</v>
      </c>
      <c r="R41" s="170">
        <v>0</v>
      </c>
      <c r="S41" s="170">
        <v>1</v>
      </c>
      <c r="T41" s="170">
        <v>2</v>
      </c>
      <c r="U41" s="170">
        <v>3</v>
      </c>
      <c r="V41" s="171">
        <v>0</v>
      </c>
      <c r="W41" s="1059" t="s">
        <v>6189</v>
      </c>
      <c r="X41" s="1059" t="s">
        <v>6097</v>
      </c>
      <c r="Y41" s="1059" t="s">
        <v>6079</v>
      </c>
      <c r="Z41" s="1059"/>
      <c r="AA41" s="1059" t="s">
        <v>3809</v>
      </c>
      <c r="AB41" s="169" t="s">
        <v>3964</v>
      </c>
      <c r="AC41" s="170"/>
      <c r="AD41" s="170"/>
      <c r="AE41" s="170"/>
      <c r="AF41" s="170"/>
      <c r="AG41" s="170"/>
      <c r="AH41" s="170"/>
      <c r="AI41" s="171"/>
      <c r="AJ41" s="268"/>
      <c r="AK41" s="191" t="s">
        <v>3863</v>
      </c>
    </row>
    <row r="42" spans="1:37" x14ac:dyDescent="0.3">
      <c r="A42" s="985" t="str">
        <f t="shared" si="0"/>
        <v>Sezóna 20/21</v>
      </c>
      <c r="B42" s="2">
        <v>40</v>
      </c>
      <c r="C42" s="2">
        <v>43</v>
      </c>
      <c r="D42" s="4">
        <v>44232</v>
      </c>
      <c r="E42" s="2" t="s">
        <v>331</v>
      </c>
      <c r="F42" s="2" t="s">
        <v>16</v>
      </c>
      <c r="G42" s="1058" t="s">
        <v>6203</v>
      </c>
      <c r="M42" s="2">
        <v>10</v>
      </c>
      <c r="N42" s="2">
        <v>-13</v>
      </c>
      <c r="O42" s="2">
        <v>50</v>
      </c>
      <c r="P42" s="168">
        <v>0</v>
      </c>
      <c r="Q42" s="2">
        <v>0</v>
      </c>
      <c r="R42" s="2">
        <v>0</v>
      </c>
      <c r="S42" s="2">
        <v>1</v>
      </c>
      <c r="T42" s="2">
        <v>3</v>
      </c>
      <c r="U42" s="2">
        <v>3</v>
      </c>
      <c r="V42" s="242">
        <v>0</v>
      </c>
      <c r="W42" s="1058" t="s">
        <v>6171</v>
      </c>
      <c r="X42" s="1058" t="s">
        <v>6100</v>
      </c>
      <c r="Y42" s="1058" t="s">
        <v>6097</v>
      </c>
      <c r="AA42" s="1058" t="s">
        <v>3806</v>
      </c>
      <c r="AB42" s="168" t="s">
        <v>3965</v>
      </c>
      <c r="AC42" s="2" t="s">
        <v>3966</v>
      </c>
      <c r="AD42" s="2" t="s">
        <v>3967</v>
      </c>
      <c r="AE42" s="2" t="s">
        <v>3968</v>
      </c>
      <c r="AK42" s="8" t="s">
        <v>3864</v>
      </c>
    </row>
    <row r="43" spans="1:37" x14ac:dyDescent="0.3">
      <c r="A43" s="985" t="str">
        <f t="shared" si="0"/>
        <v>Sezóna 20/21</v>
      </c>
      <c r="B43" s="2">
        <v>41</v>
      </c>
      <c r="C43" s="2">
        <v>44</v>
      </c>
      <c r="D43" s="4">
        <v>44234</v>
      </c>
      <c r="E43" s="2" t="s">
        <v>6076</v>
      </c>
      <c r="F43" s="2" t="s">
        <v>17</v>
      </c>
      <c r="G43" s="1058" t="s">
        <v>351</v>
      </c>
      <c r="M43" s="2">
        <v>10</v>
      </c>
      <c r="N43" s="2">
        <v>-14</v>
      </c>
      <c r="O43" s="2">
        <v>52</v>
      </c>
      <c r="P43" s="168">
        <v>1</v>
      </c>
      <c r="Q43" s="2">
        <v>0</v>
      </c>
      <c r="R43" s="2">
        <v>0</v>
      </c>
      <c r="S43" s="2">
        <v>1</v>
      </c>
      <c r="T43" s="2">
        <v>3</v>
      </c>
      <c r="U43" s="2">
        <v>2</v>
      </c>
      <c r="V43" s="242">
        <v>0</v>
      </c>
      <c r="W43" s="1058" t="s">
        <v>6120</v>
      </c>
      <c r="X43" s="1058" t="s">
        <v>6187</v>
      </c>
      <c r="Y43" s="1058" t="s">
        <v>6189</v>
      </c>
      <c r="Z43" s="1058" t="s">
        <v>756</v>
      </c>
      <c r="AA43" s="1058" t="s">
        <v>3805</v>
      </c>
      <c r="AB43" s="168" t="s">
        <v>3969</v>
      </c>
      <c r="AC43" s="2" t="s">
        <v>3970</v>
      </c>
      <c r="AD43" s="2" t="s">
        <v>3971</v>
      </c>
      <c r="AK43" s="8" t="s">
        <v>3865</v>
      </c>
    </row>
    <row r="44" spans="1:37" x14ac:dyDescent="0.3">
      <c r="A44" s="985" t="str">
        <f t="shared" si="0"/>
        <v>Sezóna 20/21</v>
      </c>
      <c r="B44" s="2">
        <v>42</v>
      </c>
      <c r="C44" s="2">
        <v>10</v>
      </c>
      <c r="D44" s="4">
        <v>44236</v>
      </c>
      <c r="E44" s="2" t="s">
        <v>6086</v>
      </c>
      <c r="F44" s="2" t="s">
        <v>16</v>
      </c>
      <c r="G44" s="1058" t="s">
        <v>161</v>
      </c>
      <c r="M44" s="2">
        <v>10</v>
      </c>
      <c r="N44" s="2">
        <v>-13</v>
      </c>
      <c r="O44" s="2">
        <v>53</v>
      </c>
      <c r="P44" s="168">
        <v>1</v>
      </c>
      <c r="Q44" s="2">
        <v>0</v>
      </c>
      <c r="R44" s="2">
        <v>0</v>
      </c>
      <c r="S44" s="2">
        <v>1</v>
      </c>
      <c r="T44" s="2">
        <v>5</v>
      </c>
      <c r="U44" s="2">
        <v>4</v>
      </c>
      <c r="V44" s="242">
        <v>0</v>
      </c>
      <c r="W44" s="1058" t="s">
        <v>6187</v>
      </c>
      <c r="X44" s="1058" t="s">
        <v>6120</v>
      </c>
      <c r="Y44" s="1058" t="s">
        <v>6189</v>
      </c>
      <c r="Z44" s="1058" t="s">
        <v>208</v>
      </c>
      <c r="AA44" s="1058" t="s">
        <v>3975</v>
      </c>
      <c r="AB44" s="168" t="s">
        <v>3972</v>
      </c>
      <c r="AC44" s="2" t="s">
        <v>3973</v>
      </c>
      <c r="AJ44" s="8" t="s">
        <v>3974</v>
      </c>
      <c r="AK44" s="8" t="s">
        <v>3866</v>
      </c>
    </row>
    <row r="45" spans="1:37" x14ac:dyDescent="0.3">
      <c r="A45" s="985" t="str">
        <f t="shared" si="0"/>
        <v>Sezóna 20/21</v>
      </c>
      <c r="B45" s="2">
        <v>43</v>
      </c>
      <c r="C45" s="2">
        <v>16</v>
      </c>
      <c r="D45" s="4">
        <v>44242</v>
      </c>
      <c r="E45" s="2" t="s">
        <v>610</v>
      </c>
      <c r="F45" s="2" t="s">
        <v>17</v>
      </c>
      <c r="G45" s="1058" t="s">
        <v>589</v>
      </c>
      <c r="M45" s="2">
        <v>10</v>
      </c>
      <c r="N45" s="2">
        <v>-15</v>
      </c>
      <c r="O45" s="2">
        <v>54</v>
      </c>
      <c r="P45" s="168">
        <v>0</v>
      </c>
      <c r="Q45" s="2">
        <v>0</v>
      </c>
      <c r="R45" s="2">
        <v>0</v>
      </c>
      <c r="S45" s="2">
        <v>0</v>
      </c>
      <c r="T45" s="2">
        <v>4</v>
      </c>
      <c r="U45" s="2">
        <v>4</v>
      </c>
      <c r="V45" s="242">
        <v>0</v>
      </c>
      <c r="W45" s="1058" t="s">
        <v>6188</v>
      </c>
      <c r="X45" s="1058" t="s">
        <v>6189</v>
      </c>
      <c r="Y45" s="1058" t="s">
        <v>6120</v>
      </c>
      <c r="Z45" s="1058" t="s">
        <v>3213</v>
      </c>
      <c r="AA45" s="1058" t="s">
        <v>3803</v>
      </c>
      <c r="AB45" s="168" t="s">
        <v>3982</v>
      </c>
      <c r="AK45" s="8" t="s">
        <v>3983</v>
      </c>
    </row>
    <row r="46" spans="1:37" x14ac:dyDescent="0.3">
      <c r="A46" s="985" t="str">
        <f t="shared" si="0"/>
        <v>Sezóna 20/21</v>
      </c>
      <c r="B46" s="2">
        <v>44</v>
      </c>
      <c r="C46" s="2">
        <v>45</v>
      </c>
      <c r="D46" s="4">
        <v>44244</v>
      </c>
      <c r="E46" s="2" t="s">
        <v>626</v>
      </c>
      <c r="F46" s="2" t="s">
        <v>16</v>
      </c>
      <c r="G46" s="1058" t="s">
        <v>6211</v>
      </c>
      <c r="M46" s="2">
        <v>11</v>
      </c>
      <c r="N46" s="2">
        <v>-15</v>
      </c>
      <c r="O46" s="2">
        <v>54</v>
      </c>
      <c r="P46" s="168">
        <v>0</v>
      </c>
      <c r="Q46" s="2">
        <v>0</v>
      </c>
      <c r="R46" s="2">
        <v>0</v>
      </c>
      <c r="S46" s="2">
        <v>0</v>
      </c>
      <c r="T46" s="2">
        <v>2</v>
      </c>
      <c r="U46" s="2">
        <v>3</v>
      </c>
      <c r="V46" s="242">
        <v>0</v>
      </c>
      <c r="W46" s="1058" t="s">
        <v>6102</v>
      </c>
      <c r="X46" s="1058" t="s">
        <v>6118</v>
      </c>
      <c r="Y46" s="1058" t="s">
        <v>6188</v>
      </c>
      <c r="AA46" s="1058" t="s">
        <v>3802</v>
      </c>
      <c r="AB46" s="168" t="s">
        <v>3984</v>
      </c>
      <c r="AC46" s="2" t="s">
        <v>3985</v>
      </c>
      <c r="AD46" s="2" t="s">
        <v>3986</v>
      </c>
      <c r="AK46" s="8" t="s">
        <v>3867</v>
      </c>
    </row>
    <row r="47" spans="1:37" x14ac:dyDescent="0.3">
      <c r="A47" s="985" t="str">
        <f t="shared" si="0"/>
        <v>Sezóna 20/21</v>
      </c>
      <c r="B47" s="2">
        <v>45</v>
      </c>
      <c r="C47" s="2">
        <v>46</v>
      </c>
      <c r="D47" s="4">
        <v>44246</v>
      </c>
      <c r="E47" s="2" t="s">
        <v>1274</v>
      </c>
      <c r="F47" s="2" t="s">
        <v>17</v>
      </c>
      <c r="G47" s="1058" t="s">
        <v>6146</v>
      </c>
      <c r="M47" s="2">
        <v>11</v>
      </c>
      <c r="N47" s="2">
        <v>-18</v>
      </c>
      <c r="O47" s="2">
        <v>54</v>
      </c>
      <c r="P47" s="168">
        <v>1</v>
      </c>
      <c r="Q47" s="2">
        <v>0</v>
      </c>
      <c r="R47" s="2">
        <v>0</v>
      </c>
      <c r="S47" s="2">
        <v>1</v>
      </c>
      <c r="T47" s="2">
        <v>3</v>
      </c>
      <c r="U47" s="2">
        <v>2</v>
      </c>
      <c r="V47" s="242">
        <v>0</v>
      </c>
      <c r="W47" s="1058" t="s">
        <v>6171</v>
      </c>
      <c r="X47" s="1058" t="s">
        <v>6187</v>
      </c>
      <c r="Y47" s="1058" t="s">
        <v>6120</v>
      </c>
      <c r="AA47" s="1058" t="s">
        <v>3061</v>
      </c>
      <c r="AB47" s="168" t="s">
        <v>3987</v>
      </c>
      <c r="AC47" s="2" t="s">
        <v>3988</v>
      </c>
      <c r="AK47" s="8" t="s">
        <v>3868</v>
      </c>
    </row>
    <row r="48" spans="1:37" x14ac:dyDescent="0.3">
      <c r="A48" s="985" t="str">
        <f t="shared" si="0"/>
        <v>Sezóna 20/21</v>
      </c>
      <c r="B48" s="2">
        <v>46</v>
      </c>
      <c r="C48" s="2">
        <v>47</v>
      </c>
      <c r="D48" s="4">
        <v>44248</v>
      </c>
      <c r="E48" s="2" t="s">
        <v>327</v>
      </c>
      <c r="F48" s="2" t="s">
        <v>16</v>
      </c>
      <c r="G48" s="1058" t="s">
        <v>6100</v>
      </c>
      <c r="M48" s="2">
        <v>11</v>
      </c>
      <c r="N48" s="2">
        <v>-15</v>
      </c>
      <c r="O48" s="2">
        <v>57</v>
      </c>
      <c r="P48" s="168">
        <v>1</v>
      </c>
      <c r="Q48" s="2">
        <v>1</v>
      </c>
      <c r="R48" s="2">
        <v>0</v>
      </c>
      <c r="S48" s="2">
        <v>1</v>
      </c>
      <c r="T48" s="2">
        <v>4</v>
      </c>
      <c r="U48" s="2">
        <v>6</v>
      </c>
      <c r="V48" s="242">
        <v>0</v>
      </c>
      <c r="W48" s="1058" t="s">
        <v>6120</v>
      </c>
      <c r="X48" s="1058" t="s">
        <v>6189</v>
      </c>
      <c r="Y48" s="1058" t="s">
        <v>6089</v>
      </c>
      <c r="AA48" s="1058" t="s">
        <v>3804</v>
      </c>
      <c r="AB48" s="168" t="s">
        <v>3989</v>
      </c>
      <c r="AC48" s="2" t="s">
        <v>3990</v>
      </c>
      <c r="AD48" s="2" t="s">
        <v>3991</v>
      </c>
      <c r="AK48" s="8" t="s">
        <v>3869</v>
      </c>
    </row>
    <row r="49" spans="1:37" ht="16.8" x14ac:dyDescent="0.4">
      <c r="A49" s="985" t="str">
        <f t="shared" si="0"/>
        <v>Sezóna 20/21</v>
      </c>
      <c r="B49" s="2">
        <v>47</v>
      </c>
      <c r="C49" s="2">
        <v>19</v>
      </c>
      <c r="D49" s="4">
        <v>44250</v>
      </c>
      <c r="E49" s="2" t="s">
        <v>626</v>
      </c>
      <c r="F49" s="2" t="s">
        <v>16</v>
      </c>
      <c r="G49" s="1058" t="s">
        <v>6118</v>
      </c>
      <c r="M49" s="2">
        <v>11</v>
      </c>
      <c r="N49" s="2">
        <v>-12</v>
      </c>
      <c r="O49" s="2">
        <v>60</v>
      </c>
      <c r="P49" s="168">
        <v>2</v>
      </c>
      <c r="Q49" s="2">
        <v>0</v>
      </c>
      <c r="R49" s="2">
        <v>0</v>
      </c>
      <c r="S49" s="2">
        <v>1</v>
      </c>
      <c r="T49" s="2">
        <v>5</v>
      </c>
      <c r="U49" s="2">
        <v>3</v>
      </c>
      <c r="V49" s="242">
        <v>0</v>
      </c>
      <c r="W49" s="1058" t="s">
        <v>6187</v>
      </c>
      <c r="X49" s="1058" t="s">
        <v>6188</v>
      </c>
      <c r="Y49" s="1058" t="s">
        <v>6120</v>
      </c>
      <c r="AA49" s="1058" t="s">
        <v>3052</v>
      </c>
      <c r="AB49" s="168" t="s">
        <v>3992</v>
      </c>
      <c r="AC49" s="2" t="s">
        <v>3993</v>
      </c>
      <c r="AK49" s="390" t="s">
        <v>3870</v>
      </c>
    </row>
    <row r="50" spans="1:37" x14ac:dyDescent="0.3">
      <c r="A50" s="985" t="str">
        <f t="shared" si="0"/>
        <v>Sezóna 20/21</v>
      </c>
      <c r="B50" s="2">
        <v>48</v>
      </c>
      <c r="C50" s="2">
        <v>48</v>
      </c>
      <c r="D50" s="4">
        <v>44253</v>
      </c>
      <c r="E50" s="2" t="s">
        <v>325</v>
      </c>
      <c r="F50" s="2" t="s">
        <v>16</v>
      </c>
      <c r="G50" s="1058" t="s">
        <v>6073</v>
      </c>
      <c r="M50" s="2">
        <v>11</v>
      </c>
      <c r="N50" s="2">
        <v>-9</v>
      </c>
      <c r="O50" s="2">
        <v>63</v>
      </c>
      <c r="P50" s="168">
        <v>1</v>
      </c>
      <c r="Q50" s="2">
        <v>1</v>
      </c>
      <c r="R50" s="2">
        <v>0</v>
      </c>
      <c r="S50" s="2">
        <v>0</v>
      </c>
      <c r="T50" s="2">
        <v>3</v>
      </c>
      <c r="U50" s="2">
        <v>4</v>
      </c>
      <c r="V50" s="242">
        <v>0</v>
      </c>
      <c r="W50" s="1058" t="s">
        <v>6100</v>
      </c>
      <c r="X50" s="1058" t="s">
        <v>6120</v>
      </c>
      <c r="Y50" s="1058" t="s">
        <v>6189</v>
      </c>
      <c r="AA50" s="1058" t="s">
        <v>3801</v>
      </c>
      <c r="AB50" s="168" t="s">
        <v>3994</v>
      </c>
      <c r="AC50" s="2" t="s">
        <v>3995</v>
      </c>
      <c r="AD50" s="2" t="s">
        <v>3996</v>
      </c>
      <c r="AE50" s="2" t="s">
        <v>3997</v>
      </c>
      <c r="AK50" s="8" t="s">
        <v>3871</v>
      </c>
    </row>
    <row r="51" spans="1:37" x14ac:dyDescent="0.3">
      <c r="A51" s="985" t="str">
        <f t="shared" si="0"/>
        <v>Sezóna 20/21</v>
      </c>
      <c r="B51" s="2">
        <v>49</v>
      </c>
      <c r="C51" s="2">
        <v>49</v>
      </c>
      <c r="D51" s="4">
        <v>44255</v>
      </c>
      <c r="E51" s="2" t="s">
        <v>6086</v>
      </c>
      <c r="F51" s="2" t="s">
        <v>17</v>
      </c>
      <c r="G51" s="1058" t="s">
        <v>6209</v>
      </c>
      <c r="M51" s="2">
        <v>11</v>
      </c>
      <c r="N51" s="2">
        <v>-9</v>
      </c>
      <c r="O51" s="2">
        <v>66</v>
      </c>
      <c r="P51" s="168">
        <v>0</v>
      </c>
      <c r="Q51" s="2">
        <v>0</v>
      </c>
      <c r="R51" s="2">
        <v>0</v>
      </c>
      <c r="S51" s="2">
        <v>1</v>
      </c>
      <c r="T51" s="2">
        <v>3</v>
      </c>
      <c r="U51" s="2">
        <v>3</v>
      </c>
      <c r="V51" s="242">
        <v>0</v>
      </c>
      <c r="W51" s="1058" t="s">
        <v>6189</v>
      </c>
      <c r="X51" s="1058" t="s">
        <v>6148</v>
      </c>
      <c r="Y51" s="1058" t="s">
        <v>6187</v>
      </c>
      <c r="AA51" s="1058" t="s">
        <v>3800</v>
      </c>
      <c r="AB51" s="168" t="s">
        <v>3998</v>
      </c>
      <c r="AC51" s="2" t="s">
        <v>3999</v>
      </c>
      <c r="AD51" s="2" t="s">
        <v>4000</v>
      </c>
      <c r="AE51" s="2" t="s">
        <v>4001</v>
      </c>
      <c r="AF51" s="2" t="s">
        <v>4002</v>
      </c>
      <c r="AG51" s="2" t="s">
        <v>4003</v>
      </c>
      <c r="AK51" s="8" t="s">
        <v>4004</v>
      </c>
    </row>
    <row r="52" spans="1:37" x14ac:dyDescent="0.3">
      <c r="A52" s="985" t="str">
        <f t="shared" si="0"/>
        <v>Sezóna 20/21</v>
      </c>
      <c r="B52" s="2">
        <v>50</v>
      </c>
      <c r="C52" s="2">
        <v>50</v>
      </c>
      <c r="D52" s="4">
        <v>44259</v>
      </c>
      <c r="E52" s="2" t="s">
        <v>334</v>
      </c>
      <c r="F52" s="2" t="s">
        <v>17</v>
      </c>
      <c r="G52" s="1058" t="s">
        <v>6113</v>
      </c>
      <c r="M52" s="2">
        <v>11</v>
      </c>
      <c r="N52" s="2">
        <v>-6</v>
      </c>
      <c r="O52" s="2">
        <v>69</v>
      </c>
      <c r="P52" s="168">
        <v>1</v>
      </c>
      <c r="Q52" s="2">
        <v>0</v>
      </c>
      <c r="R52" s="2">
        <v>0</v>
      </c>
      <c r="S52" s="2">
        <v>1</v>
      </c>
      <c r="T52" s="2">
        <v>6</v>
      </c>
      <c r="U52" s="2">
        <v>4</v>
      </c>
      <c r="V52" s="242">
        <v>0</v>
      </c>
      <c r="W52" s="1058" t="s">
        <v>6120</v>
      </c>
      <c r="X52" s="1058" t="s">
        <v>6187</v>
      </c>
      <c r="Y52" s="1058" t="s">
        <v>6187</v>
      </c>
      <c r="AA52" s="1058" t="s">
        <v>3799</v>
      </c>
      <c r="AB52" s="168" t="s">
        <v>4005</v>
      </c>
      <c r="AC52" s="2" t="s">
        <v>4006</v>
      </c>
      <c r="AD52" s="2" t="s">
        <v>4007</v>
      </c>
      <c r="AK52" s="8" t="s">
        <v>3807</v>
      </c>
    </row>
    <row r="53" spans="1:37" x14ac:dyDescent="0.3">
      <c r="A53" s="985" t="str">
        <f t="shared" si="0"/>
        <v>Sezóna 20/21</v>
      </c>
      <c r="B53" s="2">
        <v>51</v>
      </c>
      <c r="C53" s="2">
        <v>51</v>
      </c>
      <c r="D53" s="4">
        <v>44260</v>
      </c>
      <c r="E53" s="2" t="s">
        <v>6091</v>
      </c>
      <c r="F53" s="2" t="s">
        <v>17</v>
      </c>
      <c r="G53" s="1058" t="s">
        <v>6217</v>
      </c>
      <c r="M53" s="2">
        <v>11</v>
      </c>
      <c r="N53" s="2">
        <v>-6</v>
      </c>
      <c r="O53" s="2">
        <v>72</v>
      </c>
      <c r="P53" s="168">
        <v>2</v>
      </c>
      <c r="Q53" s="2">
        <v>0</v>
      </c>
      <c r="R53" s="2">
        <v>1</v>
      </c>
      <c r="S53" s="2">
        <v>0</v>
      </c>
      <c r="T53" s="2">
        <v>3</v>
      </c>
      <c r="U53" s="2">
        <v>4</v>
      </c>
      <c r="V53" s="242">
        <v>0</v>
      </c>
      <c r="W53" s="1058" t="s">
        <v>6100</v>
      </c>
      <c r="X53" s="1058" t="s">
        <v>6110</v>
      </c>
      <c r="Y53" s="1058" t="s">
        <v>6097</v>
      </c>
      <c r="AA53" s="1058" t="s">
        <v>3843</v>
      </c>
      <c r="AB53" s="168" t="s">
        <v>4008</v>
      </c>
      <c r="AC53" s="2" t="s">
        <v>4009</v>
      </c>
      <c r="AD53" s="2" t="s">
        <v>4010</v>
      </c>
      <c r="AE53" s="2" t="s">
        <v>4011</v>
      </c>
      <c r="AF53" s="2" t="s">
        <v>4012</v>
      </c>
      <c r="AG53" s="2" t="s">
        <v>4013</v>
      </c>
      <c r="AH53" s="242" t="s">
        <v>4014</v>
      </c>
      <c r="AK53" s="8" t="s">
        <v>3808</v>
      </c>
    </row>
    <row r="54" spans="1:37" s="191" customFormat="1" x14ac:dyDescent="0.3">
      <c r="A54" s="985" t="str">
        <f t="shared" si="0"/>
        <v>Sezóna 20/21</v>
      </c>
      <c r="B54" s="170">
        <v>52</v>
      </c>
      <c r="C54" s="170">
        <v>52</v>
      </c>
      <c r="D54" s="189">
        <v>44262</v>
      </c>
      <c r="E54" s="170" t="s">
        <v>326</v>
      </c>
      <c r="F54" s="170" t="s">
        <v>16</v>
      </c>
      <c r="G54" s="1059" t="s">
        <v>6079</v>
      </c>
      <c r="H54" s="1059"/>
      <c r="I54" s="1091"/>
      <c r="J54" s="1091"/>
      <c r="K54" s="1059"/>
      <c r="L54" s="1059"/>
      <c r="M54" s="170">
        <v>11</v>
      </c>
      <c r="N54" s="170">
        <v>-6</v>
      </c>
      <c r="O54" s="170">
        <v>72</v>
      </c>
      <c r="P54" s="169">
        <v>0</v>
      </c>
      <c r="Q54" s="170">
        <v>0</v>
      </c>
      <c r="R54" s="170">
        <v>0</v>
      </c>
      <c r="S54" s="170">
        <v>1</v>
      </c>
      <c r="T54" s="170">
        <v>5</v>
      </c>
      <c r="U54" s="170">
        <v>4</v>
      </c>
      <c r="V54" s="171">
        <v>0</v>
      </c>
      <c r="W54" s="1059" t="s">
        <v>6189</v>
      </c>
      <c r="X54" s="1059" t="s">
        <v>6189</v>
      </c>
      <c r="Y54" s="1059" t="s">
        <v>6189</v>
      </c>
      <c r="Z54" s="1059"/>
      <c r="AA54" s="1059" t="s">
        <v>6079</v>
      </c>
      <c r="AB54" s="169" t="s">
        <v>515</v>
      </c>
      <c r="AC54" s="170"/>
      <c r="AD54" s="170"/>
      <c r="AE54" s="170"/>
      <c r="AF54" s="170"/>
      <c r="AG54" s="170"/>
      <c r="AH54" s="170"/>
      <c r="AI54" s="171"/>
      <c r="AJ54" s="268"/>
      <c r="AK54" s="268" t="s">
        <v>3872</v>
      </c>
    </row>
    <row r="55" spans="1:37" x14ac:dyDescent="0.3">
      <c r="A55" s="985" t="str">
        <f t="shared" si="0"/>
        <v>Sezóna 20/21</v>
      </c>
      <c r="B55" s="2">
        <v>53</v>
      </c>
      <c r="C55" s="2" t="s">
        <v>336</v>
      </c>
      <c r="D55" s="4">
        <v>44265</v>
      </c>
      <c r="E55" s="2" t="s">
        <v>1274</v>
      </c>
      <c r="F55" s="2" t="s">
        <v>16</v>
      </c>
      <c r="G55" s="1058" t="s">
        <v>6171</v>
      </c>
      <c r="M55" s="2" t="s">
        <v>5877</v>
      </c>
      <c r="P55" s="168">
        <v>0</v>
      </c>
      <c r="Q55" s="2">
        <v>0</v>
      </c>
      <c r="R55" s="2">
        <v>0</v>
      </c>
      <c r="S55" s="2">
        <v>1</v>
      </c>
      <c r="T55" s="2">
        <v>4</v>
      </c>
      <c r="U55" s="2">
        <v>4</v>
      </c>
      <c r="V55" s="242">
        <v>0</v>
      </c>
      <c r="W55" s="1058" t="s">
        <v>6189</v>
      </c>
      <c r="X55" s="1058" t="s">
        <v>6188</v>
      </c>
      <c r="Y55" s="1058" t="s">
        <v>6189</v>
      </c>
      <c r="AA55" s="1058" t="s">
        <v>6171</v>
      </c>
      <c r="AB55" s="168" t="s">
        <v>515</v>
      </c>
      <c r="AK55" s="8" t="s">
        <v>3873</v>
      </c>
    </row>
    <row r="56" spans="1:37" x14ac:dyDescent="0.3">
      <c r="A56" s="985" t="str">
        <f t="shared" si="0"/>
        <v>Sezóna 20/21</v>
      </c>
      <c r="B56" s="2">
        <v>54</v>
      </c>
      <c r="C56" s="2" t="s">
        <v>336</v>
      </c>
      <c r="D56" s="4">
        <v>44266</v>
      </c>
      <c r="E56" s="2" t="s">
        <v>1274</v>
      </c>
      <c r="F56" s="2" t="s">
        <v>16</v>
      </c>
      <c r="G56" s="1058" t="s">
        <v>6102</v>
      </c>
      <c r="M56" s="2" t="s">
        <v>5878</v>
      </c>
      <c r="P56" s="168">
        <v>1</v>
      </c>
      <c r="Q56" s="2">
        <v>0</v>
      </c>
      <c r="R56" s="2">
        <v>0</v>
      </c>
      <c r="S56" s="2">
        <v>1</v>
      </c>
      <c r="T56" s="2">
        <v>4</v>
      </c>
      <c r="U56" s="2">
        <v>4</v>
      </c>
      <c r="V56" s="242">
        <v>0</v>
      </c>
      <c r="W56" s="1058" t="s">
        <v>6187</v>
      </c>
      <c r="X56" s="1058" t="s">
        <v>6171</v>
      </c>
      <c r="Y56" s="1058" t="s">
        <v>6188</v>
      </c>
      <c r="AA56" s="1058" t="s">
        <v>3307</v>
      </c>
      <c r="AB56" s="168" t="s">
        <v>4015</v>
      </c>
      <c r="AK56" s="8" t="s">
        <v>6552</v>
      </c>
    </row>
    <row r="57" spans="1:37" s="191" customFormat="1" x14ac:dyDescent="0.3">
      <c r="A57" s="985" t="str">
        <f t="shared" si="0"/>
        <v>Sezóna 20/21</v>
      </c>
      <c r="B57" s="170">
        <v>55</v>
      </c>
      <c r="C57" s="170" t="s">
        <v>336</v>
      </c>
      <c r="D57" s="4">
        <v>44268</v>
      </c>
      <c r="E57" s="170" t="s">
        <v>1274</v>
      </c>
      <c r="F57" s="170" t="s">
        <v>17</v>
      </c>
      <c r="G57" s="1059" t="s">
        <v>6084</v>
      </c>
      <c r="H57" s="1059"/>
      <c r="I57" s="1091"/>
      <c r="J57" s="1091"/>
      <c r="K57" s="1059"/>
      <c r="L57" s="1059"/>
      <c r="M57" s="2" t="s">
        <v>5879</v>
      </c>
      <c r="N57" s="170"/>
      <c r="O57" s="170"/>
      <c r="P57" s="169">
        <v>0</v>
      </c>
      <c r="Q57" s="170">
        <v>0</v>
      </c>
      <c r="R57" s="170">
        <v>0</v>
      </c>
      <c r="S57" s="170">
        <v>1</v>
      </c>
      <c r="T57" s="170">
        <v>5</v>
      </c>
      <c r="U57" s="170">
        <v>2</v>
      </c>
      <c r="V57" s="171">
        <v>0</v>
      </c>
      <c r="W57" s="1059" t="s">
        <v>6079</v>
      </c>
      <c r="X57" s="1059" t="s">
        <v>6171</v>
      </c>
      <c r="Y57" s="1059" t="s">
        <v>6120</v>
      </c>
      <c r="Z57" s="1059"/>
      <c r="AA57" s="1059" t="s">
        <v>3242</v>
      </c>
      <c r="AB57" s="169" t="s">
        <v>4016</v>
      </c>
      <c r="AC57" s="170"/>
      <c r="AD57" s="170"/>
      <c r="AE57" s="170"/>
      <c r="AF57" s="170"/>
      <c r="AG57" s="170"/>
      <c r="AH57" s="170"/>
      <c r="AI57" s="171"/>
      <c r="AJ57" s="268"/>
      <c r="AK57" s="268" t="s">
        <v>4638</v>
      </c>
    </row>
    <row r="58" spans="1:37" x14ac:dyDescent="0.3">
      <c r="A58" s="1087" t="s">
        <v>817</v>
      </c>
      <c r="B58" s="2"/>
      <c r="G58" s="2"/>
      <c r="H58" s="2"/>
      <c r="K58" s="2"/>
      <c r="L58" s="2"/>
      <c r="M58" s="120">
        <f>SUBTOTAL(101,Zapasy20202021[Umístění LIT])</f>
        <v>11.01923076923077</v>
      </c>
      <c r="W58" s="2" t="s">
        <v>6327</v>
      </c>
      <c r="X58" s="2" t="s">
        <v>6328</v>
      </c>
      <c r="Y58" s="2" t="s">
        <v>6329</v>
      </c>
      <c r="Z58" s="2" t="s">
        <v>6330</v>
      </c>
      <c r="AA58" s="2"/>
      <c r="AK58" s="8">
        <f>SUBTOTAL(103,Zapasy20202021[Sestava])</f>
        <v>55</v>
      </c>
    </row>
    <row r="59" spans="1:37" x14ac:dyDescent="0.3">
      <c r="M59" s="60"/>
      <c r="N59" s="60"/>
      <c r="O59" s="60"/>
    </row>
    <row r="60" spans="1:37" s="168" customFormat="1" x14ac:dyDescent="0.3">
      <c r="A60"/>
      <c r="B60"/>
      <c r="C60" s="2"/>
      <c r="D60" s="2"/>
      <c r="E60" s="2"/>
      <c r="F60" s="2"/>
      <c r="G60" s="1058"/>
      <c r="H60" s="1058"/>
      <c r="I60" s="259"/>
      <c r="J60" s="259"/>
      <c r="K60" s="1058"/>
      <c r="L60" s="1058"/>
      <c r="M60" s="60"/>
      <c r="N60" s="60"/>
      <c r="O60" s="60"/>
      <c r="Q60" s="2"/>
      <c r="R60" s="2"/>
      <c r="S60" s="2"/>
      <c r="T60" s="2"/>
      <c r="U60" s="2"/>
      <c r="V60" s="242"/>
      <c r="W60" s="1058"/>
      <c r="X60" s="1058"/>
      <c r="Y60" s="1058"/>
      <c r="Z60" s="1058"/>
      <c r="AA60" s="1061"/>
      <c r="AC60" s="2"/>
      <c r="AD60" s="2"/>
      <c r="AE60" s="2"/>
      <c r="AF60" s="2"/>
      <c r="AG60" s="2"/>
      <c r="AH60" s="2"/>
      <c r="AI60" s="242"/>
      <c r="AJ60" s="8"/>
      <c r="AK60"/>
    </row>
    <row r="61" spans="1:37" s="168" customFormat="1" x14ac:dyDescent="0.3">
      <c r="A61"/>
      <c r="B61"/>
      <c r="C61" s="2"/>
      <c r="D61" s="2"/>
      <c r="E61" s="2"/>
      <c r="F61" s="2"/>
      <c r="G61" s="1058"/>
      <c r="H61" s="1058"/>
      <c r="I61" s="259"/>
      <c r="J61" s="259"/>
      <c r="K61" s="1058"/>
      <c r="L61" s="1058"/>
      <c r="M61" s="60"/>
      <c r="N61" s="60"/>
      <c r="O61" s="60"/>
      <c r="Q61" s="2"/>
      <c r="R61" s="2"/>
      <c r="S61" s="2"/>
      <c r="T61" s="2"/>
      <c r="U61" s="2"/>
      <c r="V61" s="242"/>
      <c r="W61" s="1058"/>
      <c r="X61" s="1058"/>
      <c r="Y61" s="1058"/>
      <c r="Z61" s="1058"/>
      <c r="AA61" s="1061"/>
      <c r="AC61" s="2"/>
      <c r="AD61" s="2"/>
      <c r="AE61" s="2"/>
      <c r="AF61" s="2"/>
      <c r="AG61" s="2"/>
      <c r="AH61" s="2"/>
      <c r="AI61" s="242"/>
      <c r="AJ61" s="8"/>
      <c r="AK61" s="2"/>
    </row>
    <row r="62" spans="1:37" x14ac:dyDescent="0.3">
      <c r="M62" s="60"/>
      <c r="N62" s="60"/>
      <c r="O62" s="60"/>
      <c r="AK62" s="2"/>
    </row>
    <row r="63" spans="1:37" s="168" customFormat="1" x14ac:dyDescent="0.3">
      <c r="A63"/>
      <c r="B63"/>
      <c r="C63" s="2"/>
      <c r="D63" s="2"/>
      <c r="E63" s="2"/>
      <c r="F63" s="2"/>
      <c r="G63" s="1058"/>
      <c r="H63" s="1058"/>
      <c r="I63" s="259"/>
      <c r="J63" s="259"/>
      <c r="K63" s="1058"/>
      <c r="L63" s="1058"/>
      <c r="M63" s="2"/>
      <c r="N63" s="2"/>
      <c r="O63" s="2"/>
      <c r="Q63" s="2"/>
      <c r="R63" s="2"/>
      <c r="S63" s="2"/>
      <c r="T63" s="2"/>
      <c r="U63" s="2"/>
      <c r="V63" s="242"/>
      <c r="W63" s="1058"/>
      <c r="X63" s="1058"/>
      <c r="Y63" s="1058"/>
      <c r="Z63" s="1058"/>
      <c r="AA63" s="1061"/>
      <c r="AC63" s="2"/>
      <c r="AD63" s="2"/>
      <c r="AE63" s="2"/>
      <c r="AF63" s="2"/>
      <c r="AG63" s="2"/>
      <c r="AH63" s="2"/>
      <c r="AI63" s="242"/>
      <c r="AJ63" s="8"/>
      <c r="AK63"/>
    </row>
    <row r="64" spans="1:37" s="168" customFormat="1" x14ac:dyDescent="0.3">
      <c r="A64"/>
      <c r="B64"/>
      <c r="C64" s="2"/>
      <c r="D64" s="2"/>
      <c r="E64" s="2"/>
      <c r="F64" s="2"/>
      <c r="G64" s="1058"/>
      <c r="H64" s="1058"/>
      <c r="I64" s="259"/>
      <c r="J64" s="259"/>
      <c r="K64" s="1058"/>
      <c r="L64" s="1058"/>
      <c r="M64" s="60"/>
      <c r="N64" s="60"/>
      <c r="O64" s="60"/>
      <c r="Q64" s="2"/>
      <c r="R64" s="2"/>
      <c r="S64" s="2"/>
      <c r="T64" s="2"/>
      <c r="U64" s="2"/>
      <c r="V64" s="242"/>
      <c r="W64" s="1058"/>
      <c r="X64" s="1058"/>
      <c r="Y64" s="1058"/>
      <c r="Z64" s="1058"/>
      <c r="AA64" s="1061"/>
      <c r="AC64" s="2"/>
      <c r="AD64" s="2"/>
      <c r="AE64" s="2"/>
      <c r="AF64" s="2"/>
      <c r="AG64" s="2"/>
      <c r="AH64" s="2"/>
      <c r="AI64" s="242"/>
      <c r="AJ64" s="8"/>
      <c r="AK64" s="2"/>
    </row>
    <row r="65" spans="1:37" s="168" customFormat="1" x14ac:dyDescent="0.3">
      <c r="A65"/>
      <c r="B65"/>
      <c r="C65" s="2"/>
      <c r="D65" s="2"/>
      <c r="E65" s="2"/>
      <c r="F65" s="2"/>
      <c r="G65" s="1058"/>
      <c r="H65" s="1058"/>
      <c r="I65" s="259"/>
      <c r="J65" s="259"/>
      <c r="K65" s="1058"/>
      <c r="L65" s="1058"/>
      <c r="M65" s="60"/>
      <c r="N65" s="60"/>
      <c r="O65" s="60"/>
      <c r="Q65" s="2"/>
      <c r="R65" s="2"/>
      <c r="S65" s="2"/>
      <c r="T65" s="2"/>
      <c r="U65" s="2"/>
      <c r="V65" s="242"/>
      <c r="W65" s="1058"/>
      <c r="X65" s="1058"/>
      <c r="Y65" s="1058"/>
      <c r="Z65" s="1058"/>
      <c r="AA65" s="1061"/>
      <c r="AC65" s="2"/>
      <c r="AD65" s="2"/>
      <c r="AE65" s="2"/>
      <c r="AF65" s="2"/>
      <c r="AG65" s="2"/>
      <c r="AH65" s="2"/>
      <c r="AI65" s="242"/>
      <c r="AJ65" s="8"/>
      <c r="AK65" s="2"/>
    </row>
    <row r="66" spans="1:37" x14ac:dyDescent="0.3">
      <c r="M66" s="60"/>
      <c r="N66" s="60"/>
      <c r="O66" s="60"/>
      <c r="AK66" s="2"/>
    </row>
    <row r="67" spans="1:37" s="168" customFormat="1" x14ac:dyDescent="0.3">
      <c r="A67"/>
      <c r="B67"/>
      <c r="C67" s="2"/>
      <c r="D67" s="2"/>
      <c r="E67" s="2"/>
      <c r="F67" s="2"/>
      <c r="G67" s="1058"/>
      <c r="H67" s="1058"/>
      <c r="I67" s="259"/>
      <c r="J67" s="259"/>
      <c r="K67" s="1058"/>
      <c r="L67" s="1058"/>
      <c r="M67" s="2"/>
      <c r="N67" s="2"/>
      <c r="O67" s="2"/>
      <c r="Q67" s="2"/>
      <c r="R67" s="2"/>
      <c r="S67" s="2"/>
      <c r="T67" s="2"/>
      <c r="U67" s="2"/>
      <c r="V67" s="242"/>
      <c r="W67" s="1058"/>
      <c r="X67" s="1058"/>
      <c r="Y67" s="1058"/>
      <c r="Z67" s="1058"/>
      <c r="AA67" s="1061"/>
      <c r="AC67" s="2"/>
      <c r="AD67" s="2"/>
      <c r="AE67" s="2"/>
      <c r="AF67" s="2"/>
      <c r="AG67" s="2"/>
      <c r="AH67" s="2"/>
      <c r="AI67" s="242"/>
      <c r="AJ67" s="8"/>
      <c r="AK67"/>
    </row>
    <row r="68" spans="1:37" x14ac:dyDescent="0.3">
      <c r="M68" s="60"/>
      <c r="N68" s="60"/>
      <c r="O68" s="60"/>
      <c r="AK68" s="2"/>
    </row>
    <row r="69" spans="1:37" s="168" customFormat="1" x14ac:dyDescent="0.3">
      <c r="A69"/>
      <c r="B69"/>
      <c r="C69" s="2"/>
      <c r="D69" s="2"/>
      <c r="E69" s="2"/>
      <c r="F69" s="2"/>
      <c r="G69" s="1058"/>
      <c r="H69" s="1058"/>
      <c r="I69" s="259"/>
      <c r="J69" s="259"/>
      <c r="K69" s="1058"/>
      <c r="L69" s="1058"/>
      <c r="M69" s="2"/>
      <c r="N69" s="2"/>
      <c r="O69" s="2"/>
      <c r="Q69" s="2"/>
      <c r="R69" s="2"/>
      <c r="S69" s="2"/>
      <c r="T69" s="2"/>
      <c r="U69" s="2"/>
      <c r="V69" s="242"/>
      <c r="W69" s="1058"/>
      <c r="X69" s="1058"/>
      <c r="Y69" s="1058"/>
      <c r="Z69" s="1058"/>
      <c r="AA69" s="1061"/>
      <c r="AC69" s="2"/>
      <c r="AD69" s="2"/>
      <c r="AE69" s="2"/>
      <c r="AF69" s="2"/>
      <c r="AG69" s="2"/>
      <c r="AH69" s="2"/>
      <c r="AI69" s="242"/>
      <c r="AJ69" s="8"/>
      <c r="AK69"/>
    </row>
    <row r="70" spans="1:37" x14ac:dyDescent="0.3">
      <c r="M70" s="60"/>
      <c r="N70" s="60"/>
      <c r="O70" s="60"/>
      <c r="AK70" s="2"/>
    </row>
  </sheetData>
  <mergeCells count="5">
    <mergeCell ref="AB1:AI1"/>
    <mergeCell ref="P1:Q1"/>
    <mergeCell ref="R1:S1"/>
    <mergeCell ref="T1:V1"/>
    <mergeCell ref="W1:AA1"/>
  </mergeCells>
  <phoneticPr fontId="79" type="noConversion"/>
  <conditionalFormatting sqref="D54:D57 F57 F59:F205">
    <cfRule type="cellIs" dxfId="209" priority="1" operator="equal">
      <formula>"D"</formula>
    </cfRule>
  </conditionalFormatting>
  <conditionalFormatting sqref="F3:F10">
    <cfRule type="cellIs" dxfId="208" priority="4" operator="equal">
      <formula>"D"</formula>
    </cfRule>
  </conditionalFormatting>
  <conditionalFormatting sqref="F12:F51">
    <cfRule type="cellIs" dxfId="207" priority="3" operator="equal">
      <formula>"D"</formula>
    </cfRule>
  </conditionalFormatting>
  <conditionalFormatting sqref="F53:F54">
    <cfRule type="cellIs" dxfId="206" priority="2" operator="equal">
      <formula>"D"</formula>
    </cfRule>
  </conditionalFormatting>
  <pageMargins left="0.7" right="0.7" top="0.78740157499999996" bottom="0.78740157499999996" header="0.3" footer="0.3"/>
  <pageSetup orientation="portrait" r:id="rId1"/>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172"/>
  <sheetViews>
    <sheetView topLeftCell="A80" workbookViewId="0">
      <selection activeCell="L12" sqref="L12"/>
    </sheetView>
  </sheetViews>
  <sheetFormatPr defaultRowHeight="14.4" x14ac:dyDescent="0.3"/>
  <cols>
    <col min="1" max="1" width="19.88671875" style="2" customWidth="1"/>
    <col min="2" max="2" width="22.5546875" customWidth="1"/>
    <col min="3" max="3" width="24.6640625" style="2" customWidth="1"/>
    <col min="4" max="4" width="17.44140625" customWidth="1"/>
    <col min="5" max="5" width="14.88671875" customWidth="1"/>
    <col min="6" max="6" width="18.5546875" customWidth="1"/>
    <col min="7" max="7" width="17.44140625" customWidth="1"/>
    <col min="8" max="9" width="15.109375" customWidth="1"/>
    <col min="10" max="10" width="20.109375" customWidth="1"/>
    <col min="11" max="11" width="17.6640625" customWidth="1"/>
    <col min="12" max="12" width="17.88671875" customWidth="1"/>
    <col min="13" max="14" width="15.109375" customWidth="1"/>
  </cols>
  <sheetData>
    <row r="1" spans="1:17" s="24" customFormat="1" x14ac:dyDescent="0.3">
      <c r="N1" s="26"/>
      <c r="O1" s="26"/>
      <c r="P1" s="26"/>
      <c r="Q1" s="26"/>
    </row>
    <row r="2" spans="1:17" s="409" customFormat="1" ht="23.4" x14ac:dyDescent="0.3">
      <c r="C2" s="409" t="s">
        <v>151</v>
      </c>
      <c r="D2" s="409" t="s">
        <v>152</v>
      </c>
      <c r="F2" s="409" t="s">
        <v>2927</v>
      </c>
    </row>
    <row r="3" spans="1:17" s="24" customFormat="1" ht="15" thickBot="1" x14ac:dyDescent="0.35">
      <c r="O3"/>
      <c r="P3"/>
      <c r="Q3"/>
    </row>
    <row r="4" spans="1:17" s="24" customFormat="1" ht="15" thickBot="1" x14ac:dyDescent="0.35">
      <c r="A4" s="484" t="s">
        <v>141</v>
      </c>
      <c r="B4" s="485" t="s">
        <v>140</v>
      </c>
      <c r="C4" s="486" t="s">
        <v>3631</v>
      </c>
      <c r="D4" s="486" t="s">
        <v>1164</v>
      </c>
      <c r="E4" s="486" t="s">
        <v>147</v>
      </c>
      <c r="F4" s="486" t="s">
        <v>148</v>
      </c>
      <c r="G4" s="486" t="s">
        <v>149</v>
      </c>
      <c r="H4" s="486" t="s">
        <v>150</v>
      </c>
      <c r="I4" s="486" t="s">
        <v>1182</v>
      </c>
      <c r="J4" s="486" t="s">
        <v>156</v>
      </c>
      <c r="K4" s="486" t="s">
        <v>218</v>
      </c>
      <c r="L4" s="486" t="s">
        <v>155</v>
      </c>
      <c r="M4" s="487" t="s">
        <v>138</v>
      </c>
      <c r="N4" s="488" t="s">
        <v>126</v>
      </c>
      <c r="O4"/>
      <c r="P4"/>
      <c r="Q4"/>
    </row>
    <row r="5" spans="1:17" ht="15" thickBot="1" x14ac:dyDescent="0.35">
      <c r="A5" s="489" t="s">
        <v>122</v>
      </c>
      <c r="B5" s="483" t="s">
        <v>80</v>
      </c>
      <c r="C5" s="342" t="s">
        <v>79</v>
      </c>
      <c r="D5" s="342">
        <v>51</v>
      </c>
      <c r="E5" s="342">
        <v>14</v>
      </c>
      <c r="F5" s="342">
        <v>23</v>
      </c>
      <c r="G5" s="342">
        <v>37</v>
      </c>
      <c r="H5" s="341">
        <f t="shared" ref="H5:H35" si="0">G5/D5</f>
        <v>0.72549019607843135</v>
      </c>
      <c r="I5" s="342">
        <v>2</v>
      </c>
      <c r="J5" s="482">
        <f t="shared" ref="J5:J35" si="1">I5/D5</f>
        <v>3.9215686274509803E-2</v>
      </c>
      <c r="K5" s="342">
        <v>114</v>
      </c>
      <c r="L5" s="342">
        <v>54</v>
      </c>
      <c r="M5" s="353">
        <v>32.927083333333336</v>
      </c>
      <c r="N5" s="344">
        <v>0.64513888888888882</v>
      </c>
    </row>
    <row r="6" spans="1:17" ht="15" thickBot="1" x14ac:dyDescent="0.35">
      <c r="A6" s="348" t="s">
        <v>4031</v>
      </c>
      <c r="B6" s="481" t="s">
        <v>80</v>
      </c>
      <c r="C6" s="333" t="s">
        <v>79</v>
      </c>
      <c r="D6" s="333">
        <v>51</v>
      </c>
      <c r="E6" s="333">
        <v>12</v>
      </c>
      <c r="F6" s="333">
        <v>22</v>
      </c>
      <c r="G6" s="333">
        <v>34</v>
      </c>
      <c r="H6" s="341">
        <f t="shared" si="0"/>
        <v>0.66666666666666663</v>
      </c>
      <c r="I6" s="333">
        <v>5</v>
      </c>
      <c r="J6" s="482">
        <f t="shared" si="1"/>
        <v>9.8039215686274508E-2</v>
      </c>
      <c r="K6" s="333">
        <v>101</v>
      </c>
      <c r="L6" s="333">
        <v>6</v>
      </c>
      <c r="M6" s="336">
        <v>36.317361111111111</v>
      </c>
      <c r="N6" s="335">
        <v>0.71180555555555547</v>
      </c>
    </row>
    <row r="7" spans="1:17" ht="15" thickBot="1" x14ac:dyDescent="0.35">
      <c r="A7" s="348" t="s">
        <v>3614</v>
      </c>
      <c r="B7" s="481" t="s">
        <v>80</v>
      </c>
      <c r="C7" s="333" t="s">
        <v>79</v>
      </c>
      <c r="D7" s="333">
        <v>52</v>
      </c>
      <c r="E7" s="333">
        <v>18</v>
      </c>
      <c r="F7" s="333">
        <v>14</v>
      </c>
      <c r="G7" s="333">
        <v>32</v>
      </c>
      <c r="H7" s="341">
        <f t="shared" si="0"/>
        <v>0.61538461538461542</v>
      </c>
      <c r="I7" s="333">
        <v>1</v>
      </c>
      <c r="J7" s="482">
        <f t="shared" si="1"/>
        <v>1.9230769230769232E-2</v>
      </c>
      <c r="K7" s="333">
        <v>134</v>
      </c>
      <c r="L7" s="333">
        <v>24</v>
      </c>
      <c r="M7" s="336">
        <v>38.495138888888889</v>
      </c>
      <c r="N7" s="335">
        <v>0.7402777777777777</v>
      </c>
    </row>
    <row r="8" spans="1:17" ht="15" thickBot="1" x14ac:dyDescent="0.35">
      <c r="A8" s="348" t="s">
        <v>124</v>
      </c>
      <c r="B8" s="481" t="s">
        <v>80</v>
      </c>
      <c r="C8" s="333" t="s">
        <v>79</v>
      </c>
      <c r="D8" s="333">
        <v>48</v>
      </c>
      <c r="E8" s="333">
        <v>12</v>
      </c>
      <c r="F8" s="333">
        <v>20</v>
      </c>
      <c r="G8" s="333">
        <v>32</v>
      </c>
      <c r="H8" s="341">
        <f t="shared" si="0"/>
        <v>0.66666666666666663</v>
      </c>
      <c r="I8" s="333">
        <v>6</v>
      </c>
      <c r="J8" s="482">
        <f t="shared" si="1"/>
        <v>0.125</v>
      </c>
      <c r="K8" s="333">
        <v>93</v>
      </c>
      <c r="L8" s="333">
        <v>18</v>
      </c>
      <c r="M8" s="336">
        <v>30.321527777777778</v>
      </c>
      <c r="N8" s="335">
        <v>0.63124999999999998</v>
      </c>
    </row>
    <row r="9" spans="1:17" ht="15" thickBot="1" x14ac:dyDescent="0.35">
      <c r="A9" s="348" t="s">
        <v>3617</v>
      </c>
      <c r="B9" s="481" t="s">
        <v>80</v>
      </c>
      <c r="C9" s="333" t="s">
        <v>79</v>
      </c>
      <c r="D9" s="333">
        <v>48</v>
      </c>
      <c r="E9" s="333">
        <v>11</v>
      </c>
      <c r="F9" s="333">
        <v>19</v>
      </c>
      <c r="G9" s="333">
        <v>30</v>
      </c>
      <c r="H9" s="341">
        <f t="shared" si="0"/>
        <v>0.625</v>
      </c>
      <c r="I9" s="333">
        <v>9</v>
      </c>
      <c r="J9" s="482">
        <f t="shared" si="1"/>
        <v>0.1875</v>
      </c>
      <c r="K9" s="333">
        <v>101</v>
      </c>
      <c r="L9" s="333">
        <v>51</v>
      </c>
      <c r="M9" s="336">
        <v>29.492361111111112</v>
      </c>
      <c r="N9" s="335">
        <v>0.61388888888888882</v>
      </c>
    </row>
    <row r="10" spans="1:17" ht="15" thickBot="1" x14ac:dyDescent="0.35">
      <c r="A10" s="348" t="s">
        <v>870</v>
      </c>
      <c r="B10" s="481" t="s">
        <v>80</v>
      </c>
      <c r="C10" s="333" t="s">
        <v>88</v>
      </c>
      <c r="D10" s="333">
        <v>52</v>
      </c>
      <c r="E10" s="333">
        <v>10</v>
      </c>
      <c r="F10" s="333">
        <v>14</v>
      </c>
      <c r="G10" s="333">
        <v>24</v>
      </c>
      <c r="H10" s="341">
        <f t="shared" si="0"/>
        <v>0.46153846153846156</v>
      </c>
      <c r="I10" s="333">
        <v>5</v>
      </c>
      <c r="J10" s="482">
        <f t="shared" si="1"/>
        <v>9.6153846153846159E-2</v>
      </c>
      <c r="K10" s="333">
        <v>115</v>
      </c>
      <c r="L10" s="333">
        <v>18</v>
      </c>
      <c r="M10" s="336">
        <v>49.03125</v>
      </c>
      <c r="N10" s="335">
        <v>0.94236111111111109</v>
      </c>
    </row>
    <row r="11" spans="1:17" ht="15" thickBot="1" x14ac:dyDescent="0.35">
      <c r="A11" s="348" t="s">
        <v>100</v>
      </c>
      <c r="B11" s="481" t="s">
        <v>80</v>
      </c>
      <c r="C11" s="333" t="s">
        <v>79</v>
      </c>
      <c r="D11" s="333">
        <v>52</v>
      </c>
      <c r="E11" s="333">
        <v>10</v>
      </c>
      <c r="F11" s="333">
        <v>14</v>
      </c>
      <c r="G11" s="333">
        <v>24</v>
      </c>
      <c r="H11" s="341">
        <f t="shared" si="0"/>
        <v>0.46153846153846156</v>
      </c>
      <c r="I11" s="333">
        <v>0</v>
      </c>
      <c r="J11" s="482">
        <f t="shared" si="1"/>
        <v>0</v>
      </c>
      <c r="K11" s="333">
        <v>79</v>
      </c>
      <c r="L11" s="333">
        <v>12</v>
      </c>
      <c r="M11" s="336">
        <v>33.838194444444447</v>
      </c>
      <c r="N11" s="335">
        <v>0.65069444444444446</v>
      </c>
    </row>
    <row r="12" spans="1:17" ht="15" thickBot="1" x14ac:dyDescent="0.35">
      <c r="A12" s="348" t="s">
        <v>4032</v>
      </c>
      <c r="B12" s="481" t="s">
        <v>80</v>
      </c>
      <c r="C12" s="333" t="s">
        <v>88</v>
      </c>
      <c r="D12" s="333">
        <v>52</v>
      </c>
      <c r="E12" s="333">
        <v>12</v>
      </c>
      <c r="F12" s="333">
        <v>6</v>
      </c>
      <c r="G12" s="333">
        <v>18</v>
      </c>
      <c r="H12" s="341">
        <f t="shared" si="0"/>
        <v>0.34615384615384615</v>
      </c>
      <c r="I12" s="333">
        <v>4</v>
      </c>
      <c r="J12" s="482">
        <f t="shared" si="1"/>
        <v>7.6923076923076927E-2</v>
      </c>
      <c r="K12" s="333">
        <v>144</v>
      </c>
      <c r="L12" s="333">
        <v>62</v>
      </c>
      <c r="M12" s="336">
        <v>48.934722222222227</v>
      </c>
      <c r="N12" s="335">
        <v>0.94097222222222221</v>
      </c>
    </row>
    <row r="13" spans="1:17" ht="15" thickBot="1" x14ac:dyDescent="0.35">
      <c r="A13" s="348" t="s">
        <v>4033</v>
      </c>
      <c r="B13" s="481" t="s">
        <v>80</v>
      </c>
      <c r="C13" s="333" t="s">
        <v>88</v>
      </c>
      <c r="D13" s="333">
        <v>48</v>
      </c>
      <c r="E13" s="333">
        <v>5</v>
      </c>
      <c r="F13" s="333">
        <v>12</v>
      </c>
      <c r="G13" s="333">
        <v>17</v>
      </c>
      <c r="H13" s="341">
        <f t="shared" si="0"/>
        <v>0.35416666666666669</v>
      </c>
      <c r="I13" s="333">
        <v>0</v>
      </c>
      <c r="J13" s="482">
        <f t="shared" si="1"/>
        <v>0</v>
      </c>
      <c r="K13" s="333">
        <v>88</v>
      </c>
      <c r="L13" s="333">
        <v>18</v>
      </c>
      <c r="M13" s="336">
        <v>40.484722222222224</v>
      </c>
      <c r="N13" s="335">
        <v>0.84305555555555556</v>
      </c>
    </row>
    <row r="14" spans="1:17" ht="15" thickBot="1" x14ac:dyDescent="0.35">
      <c r="A14" s="348" t="s">
        <v>108</v>
      </c>
      <c r="B14" s="481" t="s">
        <v>80</v>
      </c>
      <c r="C14" s="333" t="s">
        <v>79</v>
      </c>
      <c r="D14" s="333">
        <v>36</v>
      </c>
      <c r="E14" s="333">
        <v>3</v>
      </c>
      <c r="F14" s="333">
        <v>8</v>
      </c>
      <c r="G14" s="333">
        <v>11</v>
      </c>
      <c r="H14" s="341">
        <f t="shared" si="0"/>
        <v>0.30555555555555558</v>
      </c>
      <c r="I14" s="333">
        <v>-4</v>
      </c>
      <c r="J14" s="482">
        <f t="shared" si="1"/>
        <v>-0.1111111111111111</v>
      </c>
      <c r="K14" s="333">
        <v>22</v>
      </c>
      <c r="L14" s="333">
        <v>8</v>
      </c>
      <c r="M14" s="336">
        <v>26.238194444444446</v>
      </c>
      <c r="N14" s="335">
        <v>0.7284722222222223</v>
      </c>
    </row>
    <row r="15" spans="1:17" ht="15" thickBot="1" x14ac:dyDescent="0.35">
      <c r="A15" s="348" t="s">
        <v>4034</v>
      </c>
      <c r="B15" s="481" t="s">
        <v>80</v>
      </c>
      <c r="C15" s="333" t="s">
        <v>88</v>
      </c>
      <c r="D15" s="333">
        <v>50</v>
      </c>
      <c r="E15" s="333">
        <v>0</v>
      </c>
      <c r="F15" s="333">
        <v>11</v>
      </c>
      <c r="G15" s="333">
        <v>11</v>
      </c>
      <c r="H15" s="341">
        <f t="shared" si="0"/>
        <v>0.22</v>
      </c>
      <c r="I15" s="333">
        <v>-14</v>
      </c>
      <c r="J15" s="482">
        <f t="shared" si="1"/>
        <v>-0.28000000000000003</v>
      </c>
      <c r="K15" s="333">
        <v>72</v>
      </c>
      <c r="L15" s="333">
        <v>16</v>
      </c>
      <c r="M15" s="336">
        <v>38.923611111111107</v>
      </c>
      <c r="N15" s="335">
        <v>0.77847222222222223</v>
      </c>
    </row>
    <row r="16" spans="1:17" ht="15" thickBot="1" x14ac:dyDescent="0.35">
      <c r="A16" s="348" t="s">
        <v>3622</v>
      </c>
      <c r="B16" s="481" t="s">
        <v>80</v>
      </c>
      <c r="C16" s="333" t="s">
        <v>79</v>
      </c>
      <c r="D16" s="333">
        <v>52</v>
      </c>
      <c r="E16" s="333">
        <v>6</v>
      </c>
      <c r="F16" s="333">
        <v>4</v>
      </c>
      <c r="G16" s="333">
        <v>10</v>
      </c>
      <c r="H16" s="341">
        <f t="shared" si="0"/>
        <v>0.19230769230769232</v>
      </c>
      <c r="I16" s="333">
        <v>-12</v>
      </c>
      <c r="J16" s="482">
        <f t="shared" si="1"/>
        <v>-0.23076923076923078</v>
      </c>
      <c r="K16" s="333">
        <v>85</v>
      </c>
      <c r="L16" s="333">
        <v>28</v>
      </c>
      <c r="M16" s="336">
        <v>30.525000000000002</v>
      </c>
      <c r="N16" s="335">
        <v>0.58680555555555558</v>
      </c>
    </row>
    <row r="17" spans="1:14" ht="15" thickBot="1" x14ac:dyDescent="0.35">
      <c r="A17" s="348" t="s">
        <v>4035</v>
      </c>
      <c r="B17" s="481" t="s">
        <v>80</v>
      </c>
      <c r="C17" s="333" t="s">
        <v>88</v>
      </c>
      <c r="D17" s="333">
        <v>45</v>
      </c>
      <c r="E17" s="333">
        <v>4</v>
      </c>
      <c r="F17" s="333">
        <v>4</v>
      </c>
      <c r="G17" s="333">
        <v>8</v>
      </c>
      <c r="H17" s="341">
        <f t="shared" si="0"/>
        <v>0.17777777777777778</v>
      </c>
      <c r="I17" s="333">
        <v>6</v>
      </c>
      <c r="J17" s="482">
        <f t="shared" si="1"/>
        <v>0.13333333333333333</v>
      </c>
      <c r="K17" s="333">
        <v>63</v>
      </c>
      <c r="L17" s="333">
        <v>47</v>
      </c>
      <c r="M17" s="336">
        <v>34.27986111111111</v>
      </c>
      <c r="N17" s="335">
        <v>0.76111111111111107</v>
      </c>
    </row>
    <row r="18" spans="1:14" ht="15" thickBot="1" x14ac:dyDescent="0.35">
      <c r="A18" s="348" t="s">
        <v>97</v>
      </c>
      <c r="B18" s="481" t="s">
        <v>80</v>
      </c>
      <c r="C18" s="333" t="s">
        <v>79</v>
      </c>
      <c r="D18" s="333">
        <v>47</v>
      </c>
      <c r="E18" s="333">
        <v>2</v>
      </c>
      <c r="F18" s="333">
        <v>5</v>
      </c>
      <c r="G18" s="333">
        <v>7</v>
      </c>
      <c r="H18" s="341">
        <f t="shared" si="0"/>
        <v>0.14893617021276595</v>
      </c>
      <c r="I18" s="333">
        <v>-2</v>
      </c>
      <c r="J18" s="482">
        <f t="shared" si="1"/>
        <v>-4.2553191489361701E-2</v>
      </c>
      <c r="K18" s="333">
        <v>56</v>
      </c>
      <c r="L18" s="333">
        <v>8</v>
      </c>
      <c r="M18" s="336">
        <v>24.246527777777775</v>
      </c>
      <c r="N18" s="335">
        <v>0.51527777777777783</v>
      </c>
    </row>
    <row r="19" spans="1:14" ht="15" thickBot="1" x14ac:dyDescent="0.35">
      <c r="A19" s="348" t="s">
        <v>83</v>
      </c>
      <c r="B19" s="481" t="s">
        <v>80</v>
      </c>
      <c r="C19" s="333" t="s">
        <v>79</v>
      </c>
      <c r="D19" s="333">
        <v>31</v>
      </c>
      <c r="E19" s="333">
        <v>1</v>
      </c>
      <c r="F19" s="333">
        <v>6</v>
      </c>
      <c r="G19" s="333">
        <v>7</v>
      </c>
      <c r="H19" s="341">
        <f t="shared" si="0"/>
        <v>0.22580645161290322</v>
      </c>
      <c r="I19" s="333">
        <v>1</v>
      </c>
      <c r="J19" s="482">
        <f t="shared" si="1"/>
        <v>3.2258064516129031E-2</v>
      </c>
      <c r="K19" s="333">
        <v>10</v>
      </c>
      <c r="L19" s="333">
        <v>40</v>
      </c>
      <c r="M19" s="336">
        <v>11.415972222222223</v>
      </c>
      <c r="N19" s="335">
        <v>0.36805555555555558</v>
      </c>
    </row>
    <row r="20" spans="1:14" ht="15" thickBot="1" x14ac:dyDescent="0.35">
      <c r="A20" s="348" t="s">
        <v>4036</v>
      </c>
      <c r="B20" s="481" t="s">
        <v>80</v>
      </c>
      <c r="C20" s="333" t="s">
        <v>79</v>
      </c>
      <c r="D20" s="333">
        <v>41</v>
      </c>
      <c r="E20" s="333">
        <v>2</v>
      </c>
      <c r="F20" s="333">
        <v>3</v>
      </c>
      <c r="G20" s="333">
        <v>5</v>
      </c>
      <c r="H20" s="341">
        <f t="shared" si="0"/>
        <v>0.12195121951219512</v>
      </c>
      <c r="I20" s="333">
        <v>-8</v>
      </c>
      <c r="J20" s="482">
        <f t="shared" si="1"/>
        <v>-0.1951219512195122</v>
      </c>
      <c r="K20" s="333">
        <v>79</v>
      </c>
      <c r="L20" s="333">
        <v>8</v>
      </c>
      <c r="M20" s="336">
        <v>24.940972222222225</v>
      </c>
      <c r="N20" s="335">
        <v>0.60763888888888895</v>
      </c>
    </row>
    <row r="21" spans="1:14" ht="15" thickBot="1" x14ac:dyDescent="0.35">
      <c r="A21" s="348" t="s">
        <v>3624</v>
      </c>
      <c r="B21" s="481" t="s">
        <v>80</v>
      </c>
      <c r="C21" s="333" t="s">
        <v>88</v>
      </c>
      <c r="D21" s="333">
        <v>38</v>
      </c>
      <c r="E21" s="333">
        <v>2</v>
      </c>
      <c r="F21" s="333">
        <v>2</v>
      </c>
      <c r="G21" s="333">
        <v>4</v>
      </c>
      <c r="H21" s="341">
        <f t="shared" si="0"/>
        <v>0.10526315789473684</v>
      </c>
      <c r="I21" s="333">
        <v>-6</v>
      </c>
      <c r="J21" s="482">
        <f t="shared" si="1"/>
        <v>-0.15789473684210525</v>
      </c>
      <c r="K21" s="333">
        <v>38</v>
      </c>
      <c r="L21" s="333">
        <v>40</v>
      </c>
      <c r="M21" s="336">
        <v>22.086111111111112</v>
      </c>
      <c r="N21" s="335">
        <v>0.5805555555555556</v>
      </c>
    </row>
    <row r="22" spans="1:14" ht="15" thickBot="1" x14ac:dyDescent="0.35">
      <c r="A22" s="348" t="s">
        <v>4037</v>
      </c>
      <c r="B22" s="481" t="s">
        <v>80</v>
      </c>
      <c r="C22" s="333" t="s">
        <v>79</v>
      </c>
      <c r="D22" s="333">
        <v>8</v>
      </c>
      <c r="E22" s="333">
        <v>3</v>
      </c>
      <c r="F22" s="333">
        <v>0</v>
      </c>
      <c r="G22" s="333">
        <v>3</v>
      </c>
      <c r="H22" s="341">
        <f t="shared" si="0"/>
        <v>0.375</v>
      </c>
      <c r="I22" s="333">
        <v>0</v>
      </c>
      <c r="J22" s="482">
        <f t="shared" si="1"/>
        <v>0</v>
      </c>
      <c r="K22" s="333">
        <v>6</v>
      </c>
      <c r="L22" s="333">
        <v>0</v>
      </c>
      <c r="M22" s="336">
        <v>3.09375</v>
      </c>
      <c r="N22" s="335">
        <v>0.38611111111111113</v>
      </c>
    </row>
    <row r="23" spans="1:14" ht="15" thickBot="1" x14ac:dyDescent="0.35">
      <c r="A23" s="348" t="s">
        <v>3620</v>
      </c>
      <c r="B23" s="481" t="s">
        <v>80</v>
      </c>
      <c r="C23" s="333" t="s">
        <v>88</v>
      </c>
      <c r="D23" s="333">
        <v>29</v>
      </c>
      <c r="E23" s="333">
        <v>1</v>
      </c>
      <c r="F23" s="333">
        <v>2</v>
      </c>
      <c r="G23" s="333">
        <v>3</v>
      </c>
      <c r="H23" s="341">
        <f t="shared" si="0"/>
        <v>0.10344827586206896</v>
      </c>
      <c r="I23" s="333">
        <v>-10</v>
      </c>
      <c r="J23" s="482">
        <f t="shared" si="1"/>
        <v>-0.34482758620689657</v>
      </c>
      <c r="K23" s="333">
        <v>27</v>
      </c>
      <c r="L23" s="333">
        <v>6</v>
      </c>
      <c r="M23" s="336">
        <v>12.990277777777777</v>
      </c>
      <c r="N23" s="335">
        <v>0.44791666666666669</v>
      </c>
    </row>
    <row r="24" spans="1:14" ht="15" thickBot="1" x14ac:dyDescent="0.35">
      <c r="A24" s="348" t="s">
        <v>1176</v>
      </c>
      <c r="B24" s="481" t="s">
        <v>80</v>
      </c>
      <c r="C24" s="333" t="s">
        <v>79</v>
      </c>
      <c r="D24" s="333">
        <v>12</v>
      </c>
      <c r="E24" s="333">
        <v>0</v>
      </c>
      <c r="F24" s="333">
        <v>3</v>
      </c>
      <c r="G24" s="333">
        <v>3</v>
      </c>
      <c r="H24" s="341">
        <f t="shared" si="0"/>
        <v>0.25</v>
      </c>
      <c r="I24" s="333">
        <v>-2</v>
      </c>
      <c r="J24" s="482">
        <f t="shared" si="1"/>
        <v>-0.16666666666666666</v>
      </c>
      <c r="K24" s="333">
        <v>10</v>
      </c>
      <c r="L24" s="333">
        <v>0</v>
      </c>
      <c r="M24" s="336">
        <v>5.9930555555555562</v>
      </c>
      <c r="N24" s="335">
        <v>0.4993055555555555</v>
      </c>
    </row>
    <row r="25" spans="1:14" ht="15" thickBot="1" x14ac:dyDescent="0.35">
      <c r="A25" s="348" t="s">
        <v>4038</v>
      </c>
      <c r="B25" s="481" t="s">
        <v>80</v>
      </c>
      <c r="C25" s="333" t="s">
        <v>79</v>
      </c>
      <c r="D25" s="333">
        <v>19</v>
      </c>
      <c r="E25" s="333">
        <v>2</v>
      </c>
      <c r="F25" s="333">
        <v>0</v>
      </c>
      <c r="G25" s="333">
        <v>2</v>
      </c>
      <c r="H25" s="341">
        <f t="shared" si="0"/>
        <v>0.10526315789473684</v>
      </c>
      <c r="I25" s="333">
        <v>-3</v>
      </c>
      <c r="J25" s="482">
        <f t="shared" si="1"/>
        <v>-0.15789473684210525</v>
      </c>
      <c r="K25" s="333">
        <v>28</v>
      </c>
      <c r="L25" s="333">
        <v>10</v>
      </c>
      <c r="M25" s="336">
        <v>12.259722222222223</v>
      </c>
      <c r="N25" s="335">
        <v>0.64513888888888882</v>
      </c>
    </row>
    <row r="26" spans="1:14" ht="15" thickBot="1" x14ac:dyDescent="0.35">
      <c r="A26" s="348" t="s">
        <v>112</v>
      </c>
      <c r="B26" s="481" t="s">
        <v>80</v>
      </c>
      <c r="C26" s="333" t="s">
        <v>79</v>
      </c>
      <c r="D26" s="333">
        <v>15</v>
      </c>
      <c r="E26" s="333">
        <v>0</v>
      </c>
      <c r="F26" s="333">
        <v>2</v>
      </c>
      <c r="G26" s="333">
        <v>2</v>
      </c>
      <c r="H26" s="341">
        <f t="shared" si="0"/>
        <v>0.13333333333333333</v>
      </c>
      <c r="I26" s="333">
        <v>-2</v>
      </c>
      <c r="J26" s="482">
        <f t="shared" si="1"/>
        <v>-0.13333333333333333</v>
      </c>
      <c r="K26" s="333">
        <v>28</v>
      </c>
      <c r="L26" s="333">
        <v>4</v>
      </c>
      <c r="M26" s="336">
        <v>7.9624999999999995</v>
      </c>
      <c r="N26" s="335">
        <v>0.53055555555555556</v>
      </c>
    </row>
    <row r="27" spans="1:14" ht="15" thickBot="1" x14ac:dyDescent="0.35">
      <c r="A27" s="348" t="s">
        <v>869</v>
      </c>
      <c r="B27" s="481" t="s">
        <v>80</v>
      </c>
      <c r="C27" s="333" t="s">
        <v>79</v>
      </c>
      <c r="D27" s="333">
        <v>15</v>
      </c>
      <c r="E27" s="333">
        <v>0</v>
      </c>
      <c r="F27" s="333">
        <v>2</v>
      </c>
      <c r="G27" s="333">
        <v>2</v>
      </c>
      <c r="H27" s="341">
        <f t="shared" si="0"/>
        <v>0.13333333333333333</v>
      </c>
      <c r="I27" s="333">
        <v>-4</v>
      </c>
      <c r="J27" s="482">
        <f t="shared" si="1"/>
        <v>-0.26666666666666666</v>
      </c>
      <c r="K27" s="333">
        <v>25</v>
      </c>
      <c r="L27" s="333">
        <v>0</v>
      </c>
      <c r="M27" s="336">
        <v>7.177777777777778</v>
      </c>
      <c r="N27" s="335">
        <v>0.47847222222222219</v>
      </c>
    </row>
    <row r="28" spans="1:14" ht="15" thickBot="1" x14ac:dyDescent="0.35">
      <c r="A28" s="348" t="s">
        <v>82</v>
      </c>
      <c r="B28" s="481" t="s">
        <v>80</v>
      </c>
      <c r="C28" s="333" t="s">
        <v>79</v>
      </c>
      <c r="D28" s="333">
        <v>17</v>
      </c>
      <c r="E28" s="333">
        <v>0</v>
      </c>
      <c r="F28" s="333">
        <v>2</v>
      </c>
      <c r="G28" s="333">
        <v>2</v>
      </c>
      <c r="H28" s="341">
        <f t="shared" si="0"/>
        <v>0.11764705882352941</v>
      </c>
      <c r="I28" s="333">
        <v>-10</v>
      </c>
      <c r="J28" s="482">
        <f t="shared" si="1"/>
        <v>-0.58823529411764708</v>
      </c>
      <c r="K28" s="333">
        <v>11</v>
      </c>
      <c r="L28" s="333">
        <v>0</v>
      </c>
      <c r="M28" s="336">
        <v>7.415972222222222</v>
      </c>
      <c r="N28" s="335">
        <v>0.43611111111111112</v>
      </c>
    </row>
    <row r="29" spans="1:14" ht="15" thickBot="1" x14ac:dyDescent="0.35">
      <c r="A29" s="348" t="s">
        <v>107</v>
      </c>
      <c r="B29" s="481" t="s">
        <v>80</v>
      </c>
      <c r="C29" s="333" t="s">
        <v>88</v>
      </c>
      <c r="D29" s="333">
        <v>4</v>
      </c>
      <c r="E29" s="333">
        <v>0</v>
      </c>
      <c r="F29" s="333">
        <v>1</v>
      </c>
      <c r="G29" s="333">
        <v>1</v>
      </c>
      <c r="H29" s="341">
        <f t="shared" si="0"/>
        <v>0.25</v>
      </c>
      <c r="I29" s="333">
        <v>-1</v>
      </c>
      <c r="J29" s="482">
        <f t="shared" si="1"/>
        <v>-0.25</v>
      </c>
      <c r="K29" s="333">
        <v>4</v>
      </c>
      <c r="L29" s="333">
        <v>2</v>
      </c>
      <c r="M29" s="336">
        <v>2.3409722222222222</v>
      </c>
      <c r="N29" s="335">
        <v>0.58472222222222225</v>
      </c>
    </row>
    <row r="30" spans="1:14" ht="15" thickBot="1" x14ac:dyDescent="0.35">
      <c r="A30" s="348" t="s">
        <v>1226</v>
      </c>
      <c r="B30" s="481" t="s">
        <v>80</v>
      </c>
      <c r="C30" s="333" t="s">
        <v>79</v>
      </c>
      <c r="D30" s="333">
        <v>9</v>
      </c>
      <c r="E30" s="333">
        <v>0</v>
      </c>
      <c r="F30" s="333">
        <v>1</v>
      </c>
      <c r="G30" s="333">
        <v>1</v>
      </c>
      <c r="H30" s="341">
        <f t="shared" si="0"/>
        <v>0.1111111111111111</v>
      </c>
      <c r="I30" s="333">
        <v>-1</v>
      </c>
      <c r="J30" s="482">
        <f t="shared" si="1"/>
        <v>-0.1111111111111111</v>
      </c>
      <c r="K30" s="333">
        <v>12</v>
      </c>
      <c r="L30" s="333">
        <v>0</v>
      </c>
      <c r="M30" s="336">
        <v>3.0472222222222225</v>
      </c>
      <c r="N30" s="335">
        <v>0.33819444444444446</v>
      </c>
    </row>
    <row r="31" spans="1:14" ht="15" thickBot="1" x14ac:dyDescent="0.35">
      <c r="A31" s="348" t="s">
        <v>3615</v>
      </c>
      <c r="B31" s="481" t="s">
        <v>80</v>
      </c>
      <c r="C31" s="333" t="s">
        <v>79</v>
      </c>
      <c r="D31" s="333">
        <v>9</v>
      </c>
      <c r="E31" s="333">
        <v>0</v>
      </c>
      <c r="F31" s="333">
        <v>1</v>
      </c>
      <c r="G31" s="333">
        <v>1</v>
      </c>
      <c r="H31" s="341">
        <f t="shared" si="0"/>
        <v>0.1111111111111111</v>
      </c>
      <c r="I31" s="333">
        <v>-4</v>
      </c>
      <c r="J31" s="482">
        <f t="shared" si="1"/>
        <v>-0.44444444444444442</v>
      </c>
      <c r="K31" s="333">
        <v>19</v>
      </c>
      <c r="L31" s="333">
        <v>4</v>
      </c>
      <c r="M31" s="336">
        <v>6.6368055555555552</v>
      </c>
      <c r="N31" s="335">
        <v>0.7368055555555556</v>
      </c>
    </row>
    <row r="32" spans="1:14" ht="15" thickBot="1" x14ac:dyDescent="0.35">
      <c r="A32" s="348" t="s">
        <v>1170</v>
      </c>
      <c r="B32" s="481" t="s">
        <v>80</v>
      </c>
      <c r="C32" s="333" t="s">
        <v>79</v>
      </c>
      <c r="D32" s="333">
        <v>11</v>
      </c>
      <c r="E32" s="333">
        <v>0</v>
      </c>
      <c r="F32" s="333">
        <v>1</v>
      </c>
      <c r="G32" s="333">
        <v>1</v>
      </c>
      <c r="H32" s="341">
        <f t="shared" si="0"/>
        <v>9.0909090909090912E-2</v>
      </c>
      <c r="I32" s="333">
        <v>-5</v>
      </c>
      <c r="J32" s="482">
        <f t="shared" si="1"/>
        <v>-0.45454545454545453</v>
      </c>
      <c r="K32" s="333">
        <v>22</v>
      </c>
      <c r="L32" s="333">
        <v>14</v>
      </c>
      <c r="M32" s="336">
        <v>6.4465277777777779</v>
      </c>
      <c r="N32" s="335">
        <v>0.5854166666666667</v>
      </c>
    </row>
    <row r="33" spans="1:17" ht="15" thickBot="1" x14ac:dyDescent="0.35">
      <c r="A33" s="348" t="s">
        <v>4039</v>
      </c>
      <c r="B33" s="481" t="s">
        <v>80</v>
      </c>
      <c r="C33" s="333" t="s">
        <v>88</v>
      </c>
      <c r="D33" s="333">
        <v>14</v>
      </c>
      <c r="E33" s="333">
        <v>0</v>
      </c>
      <c r="F33" s="333">
        <v>1</v>
      </c>
      <c r="G33" s="333">
        <v>1</v>
      </c>
      <c r="H33" s="341">
        <f t="shared" si="0"/>
        <v>7.1428571428571425E-2</v>
      </c>
      <c r="I33" s="333">
        <v>0</v>
      </c>
      <c r="J33" s="482">
        <f t="shared" si="1"/>
        <v>0</v>
      </c>
      <c r="K33" s="333">
        <v>10</v>
      </c>
      <c r="L33" s="333">
        <v>2</v>
      </c>
      <c r="M33" s="336">
        <v>5.624305555555555</v>
      </c>
      <c r="N33" s="335">
        <v>0.40138888888888885</v>
      </c>
    </row>
    <row r="34" spans="1:17" ht="15" thickBot="1" x14ac:dyDescent="0.35">
      <c r="A34" s="348" t="s">
        <v>4040</v>
      </c>
      <c r="B34" s="481" t="s">
        <v>80</v>
      </c>
      <c r="C34" s="333" t="s">
        <v>79</v>
      </c>
      <c r="D34" s="333">
        <v>1</v>
      </c>
      <c r="E34" s="333">
        <v>0</v>
      </c>
      <c r="F34" s="333">
        <v>0</v>
      </c>
      <c r="G34" s="333">
        <v>0</v>
      </c>
      <c r="H34" s="341">
        <f t="shared" si="0"/>
        <v>0</v>
      </c>
      <c r="I34" s="333">
        <v>0</v>
      </c>
      <c r="J34" s="482">
        <f t="shared" si="1"/>
        <v>0</v>
      </c>
      <c r="K34" s="333">
        <v>0</v>
      </c>
      <c r="L34" s="333">
        <v>0</v>
      </c>
      <c r="M34" s="335">
        <v>0.25694444444444448</v>
      </c>
      <c r="N34" s="335">
        <v>0.25694444444444448</v>
      </c>
    </row>
    <row r="35" spans="1:17" x14ac:dyDescent="0.3">
      <c r="A35" s="348" t="s">
        <v>4041</v>
      </c>
      <c r="B35" s="481" t="s">
        <v>80</v>
      </c>
      <c r="C35" s="333" t="s">
        <v>88</v>
      </c>
      <c r="D35" s="333">
        <v>9</v>
      </c>
      <c r="E35" s="333">
        <v>0</v>
      </c>
      <c r="F35" s="333">
        <v>0</v>
      </c>
      <c r="G35" s="333">
        <v>0</v>
      </c>
      <c r="H35" s="341">
        <f t="shared" si="0"/>
        <v>0</v>
      </c>
      <c r="I35" s="333">
        <v>-3</v>
      </c>
      <c r="J35" s="482">
        <f t="shared" si="1"/>
        <v>-0.33333333333333331</v>
      </c>
      <c r="K35" s="333">
        <v>8</v>
      </c>
      <c r="L35" s="333">
        <v>0</v>
      </c>
      <c r="M35" s="336">
        <v>4.0687500000000005</v>
      </c>
      <c r="N35" s="335">
        <v>0.45208333333333334</v>
      </c>
    </row>
    <row r="38" spans="1:17" s="409" customFormat="1" ht="24" thickBot="1" x14ac:dyDescent="0.35">
      <c r="C38" s="1159" t="s">
        <v>4042</v>
      </c>
      <c r="D38" s="1159"/>
      <c r="E38" s="1159"/>
      <c r="F38" s="1159"/>
    </row>
    <row r="39" spans="1:17" s="24" customFormat="1" ht="15" thickBot="1" x14ac:dyDescent="0.35">
      <c r="A39" s="484" t="s">
        <v>141</v>
      </c>
      <c r="B39" s="485" t="s">
        <v>140</v>
      </c>
      <c r="C39" s="486" t="s">
        <v>3631</v>
      </c>
      <c r="D39" s="486" t="s">
        <v>1164</v>
      </c>
      <c r="E39" s="486" t="s">
        <v>147</v>
      </c>
      <c r="F39" s="486" t="s">
        <v>148</v>
      </c>
      <c r="G39" s="486" t="s">
        <v>149</v>
      </c>
      <c r="H39" s="486" t="s">
        <v>150</v>
      </c>
      <c r="I39" s="486" t="s">
        <v>1182</v>
      </c>
      <c r="J39" s="486" t="s">
        <v>156</v>
      </c>
      <c r="K39" s="486" t="s">
        <v>218</v>
      </c>
      <c r="L39" s="486" t="s">
        <v>155</v>
      </c>
      <c r="M39" s="487" t="s">
        <v>138</v>
      </c>
      <c r="N39" s="488" t="s">
        <v>126</v>
      </c>
      <c r="O39"/>
      <c r="P39"/>
      <c r="Q39"/>
    </row>
    <row r="40" spans="1:17" ht="15" thickBot="1" x14ac:dyDescent="0.35">
      <c r="A40" s="348" t="s">
        <v>100</v>
      </c>
      <c r="B40" s="481" t="s">
        <v>80</v>
      </c>
      <c r="C40" s="333" t="s">
        <v>79</v>
      </c>
      <c r="D40" s="333">
        <v>52</v>
      </c>
      <c r="E40" s="333">
        <v>10</v>
      </c>
      <c r="F40" s="333">
        <v>14</v>
      </c>
      <c r="G40" s="333">
        <v>24</v>
      </c>
      <c r="H40" s="341">
        <v>0.46153846153846156</v>
      </c>
      <c r="I40" s="333">
        <v>0</v>
      </c>
      <c r="J40" s="482">
        <v>0</v>
      </c>
      <c r="K40" s="333">
        <v>79</v>
      </c>
      <c r="L40" s="333">
        <v>12</v>
      </c>
      <c r="M40" s="336">
        <v>33.838194444444447</v>
      </c>
      <c r="N40" s="335">
        <v>0.65069444444444446</v>
      </c>
    </row>
    <row r="41" spans="1:17" ht="15" thickBot="1" x14ac:dyDescent="0.35">
      <c r="A41" s="348" t="s">
        <v>97</v>
      </c>
      <c r="B41" s="481" t="s">
        <v>80</v>
      </c>
      <c r="C41" s="333" t="s">
        <v>79</v>
      </c>
      <c r="D41" s="333">
        <v>47</v>
      </c>
      <c r="E41" s="333">
        <v>2</v>
      </c>
      <c r="F41" s="333">
        <v>5</v>
      </c>
      <c r="G41" s="333">
        <v>7</v>
      </c>
      <c r="H41" s="341">
        <v>0.14893617021276595</v>
      </c>
      <c r="I41" s="333">
        <v>-2</v>
      </c>
      <c r="J41" s="482">
        <v>-4.2553191489361701E-2</v>
      </c>
      <c r="K41" s="333">
        <v>56</v>
      </c>
      <c r="L41" s="333">
        <v>8</v>
      </c>
      <c r="M41" s="336">
        <v>24.246527777777775</v>
      </c>
      <c r="N41" s="335">
        <v>0.51527777777777783</v>
      </c>
    </row>
    <row r="42" spans="1:17" ht="15" thickBot="1" x14ac:dyDescent="0.35">
      <c r="A42" s="348" t="s">
        <v>4036</v>
      </c>
      <c r="B42" s="481" t="s">
        <v>80</v>
      </c>
      <c r="C42" s="333" t="s">
        <v>79</v>
      </c>
      <c r="D42" s="333">
        <v>41</v>
      </c>
      <c r="E42" s="333">
        <v>2</v>
      </c>
      <c r="F42" s="333">
        <v>3</v>
      </c>
      <c r="G42" s="333">
        <v>5</v>
      </c>
      <c r="H42" s="341">
        <v>0.12195121951219512</v>
      </c>
      <c r="I42" s="333">
        <v>-8</v>
      </c>
      <c r="J42" s="482">
        <v>-0.1951219512195122</v>
      </c>
      <c r="K42" s="333">
        <v>79</v>
      </c>
      <c r="L42" s="333">
        <v>8</v>
      </c>
      <c r="M42" s="336">
        <v>24.940972222222225</v>
      </c>
      <c r="N42" s="335">
        <v>0.60763888888888895</v>
      </c>
    </row>
    <row r="43" spans="1:17" ht="15" thickBot="1" x14ac:dyDescent="0.35">
      <c r="A43" s="348" t="s">
        <v>4037</v>
      </c>
      <c r="B43" s="481" t="s">
        <v>80</v>
      </c>
      <c r="C43" s="333" t="s">
        <v>79</v>
      </c>
      <c r="D43" s="333">
        <v>8</v>
      </c>
      <c r="E43" s="333">
        <v>3</v>
      </c>
      <c r="F43" s="333">
        <v>0</v>
      </c>
      <c r="G43" s="333">
        <v>3</v>
      </c>
      <c r="H43" s="341">
        <v>0.375</v>
      </c>
      <c r="I43" s="333">
        <v>0</v>
      </c>
      <c r="J43" s="482">
        <v>0</v>
      </c>
      <c r="K43" s="333">
        <v>6</v>
      </c>
      <c r="L43" s="333">
        <v>0</v>
      </c>
      <c r="M43" s="336">
        <v>3.09375</v>
      </c>
      <c r="N43" s="335">
        <v>0.38611111111111113</v>
      </c>
    </row>
    <row r="44" spans="1:17" ht="15" thickBot="1" x14ac:dyDescent="0.35">
      <c r="A44" s="348" t="s">
        <v>4038</v>
      </c>
      <c r="B44" s="481" t="s">
        <v>80</v>
      </c>
      <c r="C44" s="333" t="s">
        <v>79</v>
      </c>
      <c r="D44" s="333">
        <v>19</v>
      </c>
      <c r="E44" s="333">
        <v>2</v>
      </c>
      <c r="F44" s="333">
        <v>0</v>
      </c>
      <c r="G44" s="333">
        <v>2</v>
      </c>
      <c r="H44" s="341">
        <v>0.10526315789473684</v>
      </c>
      <c r="I44" s="333">
        <v>-3</v>
      </c>
      <c r="J44" s="482">
        <v>-0.15789473684210525</v>
      </c>
      <c r="K44" s="333">
        <v>28</v>
      </c>
      <c r="L44" s="333">
        <v>10</v>
      </c>
      <c r="M44" s="336">
        <v>12.259722222222223</v>
      </c>
      <c r="N44" s="335">
        <v>0.64513888888888882</v>
      </c>
    </row>
    <row r="45" spans="1:17" ht="15" thickBot="1" x14ac:dyDescent="0.35">
      <c r="A45" s="348" t="s">
        <v>112</v>
      </c>
      <c r="B45" s="481" t="s">
        <v>80</v>
      </c>
      <c r="C45" s="333" t="s">
        <v>79</v>
      </c>
      <c r="D45" s="333">
        <v>15</v>
      </c>
      <c r="E45" s="333">
        <v>0</v>
      </c>
      <c r="F45" s="333">
        <v>2</v>
      </c>
      <c r="G45" s="333">
        <v>2</v>
      </c>
      <c r="H45" s="341">
        <v>0.13333333333333333</v>
      </c>
      <c r="I45" s="333">
        <v>-2</v>
      </c>
      <c r="J45" s="482">
        <v>-0.13333333333333333</v>
      </c>
      <c r="K45" s="333">
        <v>28</v>
      </c>
      <c r="L45" s="333">
        <v>4</v>
      </c>
      <c r="M45" s="336">
        <v>7.9624999999999995</v>
      </c>
      <c r="N45" s="335">
        <v>0.53055555555555556</v>
      </c>
    </row>
    <row r="46" spans="1:17" ht="15" thickBot="1" x14ac:dyDescent="0.35">
      <c r="A46" s="348" t="s">
        <v>869</v>
      </c>
      <c r="B46" s="481" t="s">
        <v>80</v>
      </c>
      <c r="C46" s="333" t="s">
        <v>79</v>
      </c>
      <c r="D46" s="333">
        <v>15</v>
      </c>
      <c r="E46" s="333">
        <v>0</v>
      </c>
      <c r="F46" s="333">
        <v>2</v>
      </c>
      <c r="G46" s="333">
        <v>2</v>
      </c>
      <c r="H46" s="341">
        <v>0.13333333333333333</v>
      </c>
      <c r="I46" s="333">
        <v>-4</v>
      </c>
      <c r="J46" s="482">
        <v>-0.26666666666666666</v>
      </c>
      <c r="K46" s="333">
        <v>25</v>
      </c>
      <c r="L46" s="333">
        <v>0</v>
      </c>
      <c r="M46" s="336">
        <v>7.177777777777778</v>
      </c>
      <c r="N46" s="335">
        <v>0.47847222222222219</v>
      </c>
    </row>
    <row r="47" spans="1:17" ht="15" thickBot="1" x14ac:dyDescent="0.35">
      <c r="A47" s="348" t="s">
        <v>82</v>
      </c>
      <c r="B47" s="481" t="s">
        <v>80</v>
      </c>
      <c r="C47" s="333" t="s">
        <v>79</v>
      </c>
      <c r="D47" s="333">
        <v>17</v>
      </c>
      <c r="E47" s="333">
        <v>0</v>
      </c>
      <c r="F47" s="333">
        <v>2</v>
      </c>
      <c r="G47" s="333">
        <v>2</v>
      </c>
      <c r="H47" s="341">
        <v>0.11764705882352941</v>
      </c>
      <c r="I47" s="333">
        <v>-10</v>
      </c>
      <c r="J47" s="482">
        <v>-0.58823529411764708</v>
      </c>
      <c r="K47" s="333">
        <v>11</v>
      </c>
      <c r="L47" s="333">
        <v>0</v>
      </c>
      <c r="M47" s="336">
        <v>7.415972222222222</v>
      </c>
      <c r="N47" s="335">
        <v>0.43611111111111112</v>
      </c>
    </row>
    <row r="48" spans="1:17" ht="15" thickBot="1" x14ac:dyDescent="0.35">
      <c r="A48" s="348" t="s">
        <v>3615</v>
      </c>
      <c r="B48" s="481" t="s">
        <v>80</v>
      </c>
      <c r="C48" s="333" t="s">
        <v>79</v>
      </c>
      <c r="D48" s="333">
        <v>9</v>
      </c>
      <c r="E48" s="333">
        <v>0</v>
      </c>
      <c r="F48" s="333">
        <v>1</v>
      </c>
      <c r="G48" s="333">
        <v>1</v>
      </c>
      <c r="H48" s="341">
        <v>0.1111111111111111</v>
      </c>
      <c r="I48" s="333">
        <v>-4</v>
      </c>
      <c r="J48" s="482">
        <v>-0.44444444444444442</v>
      </c>
      <c r="K48" s="333">
        <v>19</v>
      </c>
      <c r="L48" s="333">
        <v>4</v>
      </c>
      <c r="M48" s="336">
        <v>6.6368055555555552</v>
      </c>
      <c r="N48" s="335">
        <v>0.7368055555555556</v>
      </c>
    </row>
    <row r="49" spans="1:17" x14ac:dyDescent="0.3">
      <c r="A49" s="348" t="s">
        <v>1170</v>
      </c>
      <c r="B49" s="481" t="s">
        <v>80</v>
      </c>
      <c r="C49" s="333" t="s">
        <v>79</v>
      </c>
      <c r="D49" s="333">
        <v>11</v>
      </c>
      <c r="E49" s="333">
        <v>0</v>
      </c>
      <c r="F49" s="333">
        <v>1</v>
      </c>
      <c r="G49" s="333">
        <v>1</v>
      </c>
      <c r="H49" s="341">
        <v>9.0909090909090912E-2</v>
      </c>
      <c r="I49" s="333">
        <v>-5</v>
      </c>
      <c r="J49" s="482">
        <v>-0.45454545454545453</v>
      </c>
      <c r="K49" s="333">
        <v>22</v>
      </c>
      <c r="L49" s="333">
        <v>14</v>
      </c>
      <c r="M49" s="336">
        <v>6.4465277777777779</v>
      </c>
      <c r="N49" s="335">
        <v>0.5854166666666667</v>
      </c>
    </row>
    <row r="51" spans="1:17" ht="15" thickBot="1" x14ac:dyDescent="0.35"/>
    <row r="52" spans="1:17" s="24" customFormat="1" ht="15" thickBot="1" x14ac:dyDescent="0.35">
      <c r="A52"/>
      <c r="B52"/>
      <c r="C52" s="2"/>
      <c r="D52" s="486" t="s">
        <v>1164</v>
      </c>
      <c r="E52" s="486" t="s">
        <v>147</v>
      </c>
      <c r="F52" s="486" t="s">
        <v>148</v>
      </c>
      <c r="G52" s="486" t="s">
        <v>149</v>
      </c>
      <c r="H52" s="486" t="s">
        <v>150</v>
      </c>
      <c r="I52" s="486" t="s">
        <v>1182</v>
      </c>
      <c r="J52" s="486" t="s">
        <v>156</v>
      </c>
      <c r="K52" s="486" t="s">
        <v>218</v>
      </c>
      <c r="L52" s="486" t="s">
        <v>155</v>
      </c>
      <c r="M52"/>
      <c r="N52"/>
      <c r="O52"/>
      <c r="P52"/>
      <c r="Q52"/>
    </row>
    <row r="53" spans="1:17" x14ac:dyDescent="0.3">
      <c r="D53" s="2">
        <f>SUM(D40:D49)</f>
        <v>234</v>
      </c>
      <c r="E53" s="2">
        <f>SUM(E40:E49)</f>
        <v>19</v>
      </c>
      <c r="F53" s="2">
        <f>SUM(F40:F49)</f>
        <v>30</v>
      </c>
      <c r="G53" s="2">
        <f>SUM(G40:G49)</f>
        <v>49</v>
      </c>
      <c r="H53" s="120">
        <f>G53/D53</f>
        <v>0.20940170940170941</v>
      </c>
      <c r="I53" s="2">
        <f>SUM(I40:I49)</f>
        <v>-38</v>
      </c>
      <c r="J53" s="120">
        <f>I53/D53</f>
        <v>-0.1623931623931624</v>
      </c>
      <c r="K53" s="2">
        <f>SUM(K40:K49)</f>
        <v>353</v>
      </c>
      <c r="L53" s="2">
        <f>SUM(L40:L49)</f>
        <v>60</v>
      </c>
    </row>
    <row r="58" spans="1:17" s="409" customFormat="1" ht="23.4" x14ac:dyDescent="0.3">
      <c r="C58" s="658" t="s">
        <v>4090</v>
      </c>
      <c r="D58" s="658"/>
      <c r="E58" s="658"/>
      <c r="F58" s="658"/>
      <c r="I58" s="409" t="s">
        <v>4588</v>
      </c>
    </row>
    <row r="59" spans="1:17" x14ac:dyDescent="0.3">
      <c r="A59" s="1162" t="s">
        <v>4057</v>
      </c>
      <c r="B59" s="1162"/>
      <c r="C59" s="1162"/>
      <c r="D59" s="491" t="s">
        <v>213</v>
      </c>
      <c r="E59" s="491" t="s">
        <v>4051</v>
      </c>
      <c r="F59" s="491" t="s">
        <v>4052</v>
      </c>
      <c r="G59" s="491" t="s">
        <v>4053</v>
      </c>
      <c r="H59" s="491" t="s">
        <v>4054</v>
      </c>
      <c r="I59" s="491" t="s">
        <v>4055</v>
      </c>
      <c r="J59" s="703" t="s">
        <v>4607</v>
      </c>
      <c r="K59" s="491" t="s">
        <v>4056</v>
      </c>
      <c r="L59" s="491" t="s">
        <v>213</v>
      </c>
      <c r="M59" s="491" t="s">
        <v>4051</v>
      </c>
      <c r="N59" s="491" t="s">
        <v>4052</v>
      </c>
      <c r="O59" s="491" t="s">
        <v>4053</v>
      </c>
      <c r="P59" s="491" t="s">
        <v>4054</v>
      </c>
      <c r="Q59" s="491" t="s">
        <v>4055</v>
      </c>
    </row>
    <row r="60" spans="1:17" s="2" customFormat="1" x14ac:dyDescent="0.3">
      <c r="A60" s="62" t="s">
        <v>4043</v>
      </c>
      <c r="B60" s="492" t="s">
        <v>4044</v>
      </c>
      <c r="C60" s="492" t="s">
        <v>4045</v>
      </c>
      <c r="D60" s="62">
        <v>48</v>
      </c>
      <c r="E60" s="62">
        <v>10</v>
      </c>
      <c r="F60" s="62">
        <v>19</v>
      </c>
      <c r="G60" s="62">
        <v>29</v>
      </c>
      <c r="H60" s="62">
        <v>34</v>
      </c>
      <c r="I60" s="62">
        <v>13</v>
      </c>
      <c r="J60" s="705">
        <f>G60/D60</f>
        <v>0.60416666666666663</v>
      </c>
      <c r="K60" s="492" t="s">
        <v>4047</v>
      </c>
      <c r="L60" s="62">
        <v>14</v>
      </c>
      <c r="M60" s="62">
        <v>1</v>
      </c>
      <c r="N60" s="62">
        <v>4</v>
      </c>
      <c r="O60" s="62">
        <v>5</v>
      </c>
      <c r="P60" s="62">
        <v>26</v>
      </c>
      <c r="Q60" s="62">
        <v>4</v>
      </c>
    </row>
    <row r="61" spans="1:17" s="2" customFormat="1" x14ac:dyDescent="0.3">
      <c r="A61" s="62" t="s">
        <v>4048</v>
      </c>
      <c r="B61" s="492" t="s">
        <v>4044</v>
      </c>
      <c r="C61" s="492" t="s">
        <v>4045</v>
      </c>
      <c r="D61" s="62">
        <v>46</v>
      </c>
      <c r="E61" s="62">
        <v>8</v>
      </c>
      <c r="F61" s="62">
        <v>7</v>
      </c>
      <c r="G61" s="62">
        <v>15</v>
      </c>
      <c r="H61" s="62">
        <v>44</v>
      </c>
      <c r="I61" s="62">
        <v>-1</v>
      </c>
      <c r="J61" s="705">
        <f>G61/D61</f>
        <v>0.32608695652173914</v>
      </c>
      <c r="K61" s="62"/>
      <c r="L61" s="62"/>
      <c r="M61" s="62"/>
      <c r="N61" s="62"/>
      <c r="O61" s="62"/>
      <c r="P61" s="62"/>
      <c r="Q61" s="62"/>
    </row>
    <row r="62" spans="1:17" s="2" customFormat="1" x14ac:dyDescent="0.3">
      <c r="A62" s="62" t="s">
        <v>4049</v>
      </c>
      <c r="B62" s="493" t="s">
        <v>4050</v>
      </c>
      <c r="C62" s="492" t="s">
        <v>4045</v>
      </c>
      <c r="D62" s="62">
        <v>46</v>
      </c>
      <c r="E62" s="62">
        <v>12</v>
      </c>
      <c r="F62" s="62">
        <v>15</v>
      </c>
      <c r="G62" s="62">
        <v>27</v>
      </c>
      <c r="H62" s="62">
        <v>37</v>
      </c>
      <c r="I62" s="62">
        <v>19</v>
      </c>
      <c r="J62" s="705">
        <f>G62/D62</f>
        <v>0.58695652173913049</v>
      </c>
      <c r="K62" s="492" t="s">
        <v>4047</v>
      </c>
      <c r="L62" s="62">
        <v>3</v>
      </c>
      <c r="M62" s="62">
        <v>1</v>
      </c>
      <c r="N62" s="62">
        <v>0</v>
      </c>
      <c r="O62" s="62">
        <v>1</v>
      </c>
      <c r="P62" s="62">
        <v>0</v>
      </c>
      <c r="Q62" s="62">
        <v>1</v>
      </c>
    </row>
    <row r="63" spans="1:17" s="2" customFormat="1" ht="15" thickBot="1" x14ac:dyDescent="0.35">
      <c r="A63" s="667" t="s">
        <v>4589</v>
      </c>
      <c r="B63" s="672" t="s">
        <v>4592</v>
      </c>
      <c r="C63" s="541" t="s">
        <v>4591</v>
      </c>
      <c r="D63" s="668">
        <v>55</v>
      </c>
      <c r="E63" s="668">
        <v>9</v>
      </c>
      <c r="F63" s="668">
        <v>12</v>
      </c>
      <c r="G63" s="669">
        <v>21</v>
      </c>
      <c r="H63" s="668">
        <v>20</v>
      </c>
      <c r="I63" s="673">
        <v>-17</v>
      </c>
      <c r="J63" s="705">
        <f>G63/D63</f>
        <v>0.38181818181818183</v>
      </c>
      <c r="K63" s="492"/>
      <c r="L63" s="62"/>
      <c r="M63" s="62"/>
      <c r="N63" s="62"/>
      <c r="O63" s="62"/>
      <c r="P63" s="62"/>
      <c r="Q63" s="62"/>
    </row>
    <row r="66" spans="1:17" x14ac:dyDescent="0.3">
      <c r="A66" s="1162" t="s">
        <v>4058</v>
      </c>
      <c r="B66" s="1162"/>
      <c r="C66" s="1162"/>
      <c r="D66" s="491" t="s">
        <v>213</v>
      </c>
      <c r="E66" s="491" t="s">
        <v>4051</v>
      </c>
      <c r="F66" s="491" t="s">
        <v>4052</v>
      </c>
      <c r="G66" s="491" t="s">
        <v>4053</v>
      </c>
      <c r="H66" s="491" t="s">
        <v>4054</v>
      </c>
      <c r="I66" s="491" t="s">
        <v>4055</v>
      </c>
      <c r="J66" s="703" t="s">
        <v>4607</v>
      </c>
      <c r="K66" s="491" t="s">
        <v>4056</v>
      </c>
      <c r="L66" s="491" t="s">
        <v>213</v>
      </c>
      <c r="M66" s="491" t="s">
        <v>4051</v>
      </c>
      <c r="N66" s="491" t="s">
        <v>4052</v>
      </c>
      <c r="O66" s="491" t="s">
        <v>4053</v>
      </c>
      <c r="P66" s="491" t="s">
        <v>4054</v>
      </c>
      <c r="Q66" s="491" t="s">
        <v>4055</v>
      </c>
    </row>
    <row r="67" spans="1:17" s="2" customFormat="1" x14ac:dyDescent="0.3">
      <c r="A67" s="62" t="s">
        <v>4043</v>
      </c>
      <c r="B67" s="492" t="s">
        <v>4059</v>
      </c>
      <c r="C67" s="492" t="s">
        <v>4045</v>
      </c>
      <c r="D67" s="62">
        <v>52</v>
      </c>
      <c r="E67" s="62">
        <v>11</v>
      </c>
      <c r="F67" s="62">
        <v>14</v>
      </c>
      <c r="G67" s="62">
        <v>25</v>
      </c>
      <c r="H67" s="62">
        <v>8</v>
      </c>
      <c r="I67" s="62">
        <v>-7</v>
      </c>
      <c r="J67" s="705">
        <f>G67/D67</f>
        <v>0.48076923076923078</v>
      </c>
      <c r="K67" s="492" t="s">
        <v>4047</v>
      </c>
      <c r="L67" s="62">
        <v>4</v>
      </c>
      <c r="M67" s="62">
        <v>1</v>
      </c>
      <c r="N67" s="62">
        <v>0</v>
      </c>
      <c r="O67" s="62">
        <v>1</v>
      </c>
      <c r="P67" s="62">
        <v>0</v>
      </c>
      <c r="Q67" s="62">
        <v>-2</v>
      </c>
    </row>
    <row r="68" spans="1:17" s="2" customFormat="1" x14ac:dyDescent="0.3">
      <c r="A68" s="62" t="s">
        <v>4043</v>
      </c>
      <c r="B68" s="492" t="s">
        <v>4060</v>
      </c>
      <c r="C68" s="492" t="s">
        <v>4061</v>
      </c>
      <c r="D68" s="62">
        <v>4</v>
      </c>
      <c r="E68" s="62">
        <v>1</v>
      </c>
      <c r="F68" s="62">
        <v>0</v>
      </c>
      <c r="G68" s="62">
        <v>1</v>
      </c>
      <c r="H68" s="62">
        <v>0</v>
      </c>
      <c r="I68" s="62"/>
      <c r="J68" s="705"/>
      <c r="K68" s="492"/>
      <c r="L68" s="62"/>
      <c r="M68" s="62"/>
      <c r="N68" s="62"/>
      <c r="O68" s="62"/>
      <c r="P68" s="62"/>
      <c r="Q68" s="62"/>
    </row>
    <row r="69" spans="1:17" s="2" customFormat="1" x14ac:dyDescent="0.3">
      <c r="A69" s="62" t="s">
        <v>4048</v>
      </c>
      <c r="B69" s="492" t="s">
        <v>4059</v>
      </c>
      <c r="C69" s="492" t="s">
        <v>4045</v>
      </c>
      <c r="D69" s="62">
        <v>49</v>
      </c>
      <c r="E69" s="62">
        <v>10</v>
      </c>
      <c r="F69" s="62">
        <v>19</v>
      </c>
      <c r="G69" s="62">
        <v>29</v>
      </c>
      <c r="H69" s="62">
        <v>8</v>
      </c>
      <c r="I69" s="62">
        <v>16</v>
      </c>
      <c r="J69" s="705">
        <f>G69/D69</f>
        <v>0.59183673469387754</v>
      </c>
      <c r="K69" s="62"/>
      <c r="L69" s="62"/>
      <c r="M69" s="62"/>
      <c r="N69" s="62"/>
      <c r="O69" s="62"/>
      <c r="P69" s="62"/>
      <c r="Q69" s="62"/>
    </row>
    <row r="70" spans="1:17" s="2" customFormat="1" x14ac:dyDescent="0.3">
      <c r="A70" s="62" t="s">
        <v>4048</v>
      </c>
      <c r="B70" s="492" t="s">
        <v>4060</v>
      </c>
      <c r="C70" s="492" t="s">
        <v>4061</v>
      </c>
      <c r="D70" s="62">
        <v>3</v>
      </c>
      <c r="E70" s="62">
        <v>1</v>
      </c>
      <c r="F70" s="62">
        <v>0</v>
      </c>
      <c r="G70" s="62">
        <v>1</v>
      </c>
      <c r="H70" s="62">
        <v>2</v>
      </c>
      <c r="I70" s="62">
        <v>-3</v>
      </c>
      <c r="J70" s="705"/>
      <c r="K70" s="492"/>
      <c r="L70" s="62"/>
      <c r="M70" s="62"/>
      <c r="N70" s="62"/>
      <c r="O70" s="62"/>
      <c r="P70" s="62"/>
      <c r="Q70" s="62"/>
    </row>
    <row r="71" spans="1:17" s="2" customFormat="1" x14ac:dyDescent="0.3">
      <c r="A71" s="62" t="s">
        <v>4049</v>
      </c>
      <c r="B71" s="492" t="s">
        <v>4059</v>
      </c>
      <c r="C71" s="492" t="s">
        <v>4045</v>
      </c>
      <c r="D71" s="62">
        <v>43</v>
      </c>
      <c r="E71" s="62">
        <v>12</v>
      </c>
      <c r="F71" s="62">
        <v>9</v>
      </c>
      <c r="G71" s="62">
        <v>21</v>
      </c>
      <c r="H71" s="62">
        <v>12</v>
      </c>
      <c r="I71" s="62">
        <v>4</v>
      </c>
      <c r="J71" s="705">
        <f>G71/D71</f>
        <v>0.48837209302325579</v>
      </c>
      <c r="K71" s="492" t="s">
        <v>4047</v>
      </c>
      <c r="L71" s="62">
        <v>11</v>
      </c>
      <c r="M71" s="62">
        <v>0</v>
      </c>
      <c r="N71" s="62">
        <v>1</v>
      </c>
      <c r="O71" s="62">
        <v>1</v>
      </c>
      <c r="P71" s="62">
        <v>4</v>
      </c>
      <c r="Q71" s="62">
        <v>2</v>
      </c>
    </row>
    <row r="72" spans="1:17" s="2" customFormat="1" ht="15" thickBot="1" x14ac:dyDescent="0.35">
      <c r="A72" s="667" t="s">
        <v>4589</v>
      </c>
      <c r="B72" s="541" t="s">
        <v>4590</v>
      </c>
      <c r="C72" s="541" t="s">
        <v>4591</v>
      </c>
      <c r="D72" s="668">
        <v>51</v>
      </c>
      <c r="E72" s="668">
        <v>11</v>
      </c>
      <c r="F72" s="668">
        <v>12</v>
      </c>
      <c r="G72" s="669">
        <v>23</v>
      </c>
      <c r="H72" s="668">
        <v>10</v>
      </c>
      <c r="I72" s="673">
        <v>3</v>
      </c>
      <c r="J72" s="705">
        <f>G72/D72</f>
        <v>0.45098039215686275</v>
      </c>
      <c r="K72" s="492"/>
      <c r="L72" s="62"/>
      <c r="M72" s="62"/>
      <c r="N72" s="62"/>
      <c r="O72" s="62"/>
      <c r="P72" s="62"/>
      <c r="Q72" s="62"/>
    </row>
    <row r="73" spans="1:17" s="2" customFormat="1" x14ac:dyDescent="0.3"/>
    <row r="75" spans="1:17" x14ac:dyDescent="0.3">
      <c r="A75" s="1162" t="s">
        <v>4062</v>
      </c>
      <c r="B75" s="1162"/>
      <c r="C75" s="1162"/>
      <c r="D75" s="491" t="s">
        <v>213</v>
      </c>
      <c r="E75" s="491" t="s">
        <v>4051</v>
      </c>
      <c r="F75" s="491" t="s">
        <v>4052</v>
      </c>
      <c r="G75" s="491" t="s">
        <v>4053</v>
      </c>
      <c r="H75" s="491" t="s">
        <v>4054</v>
      </c>
      <c r="I75" s="491" t="s">
        <v>4055</v>
      </c>
      <c r="J75" s="703" t="s">
        <v>4607</v>
      </c>
      <c r="K75" s="491" t="s">
        <v>4056</v>
      </c>
      <c r="L75" s="491" t="s">
        <v>213</v>
      </c>
      <c r="M75" s="491" t="s">
        <v>4051</v>
      </c>
      <c r="N75" s="491" t="s">
        <v>4052</v>
      </c>
      <c r="O75" s="491" t="s">
        <v>4053</v>
      </c>
      <c r="P75" s="491" t="s">
        <v>4054</v>
      </c>
      <c r="Q75" s="491" t="s">
        <v>4055</v>
      </c>
    </row>
    <row r="76" spans="1:17" x14ac:dyDescent="0.3">
      <c r="A76" s="62" t="s">
        <v>4043</v>
      </c>
      <c r="B76" s="492" t="s">
        <v>4065</v>
      </c>
      <c r="C76" s="492" t="s">
        <v>4066</v>
      </c>
      <c r="D76" s="62">
        <v>60</v>
      </c>
      <c r="E76" s="62">
        <v>10</v>
      </c>
      <c r="F76" s="62">
        <v>8</v>
      </c>
      <c r="G76" s="62">
        <v>18</v>
      </c>
      <c r="H76" s="62">
        <v>39</v>
      </c>
      <c r="I76" s="62">
        <v>-29</v>
      </c>
      <c r="J76" s="705"/>
      <c r="K76" s="62"/>
      <c r="L76" s="62"/>
      <c r="M76" s="62"/>
      <c r="N76" s="62"/>
      <c r="O76" s="62"/>
      <c r="P76" s="62"/>
      <c r="Q76" s="62"/>
    </row>
    <row r="77" spans="1:17" x14ac:dyDescent="0.3">
      <c r="A77" s="62" t="s">
        <v>4043</v>
      </c>
      <c r="B77" s="492" t="s">
        <v>4067</v>
      </c>
      <c r="C77" s="492" t="s">
        <v>4063</v>
      </c>
      <c r="D77" s="62">
        <v>1</v>
      </c>
      <c r="E77" s="62">
        <v>0</v>
      </c>
      <c r="F77" s="62">
        <v>0</v>
      </c>
      <c r="G77" s="62">
        <v>0</v>
      </c>
      <c r="H77" s="62">
        <v>0</v>
      </c>
      <c r="I77" s="62">
        <v>0</v>
      </c>
      <c r="J77" s="705"/>
      <c r="K77" s="62"/>
      <c r="L77" s="62"/>
      <c r="M77" s="62"/>
      <c r="N77" s="62"/>
      <c r="O77" s="62"/>
      <c r="P77" s="62"/>
      <c r="Q77" s="62"/>
    </row>
    <row r="78" spans="1:17" x14ac:dyDescent="0.3">
      <c r="A78" s="62" t="s">
        <v>4043</v>
      </c>
      <c r="B78" s="492" t="s">
        <v>4063</v>
      </c>
      <c r="C78" s="492" t="s">
        <v>4064</v>
      </c>
      <c r="D78" s="62">
        <v>7</v>
      </c>
      <c r="E78" s="62">
        <v>5</v>
      </c>
      <c r="F78" s="62">
        <v>0</v>
      </c>
      <c r="G78" s="62">
        <v>5</v>
      </c>
      <c r="H78" s="62">
        <v>0</v>
      </c>
      <c r="I78" s="62">
        <v>3</v>
      </c>
      <c r="J78" s="705"/>
      <c r="K78" s="62"/>
      <c r="L78" s="62"/>
      <c r="M78" s="62"/>
      <c r="N78" s="62"/>
      <c r="O78" s="62"/>
      <c r="P78" s="62"/>
      <c r="Q78" s="62"/>
    </row>
    <row r="79" spans="1:17" x14ac:dyDescent="0.3">
      <c r="A79" s="62" t="s">
        <v>4043</v>
      </c>
      <c r="B79" s="492" t="s">
        <v>4060</v>
      </c>
      <c r="C79" s="492" t="s">
        <v>4061</v>
      </c>
      <c r="D79" s="62">
        <v>18</v>
      </c>
      <c r="E79" s="62">
        <v>7</v>
      </c>
      <c r="F79" s="62">
        <v>3</v>
      </c>
      <c r="G79" s="62">
        <v>10</v>
      </c>
      <c r="H79" s="62">
        <v>8</v>
      </c>
      <c r="I79" s="62"/>
      <c r="J79" s="705"/>
      <c r="K79" s="2"/>
      <c r="L79" s="2"/>
      <c r="M79" s="2"/>
      <c r="N79" s="2"/>
      <c r="O79" s="2"/>
      <c r="P79" s="2"/>
      <c r="Q79" s="2"/>
    </row>
    <row r="80" spans="1:17" x14ac:dyDescent="0.3">
      <c r="A80" s="62" t="s">
        <v>4048</v>
      </c>
      <c r="B80" s="492" t="s">
        <v>4059</v>
      </c>
      <c r="C80" s="492" t="s">
        <v>4045</v>
      </c>
      <c r="D80" s="62">
        <v>52</v>
      </c>
      <c r="E80" s="62">
        <v>9</v>
      </c>
      <c r="F80" s="62">
        <v>7</v>
      </c>
      <c r="G80" s="62">
        <v>16</v>
      </c>
      <c r="H80" s="62">
        <v>32</v>
      </c>
      <c r="I80" s="62">
        <v>9</v>
      </c>
      <c r="J80" s="705">
        <f>G80/D80</f>
        <v>0.30769230769230771</v>
      </c>
      <c r="K80" s="62"/>
      <c r="L80" s="62"/>
      <c r="M80" s="62"/>
      <c r="N80" s="62"/>
      <c r="O80" s="62"/>
      <c r="P80" s="62"/>
      <c r="Q80" s="62"/>
    </row>
    <row r="81" spans="1:17" x14ac:dyDescent="0.3">
      <c r="A81" s="62" t="s">
        <v>4048</v>
      </c>
      <c r="B81" s="492" t="s">
        <v>4060</v>
      </c>
      <c r="C81" s="492" t="s">
        <v>4061</v>
      </c>
      <c r="D81" s="62">
        <v>3</v>
      </c>
      <c r="E81" s="62">
        <v>1</v>
      </c>
      <c r="F81" s="62">
        <v>1</v>
      </c>
      <c r="G81" s="62">
        <v>2</v>
      </c>
      <c r="H81" s="62">
        <v>0</v>
      </c>
      <c r="I81" s="62">
        <v>1</v>
      </c>
      <c r="J81" s="705"/>
      <c r="K81" s="492"/>
      <c r="L81" s="62"/>
      <c r="M81" s="62"/>
      <c r="N81" s="62"/>
      <c r="O81" s="62"/>
      <c r="P81" s="62"/>
      <c r="Q81" s="62"/>
    </row>
    <row r="82" spans="1:17" x14ac:dyDescent="0.3">
      <c r="A82" s="62" t="s">
        <v>4049</v>
      </c>
      <c r="B82" s="492" t="s">
        <v>4059</v>
      </c>
      <c r="C82" s="492" t="s">
        <v>4045</v>
      </c>
      <c r="D82" s="62">
        <v>52</v>
      </c>
      <c r="E82" s="62">
        <v>9</v>
      </c>
      <c r="F82" s="62">
        <v>10</v>
      </c>
      <c r="G82" s="62">
        <v>19</v>
      </c>
      <c r="H82" s="62">
        <v>30</v>
      </c>
      <c r="I82" s="62">
        <v>20</v>
      </c>
      <c r="J82" s="705">
        <f>G82/D82</f>
        <v>0.36538461538461536</v>
      </c>
      <c r="K82" s="492" t="s">
        <v>4047</v>
      </c>
      <c r="L82" s="62">
        <v>11</v>
      </c>
      <c r="M82" s="62">
        <v>0</v>
      </c>
      <c r="N82" s="62">
        <v>1</v>
      </c>
      <c r="O82" s="62">
        <v>1</v>
      </c>
      <c r="P82" s="62">
        <v>10</v>
      </c>
      <c r="Q82" s="62">
        <v>3</v>
      </c>
    </row>
    <row r="83" spans="1:17" x14ac:dyDescent="0.3">
      <c r="A83" s="62" t="s">
        <v>4049</v>
      </c>
      <c r="B83" s="492" t="s">
        <v>4063</v>
      </c>
      <c r="C83" s="492" t="s">
        <v>4064</v>
      </c>
      <c r="D83" s="62">
        <v>7</v>
      </c>
      <c r="E83" s="62">
        <v>1</v>
      </c>
      <c r="F83" s="62">
        <v>0</v>
      </c>
      <c r="G83" s="62">
        <v>1</v>
      </c>
      <c r="H83" s="62">
        <v>2</v>
      </c>
      <c r="I83" s="62">
        <v>-5</v>
      </c>
      <c r="J83" s="705"/>
      <c r="K83" s="62"/>
      <c r="L83" s="62"/>
      <c r="M83" s="62"/>
      <c r="N83" s="62"/>
      <c r="O83" s="62"/>
      <c r="P83" s="62"/>
      <c r="Q83" s="62"/>
    </row>
    <row r="84" spans="1:17" ht="15" thickBot="1" x14ac:dyDescent="0.35">
      <c r="A84" s="667" t="s">
        <v>4589</v>
      </c>
      <c r="B84" s="541" t="s">
        <v>4590</v>
      </c>
      <c r="C84" s="541" t="s">
        <v>4591</v>
      </c>
      <c r="D84" s="668">
        <v>35</v>
      </c>
      <c r="E84" s="668">
        <v>7</v>
      </c>
      <c r="F84" s="668">
        <v>6</v>
      </c>
      <c r="G84" s="669">
        <v>13</v>
      </c>
      <c r="H84" s="668">
        <v>16</v>
      </c>
      <c r="I84" s="673">
        <v>-3</v>
      </c>
      <c r="J84" s="705">
        <f>G84/D84</f>
        <v>0.37142857142857144</v>
      </c>
      <c r="K84" s="62"/>
      <c r="L84" s="62"/>
      <c r="M84" s="62"/>
      <c r="N84" s="62"/>
      <c r="O84" s="62"/>
      <c r="P84" s="62"/>
      <c r="Q84" s="62"/>
    </row>
    <row r="85" spans="1:17" ht="15" thickBot="1" x14ac:dyDescent="0.35">
      <c r="A85"/>
    </row>
    <row r="86" spans="1:17" ht="15" thickBot="1" x14ac:dyDescent="0.35">
      <c r="D86" s="491" t="s">
        <v>213</v>
      </c>
      <c r="E86" s="491" t="s">
        <v>4051</v>
      </c>
      <c r="F86" s="491" t="s">
        <v>4052</v>
      </c>
      <c r="G86" s="491" t="s">
        <v>4053</v>
      </c>
      <c r="H86" s="491" t="s">
        <v>4054</v>
      </c>
      <c r="I86" s="491" t="s">
        <v>4055</v>
      </c>
      <c r="J86" s="488" t="s">
        <v>126</v>
      </c>
    </row>
    <row r="87" spans="1:17" s="2" customFormat="1" x14ac:dyDescent="0.3">
      <c r="A87" s="62" t="s">
        <v>4049</v>
      </c>
      <c r="B87" s="2" t="s">
        <v>4068</v>
      </c>
      <c r="C87" s="492" t="s">
        <v>4045</v>
      </c>
      <c r="D87" s="62">
        <v>46</v>
      </c>
      <c r="E87" s="62">
        <v>12</v>
      </c>
      <c r="F87" s="62">
        <v>15</v>
      </c>
      <c r="G87" s="62">
        <v>27</v>
      </c>
      <c r="H87" s="62">
        <v>37</v>
      </c>
      <c r="I87" s="62">
        <v>19</v>
      </c>
      <c r="J87" s="500">
        <v>0.67083333333333339</v>
      </c>
      <c r="K87" s="492" t="s">
        <v>4047</v>
      </c>
      <c r="L87" s="62">
        <v>3</v>
      </c>
      <c r="M87" s="62">
        <v>1</v>
      </c>
      <c r="N87" s="62">
        <v>0</v>
      </c>
      <c r="O87" s="62">
        <v>1</v>
      </c>
      <c r="P87" s="62">
        <v>0</v>
      </c>
      <c r="Q87" s="62">
        <v>1</v>
      </c>
    </row>
    <row r="88" spans="1:17" s="2" customFormat="1" x14ac:dyDescent="0.3">
      <c r="A88" s="62" t="s">
        <v>4049</v>
      </c>
      <c r="B88" s="2" t="s">
        <v>4069</v>
      </c>
      <c r="C88" s="492" t="s">
        <v>4045</v>
      </c>
      <c r="D88" s="62">
        <v>43</v>
      </c>
      <c r="E88" s="62">
        <v>12</v>
      </c>
      <c r="F88" s="62">
        <v>9</v>
      </c>
      <c r="G88" s="62">
        <v>21</v>
      </c>
      <c r="H88" s="62">
        <v>12</v>
      </c>
      <c r="I88" s="62">
        <v>4</v>
      </c>
      <c r="J88" s="500">
        <v>0.53680555555555554</v>
      </c>
      <c r="K88" s="492" t="s">
        <v>4047</v>
      </c>
      <c r="L88" s="62">
        <v>11</v>
      </c>
      <c r="M88" s="62">
        <v>0</v>
      </c>
      <c r="N88" s="62">
        <v>1</v>
      </c>
      <c r="O88" s="62">
        <v>1</v>
      </c>
      <c r="P88" s="62">
        <v>4</v>
      </c>
      <c r="Q88" s="62">
        <v>2</v>
      </c>
    </row>
    <row r="89" spans="1:17" x14ac:dyDescent="0.3">
      <c r="A89" s="62" t="s">
        <v>4049</v>
      </c>
      <c r="B89" s="2" t="s">
        <v>4070</v>
      </c>
      <c r="C89" s="492" t="s">
        <v>4045</v>
      </c>
      <c r="D89" s="62">
        <v>52</v>
      </c>
      <c r="E89" s="62">
        <v>9</v>
      </c>
      <c r="F89" s="62">
        <v>10</v>
      </c>
      <c r="G89" s="62">
        <v>19</v>
      </c>
      <c r="H89" s="62">
        <v>30</v>
      </c>
      <c r="I89" s="62">
        <v>20</v>
      </c>
      <c r="J89" s="500">
        <v>0.60972222222222217</v>
      </c>
      <c r="K89" s="492" t="s">
        <v>4047</v>
      </c>
      <c r="L89" s="62">
        <v>11</v>
      </c>
      <c r="M89" s="62">
        <v>0</v>
      </c>
      <c r="N89" s="62">
        <v>1</v>
      </c>
      <c r="O89" s="62">
        <v>1</v>
      </c>
      <c r="P89" s="62">
        <v>10</v>
      </c>
      <c r="Q89" s="62">
        <v>3</v>
      </c>
    </row>
    <row r="90" spans="1:17" x14ac:dyDescent="0.3">
      <c r="A90" s="62" t="s">
        <v>4081</v>
      </c>
      <c r="B90" s="1153" t="s">
        <v>4080</v>
      </c>
      <c r="C90" s="1153"/>
      <c r="D90" s="2">
        <f t="shared" ref="D90:I90" si="2">SUM(D87:D89)</f>
        <v>141</v>
      </c>
      <c r="E90" s="2">
        <f t="shared" si="2"/>
        <v>33</v>
      </c>
      <c r="F90" s="2">
        <f t="shared" si="2"/>
        <v>34</v>
      </c>
      <c r="G90" s="2">
        <f t="shared" si="2"/>
        <v>67</v>
      </c>
      <c r="H90" s="2">
        <f t="shared" si="2"/>
        <v>79</v>
      </c>
      <c r="I90" s="2">
        <f t="shared" si="2"/>
        <v>43</v>
      </c>
      <c r="J90" s="62"/>
      <c r="K90" s="2">
        <f t="shared" ref="K90:Q90" si="3">SUM(K87:K89)</f>
        <v>0</v>
      </c>
      <c r="L90" s="2">
        <f t="shared" si="3"/>
        <v>25</v>
      </c>
      <c r="M90" s="2">
        <f t="shared" si="3"/>
        <v>1</v>
      </c>
      <c r="N90" s="2">
        <f t="shared" si="3"/>
        <v>2</v>
      </c>
      <c r="O90" s="2">
        <f t="shared" si="3"/>
        <v>3</v>
      </c>
      <c r="P90" s="2">
        <f t="shared" si="3"/>
        <v>14</v>
      </c>
      <c r="Q90" s="2">
        <f t="shared" si="3"/>
        <v>6</v>
      </c>
    </row>
    <row r="91" spans="1:17" x14ac:dyDescent="0.3">
      <c r="A91" s="62"/>
      <c r="B91" s="2"/>
      <c r="D91" s="2"/>
      <c r="E91" s="2"/>
      <c r="F91" s="2"/>
      <c r="G91" s="2"/>
      <c r="H91" s="2"/>
      <c r="I91" s="2"/>
      <c r="J91" s="62"/>
      <c r="K91" s="2"/>
      <c r="L91" s="2"/>
      <c r="M91" s="2"/>
      <c r="N91" s="2"/>
      <c r="O91" s="2"/>
      <c r="P91" s="2"/>
      <c r="Q91" s="2"/>
    </row>
    <row r="92" spans="1:17" ht="15" thickBot="1" x14ac:dyDescent="0.35">
      <c r="A92" s="667" t="s">
        <v>4589</v>
      </c>
      <c r="B92" s="2" t="s">
        <v>4068</v>
      </c>
      <c r="C92" s="492" t="s">
        <v>4045</v>
      </c>
      <c r="D92" s="668">
        <v>55</v>
      </c>
      <c r="E92" s="668">
        <v>9</v>
      </c>
      <c r="F92" s="668">
        <v>12</v>
      </c>
      <c r="G92" s="669">
        <v>21</v>
      </c>
      <c r="H92" s="668">
        <v>20</v>
      </c>
      <c r="I92" s="673">
        <v>-17</v>
      </c>
      <c r="J92" s="674">
        <v>0.77083333333333337</v>
      </c>
      <c r="K92" s="2"/>
      <c r="L92" s="2"/>
      <c r="M92" s="2"/>
      <c r="N92" s="2"/>
      <c r="O92" s="2"/>
      <c r="P92" s="2"/>
      <c r="Q92" s="2"/>
    </row>
    <row r="93" spans="1:17" ht="15" thickBot="1" x14ac:dyDescent="0.35">
      <c r="A93" s="667" t="s">
        <v>4589</v>
      </c>
      <c r="B93" s="2" t="s">
        <v>4069</v>
      </c>
      <c r="C93" s="492" t="s">
        <v>4045</v>
      </c>
      <c r="D93" s="668">
        <v>51</v>
      </c>
      <c r="E93" s="668">
        <v>11</v>
      </c>
      <c r="F93" s="668">
        <v>12</v>
      </c>
      <c r="G93" s="669">
        <v>23</v>
      </c>
      <c r="H93" s="668">
        <v>10</v>
      </c>
      <c r="I93" s="673">
        <v>3</v>
      </c>
      <c r="J93" s="674">
        <v>0.67986111111111114</v>
      </c>
      <c r="K93" s="2"/>
      <c r="L93" s="2"/>
      <c r="M93" s="2"/>
      <c r="N93" s="2"/>
      <c r="O93" s="2"/>
      <c r="P93" s="2"/>
      <c r="Q93" s="2"/>
    </row>
    <row r="94" spans="1:17" ht="15" thickBot="1" x14ac:dyDescent="0.35">
      <c r="A94" s="667" t="s">
        <v>4589</v>
      </c>
      <c r="B94" s="2" t="s">
        <v>4070</v>
      </c>
      <c r="C94" s="492" t="s">
        <v>4045</v>
      </c>
      <c r="D94" s="668">
        <v>35</v>
      </c>
      <c r="E94" s="668">
        <v>7</v>
      </c>
      <c r="F94" s="668">
        <v>6</v>
      </c>
      <c r="G94" s="669">
        <v>13</v>
      </c>
      <c r="H94" s="668">
        <v>16</v>
      </c>
      <c r="I94" s="673">
        <v>-3</v>
      </c>
      <c r="J94" s="674">
        <v>0.71736111111111101</v>
      </c>
      <c r="K94" s="2"/>
      <c r="L94" s="2"/>
      <c r="M94" s="2"/>
      <c r="N94" s="2"/>
      <c r="O94" s="2"/>
      <c r="P94" s="2"/>
      <c r="Q94" s="2"/>
    </row>
    <row r="95" spans="1:17" ht="15" thickBot="1" x14ac:dyDescent="0.35">
      <c r="A95" s="667" t="s">
        <v>4589</v>
      </c>
      <c r="B95" s="1153" t="s">
        <v>4080</v>
      </c>
      <c r="C95" s="1153"/>
      <c r="D95" s="2">
        <f t="shared" ref="D95:I95" si="4">SUM(D92:D94)</f>
        <v>141</v>
      </c>
      <c r="E95" s="2">
        <f t="shared" si="4"/>
        <v>27</v>
      </c>
      <c r="F95" s="2">
        <f t="shared" si="4"/>
        <v>30</v>
      </c>
      <c r="G95" s="2">
        <f t="shared" si="4"/>
        <v>57</v>
      </c>
      <c r="H95" s="2">
        <f t="shared" si="4"/>
        <v>46</v>
      </c>
      <c r="I95" s="2">
        <f t="shared" si="4"/>
        <v>-17</v>
      </c>
      <c r="J95" s="62"/>
      <c r="K95" s="2"/>
      <c r="L95" s="2"/>
      <c r="M95" s="2"/>
      <c r="N95" s="2"/>
      <c r="O95" s="2"/>
      <c r="P95" s="2"/>
      <c r="Q95" s="2"/>
    </row>
    <row r="98" spans="1:17" x14ac:dyDescent="0.3">
      <c r="A98" s="1162" t="s">
        <v>4071</v>
      </c>
      <c r="B98" s="1162"/>
      <c r="C98" s="1162"/>
      <c r="D98" s="491" t="s">
        <v>213</v>
      </c>
      <c r="E98" s="491" t="s">
        <v>4051</v>
      </c>
      <c r="F98" s="491" t="s">
        <v>4052</v>
      </c>
      <c r="G98" s="491" t="s">
        <v>4053</v>
      </c>
      <c r="H98" s="491" t="s">
        <v>4054</v>
      </c>
      <c r="I98" s="491" t="s">
        <v>4055</v>
      </c>
      <c r="J98" s="491"/>
      <c r="K98" s="491" t="s">
        <v>4056</v>
      </c>
      <c r="L98" s="491" t="s">
        <v>213</v>
      </c>
      <c r="M98" s="491" t="s">
        <v>4051</v>
      </c>
      <c r="N98" s="491" t="s">
        <v>4052</v>
      </c>
      <c r="O98" s="491" t="s">
        <v>4053</v>
      </c>
      <c r="P98" s="491" t="s">
        <v>4054</v>
      </c>
      <c r="Q98" s="491" t="s">
        <v>4055</v>
      </c>
    </row>
    <row r="99" spans="1:17" s="2" customFormat="1" x14ac:dyDescent="0.3">
      <c r="A99" s="62" t="s">
        <v>4043</v>
      </c>
      <c r="B99" s="492" t="s">
        <v>4072</v>
      </c>
      <c r="C99" s="492" t="s">
        <v>4073</v>
      </c>
      <c r="D99" s="62">
        <v>3</v>
      </c>
      <c r="E99" s="62">
        <v>0</v>
      </c>
      <c r="F99" s="62">
        <v>1</v>
      </c>
      <c r="G99" s="62">
        <v>1</v>
      </c>
      <c r="H99" s="62">
        <v>2</v>
      </c>
      <c r="I99" s="62">
        <v>-3</v>
      </c>
      <c r="J99" s="62" t="s">
        <v>4046</v>
      </c>
      <c r="K99" s="492"/>
      <c r="L99" s="62"/>
      <c r="M99" s="62"/>
      <c r="N99" s="62"/>
      <c r="O99" s="62"/>
      <c r="P99" s="62"/>
      <c r="Q99" s="62"/>
    </row>
    <row r="100" spans="1:17" s="2" customFormat="1" x14ac:dyDescent="0.3">
      <c r="A100" s="62" t="s">
        <v>4043</v>
      </c>
      <c r="B100" s="492" t="s">
        <v>4074</v>
      </c>
      <c r="C100" s="492" t="s">
        <v>4075</v>
      </c>
      <c r="D100" s="62">
        <v>69</v>
      </c>
      <c r="E100" s="62">
        <v>20</v>
      </c>
      <c r="F100" s="62">
        <v>33</v>
      </c>
      <c r="G100" s="62">
        <v>53</v>
      </c>
      <c r="H100" s="62">
        <v>22</v>
      </c>
      <c r="I100" s="62">
        <v>-2</v>
      </c>
      <c r="J100" s="62" t="s">
        <v>4046</v>
      </c>
      <c r="K100" s="492" t="s">
        <v>4047</v>
      </c>
      <c r="L100" s="62">
        <v>23</v>
      </c>
      <c r="M100" s="62">
        <v>9</v>
      </c>
      <c r="N100" s="62">
        <v>15</v>
      </c>
      <c r="O100" s="62">
        <v>24</v>
      </c>
      <c r="P100" s="62">
        <v>6</v>
      </c>
      <c r="Q100" s="62">
        <v>7</v>
      </c>
    </row>
    <row r="101" spans="1:17" s="2" customFormat="1" x14ac:dyDescent="0.3">
      <c r="A101" s="62" t="s">
        <v>4048</v>
      </c>
      <c r="B101" s="492" t="s">
        <v>4072</v>
      </c>
      <c r="C101" s="492" t="s">
        <v>4073</v>
      </c>
      <c r="D101" s="62">
        <v>8</v>
      </c>
      <c r="E101" s="62">
        <v>1</v>
      </c>
      <c r="F101" s="62">
        <v>1</v>
      </c>
      <c r="G101" s="62">
        <v>2</v>
      </c>
      <c r="H101" s="62">
        <v>0</v>
      </c>
      <c r="I101" s="62">
        <v>-2</v>
      </c>
      <c r="J101" s="62" t="s">
        <v>4046</v>
      </c>
      <c r="K101" s="62"/>
      <c r="L101" s="62"/>
      <c r="M101" s="62"/>
      <c r="N101" s="62"/>
      <c r="O101" s="62"/>
      <c r="P101" s="62"/>
      <c r="Q101" s="62"/>
    </row>
    <row r="102" spans="1:17" s="2" customFormat="1" x14ac:dyDescent="0.3">
      <c r="A102" s="62" t="s">
        <v>4048</v>
      </c>
      <c r="B102" s="492" t="s">
        <v>4074</v>
      </c>
      <c r="C102" s="492" t="s">
        <v>4075</v>
      </c>
      <c r="D102" s="62">
        <v>44</v>
      </c>
      <c r="E102" s="62">
        <v>18</v>
      </c>
      <c r="F102" s="62">
        <v>34</v>
      </c>
      <c r="G102" s="62">
        <v>52</v>
      </c>
      <c r="H102" s="62">
        <v>13</v>
      </c>
      <c r="I102" s="62">
        <v>7</v>
      </c>
      <c r="J102" s="62" t="s">
        <v>4046</v>
      </c>
      <c r="K102" s="62"/>
      <c r="L102" s="62"/>
      <c r="M102" s="62"/>
      <c r="N102" s="62"/>
      <c r="O102" s="62"/>
      <c r="P102" s="62"/>
      <c r="Q102" s="62"/>
    </row>
    <row r="103" spans="1:17" s="2" customFormat="1" x14ac:dyDescent="0.3">
      <c r="A103" s="62" t="s">
        <v>4049</v>
      </c>
      <c r="B103" s="492" t="s">
        <v>4076</v>
      </c>
      <c r="C103" s="492" t="s">
        <v>4073</v>
      </c>
      <c r="D103" s="62">
        <v>19</v>
      </c>
      <c r="E103" s="62">
        <v>2</v>
      </c>
      <c r="F103" s="62">
        <v>5</v>
      </c>
      <c r="G103" s="62">
        <v>7</v>
      </c>
      <c r="H103" s="62">
        <v>2</v>
      </c>
      <c r="I103" s="62">
        <v>-1</v>
      </c>
      <c r="J103" s="62" t="s">
        <v>4046</v>
      </c>
      <c r="K103" s="492"/>
      <c r="L103" s="62"/>
      <c r="M103" s="62"/>
      <c r="N103" s="62"/>
      <c r="O103" s="62"/>
      <c r="P103" s="62"/>
      <c r="Q103" s="62"/>
    </row>
    <row r="104" spans="1:17" s="2" customFormat="1" x14ac:dyDescent="0.3">
      <c r="A104" s="62" t="s">
        <v>4049</v>
      </c>
      <c r="B104" s="492" t="s">
        <v>4077</v>
      </c>
      <c r="C104" s="492" t="s">
        <v>4075</v>
      </c>
      <c r="D104" s="62">
        <v>40</v>
      </c>
      <c r="E104" s="62">
        <v>13</v>
      </c>
      <c r="F104" s="62">
        <v>31</v>
      </c>
      <c r="G104" s="62">
        <v>44</v>
      </c>
      <c r="H104" s="62">
        <v>12</v>
      </c>
      <c r="I104" s="62">
        <v>-11</v>
      </c>
      <c r="J104" s="62" t="s">
        <v>4046</v>
      </c>
    </row>
    <row r="105" spans="1:17" s="2" customFormat="1" ht="15" thickBot="1" x14ac:dyDescent="0.35">
      <c r="A105" s="667" t="s">
        <v>4589</v>
      </c>
      <c r="B105" s="541" t="s">
        <v>4590</v>
      </c>
      <c r="C105" s="541" t="s">
        <v>4591</v>
      </c>
      <c r="D105" s="668">
        <v>56</v>
      </c>
      <c r="E105" s="668">
        <v>18</v>
      </c>
      <c r="F105" s="668">
        <v>30</v>
      </c>
      <c r="G105" s="669">
        <v>48</v>
      </c>
      <c r="H105" s="668">
        <v>10</v>
      </c>
      <c r="I105" s="668">
        <v>-8</v>
      </c>
      <c r="J105" s="670" t="s">
        <v>4046</v>
      </c>
    </row>
    <row r="107" spans="1:17" x14ac:dyDescent="0.3">
      <c r="C107" s="2" t="s">
        <v>4078</v>
      </c>
      <c r="D107" s="2">
        <f t="shared" ref="D107:I107" si="5">SUM(D99,D101,D103)</f>
        <v>30</v>
      </c>
      <c r="E107" s="2">
        <f t="shared" si="5"/>
        <v>3</v>
      </c>
      <c r="F107" s="2">
        <f t="shared" si="5"/>
        <v>7</v>
      </c>
      <c r="G107" s="2">
        <f t="shared" si="5"/>
        <v>10</v>
      </c>
      <c r="H107" s="2">
        <f t="shared" si="5"/>
        <v>4</v>
      </c>
      <c r="I107" s="2">
        <f t="shared" si="5"/>
        <v>-6</v>
      </c>
    </row>
    <row r="108" spans="1:17" x14ac:dyDescent="0.3">
      <c r="C108" s="2" t="s">
        <v>4079</v>
      </c>
      <c r="D108" s="2">
        <f>SUM(D100,D102,D104)</f>
        <v>153</v>
      </c>
      <c r="E108" s="2">
        <f>SUM(E100,E102,E104,M100)</f>
        <v>60</v>
      </c>
      <c r="F108" s="2">
        <f>SUM(F100,F102,F104,N100)</f>
        <v>113</v>
      </c>
      <c r="G108" s="2">
        <f>SUM(G100,G102,G104,O100)</f>
        <v>173</v>
      </c>
      <c r="H108" s="2">
        <f>SUM(H100,H102,H104,P100)</f>
        <v>53</v>
      </c>
      <c r="I108" s="2">
        <f>SUM(I100,I102,Q100,I104)</f>
        <v>1</v>
      </c>
    </row>
    <row r="112" spans="1:17" ht="15" thickBot="1" x14ac:dyDescent="0.35"/>
    <row r="113" spans="1:17" s="24" customFormat="1" ht="15" thickBot="1" x14ac:dyDescent="0.35">
      <c r="A113"/>
      <c r="B113"/>
      <c r="C113" s="2"/>
      <c r="D113" s="486" t="s">
        <v>1164</v>
      </c>
      <c r="E113" s="486" t="s">
        <v>147</v>
      </c>
      <c r="F113" s="486" t="s">
        <v>148</v>
      </c>
      <c r="G113" s="486" t="s">
        <v>149</v>
      </c>
      <c r="H113" s="486" t="s">
        <v>150</v>
      </c>
      <c r="I113" s="486" t="s">
        <v>1182</v>
      </c>
      <c r="J113" s="486" t="s">
        <v>156</v>
      </c>
      <c r="K113" s="486" t="s">
        <v>155</v>
      </c>
      <c r="M113"/>
      <c r="N113"/>
      <c r="O113"/>
      <c r="P113"/>
      <c r="Q113"/>
    </row>
    <row r="114" spans="1:17" x14ac:dyDescent="0.3">
      <c r="B114" s="1153" t="s">
        <v>4089</v>
      </c>
      <c r="C114" s="1153"/>
      <c r="D114" s="2">
        <v>234</v>
      </c>
      <c r="E114" s="2">
        <v>19</v>
      </c>
      <c r="F114" s="2">
        <v>30</v>
      </c>
      <c r="G114" s="2">
        <v>49</v>
      </c>
      <c r="H114" s="120">
        <v>0.20940170940170941</v>
      </c>
      <c r="I114" s="2">
        <v>-38</v>
      </c>
      <c r="J114" s="120">
        <v>-0.1623931623931624</v>
      </c>
      <c r="K114" s="2">
        <v>60</v>
      </c>
    </row>
    <row r="115" spans="1:17" x14ac:dyDescent="0.3">
      <c r="A115" s="62"/>
      <c r="B115" s="1153" t="s">
        <v>4082</v>
      </c>
      <c r="C115" s="1153"/>
      <c r="D115" s="2">
        <v>141</v>
      </c>
      <c r="E115" s="2">
        <v>33</v>
      </c>
      <c r="F115" s="2">
        <v>34</v>
      </c>
      <c r="G115" s="2">
        <v>67</v>
      </c>
      <c r="H115" s="120">
        <f>G115/D115</f>
        <v>0.47517730496453903</v>
      </c>
      <c r="I115" s="2">
        <v>43</v>
      </c>
      <c r="J115" s="495">
        <f>I115/D115</f>
        <v>0.30496453900709219</v>
      </c>
      <c r="K115" s="2">
        <v>79</v>
      </c>
    </row>
    <row r="117" spans="1:17" ht="15" thickBot="1" x14ac:dyDescent="0.35"/>
    <row r="118" spans="1:17" s="24" customFormat="1" ht="15" thickBot="1" x14ac:dyDescent="0.35">
      <c r="A118" s="484" t="s">
        <v>141</v>
      </c>
      <c r="B118" s="485" t="s">
        <v>140</v>
      </c>
      <c r="C118" s="486" t="s">
        <v>3631</v>
      </c>
      <c r="D118" s="486" t="s">
        <v>1164</v>
      </c>
      <c r="E118" s="486" t="s">
        <v>147</v>
      </c>
      <c r="F118" s="486" t="s">
        <v>148</v>
      </c>
      <c r="G118" s="486" t="s">
        <v>149</v>
      </c>
      <c r="H118" s="486" t="s">
        <v>150</v>
      </c>
      <c r="I118" s="486" t="s">
        <v>1182</v>
      </c>
      <c r="J118" s="486" t="s">
        <v>156</v>
      </c>
      <c r="K118" s="486" t="s">
        <v>155</v>
      </c>
      <c r="L118"/>
      <c r="M118"/>
      <c r="N118"/>
      <c r="O118"/>
      <c r="P118"/>
    </row>
    <row r="119" spans="1:17" s="2" customFormat="1" ht="15" thickBot="1" x14ac:dyDescent="0.35">
      <c r="A119" s="348" t="s">
        <v>100</v>
      </c>
      <c r="B119" s="333" t="s">
        <v>80</v>
      </c>
      <c r="C119" s="333" t="s">
        <v>79</v>
      </c>
      <c r="D119" s="333">
        <v>52</v>
      </c>
      <c r="E119" s="333">
        <v>10</v>
      </c>
      <c r="F119" s="333">
        <v>14</v>
      </c>
      <c r="G119" s="333">
        <v>24</v>
      </c>
      <c r="H119" s="341">
        <v>0.46153846153846156</v>
      </c>
      <c r="I119" s="333">
        <v>0</v>
      </c>
      <c r="J119" s="496">
        <v>0</v>
      </c>
      <c r="K119" s="333">
        <v>12</v>
      </c>
    </row>
    <row r="120" spans="1:17" s="2" customFormat="1" ht="15" thickBot="1" x14ac:dyDescent="0.35">
      <c r="A120" s="348" t="s">
        <v>97</v>
      </c>
      <c r="B120" s="333" t="s">
        <v>80</v>
      </c>
      <c r="C120" s="333" t="s">
        <v>79</v>
      </c>
      <c r="D120" s="333">
        <v>47</v>
      </c>
      <c r="E120" s="333">
        <v>2</v>
      </c>
      <c r="F120" s="333">
        <v>5</v>
      </c>
      <c r="G120" s="333">
        <v>7</v>
      </c>
      <c r="H120" s="341">
        <v>0.14893617021276595</v>
      </c>
      <c r="I120" s="333">
        <v>-2</v>
      </c>
      <c r="J120" s="496">
        <v>-4.2553191489361701E-2</v>
      </c>
      <c r="K120" s="333">
        <v>8</v>
      </c>
    </row>
    <row r="121" spans="1:17" s="2" customFormat="1" x14ac:dyDescent="0.3">
      <c r="A121" s="348" t="s">
        <v>4036</v>
      </c>
      <c r="B121" s="333" t="s">
        <v>80</v>
      </c>
      <c r="C121" s="333" t="s">
        <v>79</v>
      </c>
      <c r="D121" s="333">
        <v>41</v>
      </c>
      <c r="E121" s="333">
        <v>2</v>
      </c>
      <c r="F121" s="333">
        <v>3</v>
      </c>
      <c r="G121" s="333">
        <v>5</v>
      </c>
      <c r="H121" s="341">
        <v>0.12195121951219512</v>
      </c>
      <c r="I121" s="333">
        <v>-8</v>
      </c>
      <c r="J121" s="496">
        <v>-0.1951219512195122</v>
      </c>
      <c r="K121" s="333">
        <v>8</v>
      </c>
    </row>
    <row r="123" spans="1:17" ht="15" thickBot="1" x14ac:dyDescent="0.35"/>
    <row r="124" spans="1:17" s="24" customFormat="1" ht="15" thickBot="1" x14ac:dyDescent="0.35">
      <c r="A124"/>
      <c r="B124"/>
      <c r="C124" s="2"/>
      <c r="D124" s="486" t="s">
        <v>1164</v>
      </c>
      <c r="E124" s="486" t="s">
        <v>147</v>
      </c>
      <c r="F124" s="486" t="s">
        <v>148</v>
      </c>
      <c r="G124" s="486" t="s">
        <v>149</v>
      </c>
      <c r="H124" s="486" t="s">
        <v>150</v>
      </c>
      <c r="I124" s="486" t="s">
        <v>1182</v>
      </c>
      <c r="J124" s="486" t="s">
        <v>156</v>
      </c>
      <c r="K124" s="486" t="s">
        <v>155</v>
      </c>
      <c r="M124"/>
      <c r="N124"/>
      <c r="O124"/>
      <c r="P124"/>
      <c r="Q124"/>
    </row>
    <row r="125" spans="1:17" ht="14.4" customHeight="1" x14ac:dyDescent="0.3">
      <c r="A125" s="1160" t="s">
        <v>4084</v>
      </c>
      <c r="B125" s="1153" t="s">
        <v>4083</v>
      </c>
      <c r="C125" s="1153"/>
      <c r="D125" s="2">
        <v>140</v>
      </c>
      <c r="E125" s="2">
        <v>14</v>
      </c>
      <c r="F125" s="2">
        <v>22</v>
      </c>
      <c r="G125" s="2">
        <v>36</v>
      </c>
      <c r="H125" s="120">
        <v>0.25714285714285712</v>
      </c>
      <c r="I125" s="2">
        <v>-10</v>
      </c>
      <c r="J125" s="490">
        <v>-7.1428571428571425E-2</v>
      </c>
      <c r="K125" s="2">
        <v>28</v>
      </c>
    </row>
    <row r="126" spans="1:17" x14ac:dyDescent="0.3">
      <c r="A126" s="1160"/>
      <c r="B126" s="1153" t="s">
        <v>4085</v>
      </c>
      <c r="C126" s="1153"/>
      <c r="D126" s="2">
        <v>141</v>
      </c>
      <c r="E126" s="2">
        <v>33</v>
      </c>
      <c r="F126" s="2">
        <v>34</v>
      </c>
      <c r="G126" s="2">
        <v>67</v>
      </c>
      <c r="H126" s="120">
        <v>0.47517730496453903</v>
      </c>
      <c r="I126" s="2">
        <v>43</v>
      </c>
      <c r="J126" s="494">
        <v>0.30496453900709219</v>
      </c>
      <c r="K126" s="2">
        <v>79</v>
      </c>
    </row>
    <row r="127" spans="1:17" x14ac:dyDescent="0.3">
      <c r="A127" s="1160"/>
      <c r="B127" s="1153" t="s">
        <v>4087</v>
      </c>
      <c r="C127" s="1153"/>
      <c r="D127" s="2">
        <v>390</v>
      </c>
      <c r="E127" s="2">
        <v>77</v>
      </c>
      <c r="F127" s="2">
        <v>120</v>
      </c>
      <c r="G127" s="2">
        <v>197</v>
      </c>
      <c r="H127" s="120">
        <v>0.50512820512820511</v>
      </c>
      <c r="I127" s="2">
        <v>5</v>
      </c>
      <c r="J127" s="490">
        <v>1.282051282051282E-2</v>
      </c>
      <c r="K127" s="2">
        <v>229</v>
      </c>
    </row>
    <row r="128" spans="1:17" x14ac:dyDescent="0.3">
      <c r="A128" s="1160"/>
      <c r="B128" s="1161" t="s">
        <v>4088</v>
      </c>
      <c r="C128" s="1161"/>
      <c r="D128" s="497">
        <f>SUM(D126:D127)</f>
        <v>531</v>
      </c>
      <c r="E128" s="497">
        <f>SUM(E126:E127)</f>
        <v>110</v>
      </c>
      <c r="F128" s="497">
        <f>SUM(F126:F127)</f>
        <v>154</v>
      </c>
      <c r="G128" s="497">
        <f>SUM(G126:G127)</f>
        <v>264</v>
      </c>
      <c r="H128" s="498">
        <f>G128/D128</f>
        <v>0.49717514124293788</v>
      </c>
      <c r="I128" s="497">
        <f>SUM(I126:I127)</f>
        <v>48</v>
      </c>
      <c r="J128" s="499">
        <f>I128/D128</f>
        <v>9.03954802259887E-2</v>
      </c>
      <c r="K128" s="497">
        <f>SUM(K126:K127)</f>
        <v>308</v>
      </c>
    </row>
    <row r="130" spans="1:17" s="409" customFormat="1" ht="24" thickBot="1" x14ac:dyDescent="0.35">
      <c r="C130" s="1159" t="s">
        <v>4086</v>
      </c>
      <c r="D130" s="1159"/>
      <c r="E130" s="1159"/>
      <c r="F130" s="1159"/>
    </row>
    <row r="131" spans="1:17" s="24" customFormat="1" ht="15" thickBot="1" x14ac:dyDescent="0.35">
      <c r="A131" s="484" t="s">
        <v>141</v>
      </c>
      <c r="B131" s="485" t="s">
        <v>140</v>
      </c>
      <c r="C131" s="486" t="s">
        <v>3631</v>
      </c>
      <c r="D131" s="486" t="s">
        <v>1164</v>
      </c>
      <c r="E131" s="486" t="s">
        <v>147</v>
      </c>
      <c r="F131" s="486" t="s">
        <v>148</v>
      </c>
      <c r="G131" s="486" t="s">
        <v>149</v>
      </c>
      <c r="H131" s="486" t="s">
        <v>150</v>
      </c>
      <c r="I131" s="486" t="s">
        <v>1182</v>
      </c>
      <c r="J131" s="486" t="s">
        <v>156</v>
      </c>
      <c r="K131" s="486" t="s">
        <v>218</v>
      </c>
      <c r="L131" s="486" t="s">
        <v>155</v>
      </c>
      <c r="M131" s="487" t="s">
        <v>138</v>
      </c>
      <c r="N131" s="488" t="s">
        <v>126</v>
      </c>
      <c r="O131"/>
      <c r="P131"/>
      <c r="Q131"/>
    </row>
    <row r="132" spans="1:17" ht="15" thickBot="1" x14ac:dyDescent="0.35">
      <c r="A132" s="489" t="s">
        <v>122</v>
      </c>
      <c r="B132" s="483" t="s">
        <v>80</v>
      </c>
      <c r="C132" s="342" t="s">
        <v>79</v>
      </c>
      <c r="D132" s="342">
        <v>51</v>
      </c>
      <c r="E132" s="342">
        <v>14</v>
      </c>
      <c r="F132" s="342">
        <v>23</v>
      </c>
      <c r="G132" s="342">
        <v>37</v>
      </c>
      <c r="H132" s="341">
        <v>0.72549019607843135</v>
      </c>
      <c r="I132" s="342">
        <v>2</v>
      </c>
      <c r="J132" s="482">
        <v>3.9215686274509803E-2</v>
      </c>
      <c r="K132" s="342">
        <v>114</v>
      </c>
      <c r="L132" s="342">
        <v>54</v>
      </c>
      <c r="M132" s="353">
        <v>32.927083333333336</v>
      </c>
      <c r="N132" s="344">
        <v>0.64513888888888882</v>
      </c>
    </row>
    <row r="133" spans="1:17" ht="15" thickBot="1" x14ac:dyDescent="0.35">
      <c r="A133" s="348" t="s">
        <v>4031</v>
      </c>
      <c r="B133" s="481" t="s">
        <v>80</v>
      </c>
      <c r="C133" s="333" t="s">
        <v>79</v>
      </c>
      <c r="D133" s="333">
        <v>51</v>
      </c>
      <c r="E133" s="333">
        <v>12</v>
      </c>
      <c r="F133" s="333">
        <v>22</v>
      </c>
      <c r="G133" s="333">
        <v>34</v>
      </c>
      <c r="H133" s="341">
        <v>0.66666666666666663</v>
      </c>
      <c r="I133" s="333">
        <v>5</v>
      </c>
      <c r="J133" s="482">
        <v>9.8039215686274508E-2</v>
      </c>
      <c r="K133" s="333">
        <v>101</v>
      </c>
      <c r="L133" s="333">
        <v>6</v>
      </c>
      <c r="M133" s="336">
        <v>36.317361111111111</v>
      </c>
      <c r="N133" s="335">
        <v>0.71180555555555547</v>
      </c>
    </row>
    <row r="134" spans="1:17" ht="15" thickBot="1" x14ac:dyDescent="0.35">
      <c r="A134" s="348" t="s">
        <v>3614</v>
      </c>
      <c r="B134" s="481" t="s">
        <v>80</v>
      </c>
      <c r="C134" s="333" t="s">
        <v>79</v>
      </c>
      <c r="D134" s="333">
        <v>52</v>
      </c>
      <c r="E134" s="333">
        <v>18</v>
      </c>
      <c r="F134" s="333">
        <v>14</v>
      </c>
      <c r="G134" s="333">
        <v>32</v>
      </c>
      <c r="H134" s="341">
        <v>0.61538461538461542</v>
      </c>
      <c r="I134" s="333">
        <v>1</v>
      </c>
      <c r="J134" s="482">
        <v>1.9230769230769232E-2</v>
      </c>
      <c r="K134" s="333">
        <v>134</v>
      </c>
      <c r="L134" s="333">
        <v>24</v>
      </c>
      <c r="M134" s="336">
        <v>38.495138888888889</v>
      </c>
      <c r="N134" s="335">
        <v>0.7402777777777777</v>
      </c>
    </row>
    <row r="135" spans="1:17" ht="15" thickBot="1" x14ac:dyDescent="0.35">
      <c r="A135" s="348" t="s">
        <v>124</v>
      </c>
      <c r="B135" s="481" t="s">
        <v>80</v>
      </c>
      <c r="C135" s="333" t="s">
        <v>79</v>
      </c>
      <c r="D135" s="333">
        <v>48</v>
      </c>
      <c r="E135" s="333">
        <v>12</v>
      </c>
      <c r="F135" s="333">
        <v>20</v>
      </c>
      <c r="G135" s="333">
        <v>32</v>
      </c>
      <c r="H135" s="341">
        <v>0.66666666666666663</v>
      </c>
      <c r="I135" s="333">
        <v>6</v>
      </c>
      <c r="J135" s="482">
        <v>0.125</v>
      </c>
      <c r="K135" s="333">
        <v>93</v>
      </c>
      <c r="L135" s="333">
        <v>18</v>
      </c>
      <c r="M135" s="336">
        <v>30.321527777777778</v>
      </c>
      <c r="N135" s="335">
        <v>0.63124999999999998</v>
      </c>
    </row>
    <row r="136" spans="1:17" ht="15" thickBot="1" x14ac:dyDescent="0.35">
      <c r="A136" s="348" t="s">
        <v>3617</v>
      </c>
      <c r="B136" s="481" t="s">
        <v>80</v>
      </c>
      <c r="C136" s="333" t="s">
        <v>79</v>
      </c>
      <c r="D136" s="333">
        <v>48</v>
      </c>
      <c r="E136" s="333">
        <v>11</v>
      </c>
      <c r="F136" s="333">
        <v>19</v>
      </c>
      <c r="G136" s="333">
        <v>30</v>
      </c>
      <c r="H136" s="341">
        <v>0.625</v>
      </c>
      <c r="I136" s="333">
        <v>9</v>
      </c>
      <c r="J136" s="482">
        <v>0.1875</v>
      </c>
      <c r="K136" s="333">
        <v>101</v>
      </c>
      <c r="L136" s="333">
        <v>51</v>
      </c>
      <c r="M136" s="336">
        <v>29.492361111111112</v>
      </c>
      <c r="N136" s="335">
        <v>0.61388888888888882</v>
      </c>
    </row>
    <row r="137" spans="1:17" ht="15" thickBot="1" x14ac:dyDescent="0.35">
      <c r="A137" s="348" t="s">
        <v>4032</v>
      </c>
      <c r="B137" s="481" t="s">
        <v>80</v>
      </c>
      <c r="C137" s="333" t="s">
        <v>88</v>
      </c>
      <c r="D137" s="333">
        <v>52</v>
      </c>
      <c r="E137" s="333">
        <v>12</v>
      </c>
      <c r="F137" s="333">
        <v>6</v>
      </c>
      <c r="G137" s="333">
        <v>18</v>
      </c>
      <c r="H137" s="341">
        <v>0.34615384615384615</v>
      </c>
      <c r="I137" s="333">
        <v>4</v>
      </c>
      <c r="J137" s="482">
        <v>7.6923076923076927E-2</v>
      </c>
      <c r="K137" s="333">
        <v>144</v>
      </c>
      <c r="L137" s="333">
        <v>62</v>
      </c>
      <c r="M137" s="336">
        <v>48.934722222222227</v>
      </c>
      <c r="N137" s="335">
        <v>0.94097222222222221</v>
      </c>
    </row>
    <row r="138" spans="1:17" ht="15" thickBot="1" x14ac:dyDescent="0.35">
      <c r="A138" s="348" t="s">
        <v>4033</v>
      </c>
      <c r="B138" s="481" t="s">
        <v>80</v>
      </c>
      <c r="C138" s="333" t="s">
        <v>88</v>
      </c>
      <c r="D138" s="333">
        <v>48</v>
      </c>
      <c r="E138" s="333">
        <v>5</v>
      </c>
      <c r="F138" s="333">
        <v>12</v>
      </c>
      <c r="G138" s="333">
        <v>17</v>
      </c>
      <c r="H138" s="341">
        <v>0.35416666666666669</v>
      </c>
      <c r="I138" s="333">
        <v>0</v>
      </c>
      <c r="J138" s="482">
        <v>0</v>
      </c>
      <c r="K138" s="333">
        <v>88</v>
      </c>
      <c r="L138" s="333">
        <v>18</v>
      </c>
      <c r="M138" s="336">
        <v>40.484722222222224</v>
      </c>
      <c r="N138" s="335">
        <v>0.84305555555555556</v>
      </c>
    </row>
    <row r="139" spans="1:17" ht="15" thickBot="1" x14ac:dyDescent="0.35">
      <c r="A139" s="348" t="s">
        <v>108</v>
      </c>
      <c r="B139" s="481" t="s">
        <v>80</v>
      </c>
      <c r="C139" s="333" t="s">
        <v>79</v>
      </c>
      <c r="D139" s="333">
        <v>36</v>
      </c>
      <c r="E139" s="333">
        <v>3</v>
      </c>
      <c r="F139" s="333">
        <v>8</v>
      </c>
      <c r="G139" s="333">
        <v>11</v>
      </c>
      <c r="H139" s="341">
        <v>0.30555555555555558</v>
      </c>
      <c r="I139" s="333">
        <v>-4</v>
      </c>
      <c r="J139" s="482">
        <v>-0.1111111111111111</v>
      </c>
      <c r="K139" s="333">
        <v>22</v>
      </c>
      <c r="L139" s="333">
        <v>8</v>
      </c>
      <c r="M139" s="336">
        <v>26.238194444444446</v>
      </c>
      <c r="N139" s="335">
        <v>0.7284722222222223</v>
      </c>
    </row>
    <row r="140" spans="1:17" ht="15" thickBot="1" x14ac:dyDescent="0.35">
      <c r="A140" s="348" t="s">
        <v>4034</v>
      </c>
      <c r="B140" s="481" t="s">
        <v>80</v>
      </c>
      <c r="C140" s="333" t="s">
        <v>88</v>
      </c>
      <c r="D140" s="333">
        <v>50</v>
      </c>
      <c r="E140" s="333">
        <v>0</v>
      </c>
      <c r="F140" s="333">
        <v>11</v>
      </c>
      <c r="G140" s="333">
        <v>11</v>
      </c>
      <c r="H140" s="341">
        <v>0.22</v>
      </c>
      <c r="I140" s="333">
        <v>-14</v>
      </c>
      <c r="J140" s="482">
        <v>-0.28000000000000003</v>
      </c>
      <c r="K140" s="333">
        <v>72</v>
      </c>
      <c r="L140" s="333">
        <v>16</v>
      </c>
      <c r="M140" s="336">
        <v>38.923611111111107</v>
      </c>
      <c r="N140" s="335">
        <v>0.77847222222222223</v>
      </c>
    </row>
    <row r="141" spans="1:17" ht="15" thickBot="1" x14ac:dyDescent="0.35">
      <c r="A141" s="348" t="s">
        <v>3622</v>
      </c>
      <c r="B141" s="481" t="s">
        <v>80</v>
      </c>
      <c r="C141" s="333" t="s">
        <v>79</v>
      </c>
      <c r="D141" s="333">
        <v>52</v>
      </c>
      <c r="E141" s="333">
        <v>6</v>
      </c>
      <c r="F141" s="333">
        <v>4</v>
      </c>
      <c r="G141" s="333">
        <v>10</v>
      </c>
      <c r="H141" s="341">
        <v>0.19230769230769232</v>
      </c>
      <c r="I141" s="333">
        <v>-12</v>
      </c>
      <c r="J141" s="482">
        <v>-0.23076923076923078</v>
      </c>
      <c r="K141" s="333">
        <v>85</v>
      </c>
      <c r="L141" s="333">
        <v>28</v>
      </c>
      <c r="M141" s="336">
        <v>30.525000000000002</v>
      </c>
      <c r="N141" s="335">
        <v>0.58680555555555558</v>
      </c>
    </row>
    <row r="142" spans="1:17" ht="15" thickBot="1" x14ac:dyDescent="0.35">
      <c r="A142" s="348" t="s">
        <v>83</v>
      </c>
      <c r="B142" s="481" t="s">
        <v>80</v>
      </c>
      <c r="C142" s="333" t="s">
        <v>79</v>
      </c>
      <c r="D142" s="333">
        <v>31</v>
      </c>
      <c r="E142" s="333">
        <v>1</v>
      </c>
      <c r="F142" s="333">
        <v>6</v>
      </c>
      <c r="G142" s="333">
        <v>7</v>
      </c>
      <c r="H142" s="341">
        <v>0.22580645161290322</v>
      </c>
      <c r="I142" s="333">
        <v>1</v>
      </c>
      <c r="J142" s="482">
        <v>3.2258064516129031E-2</v>
      </c>
      <c r="K142" s="333">
        <v>10</v>
      </c>
      <c r="L142" s="333">
        <v>40</v>
      </c>
      <c r="M142" s="336">
        <v>11.415972222222223</v>
      </c>
      <c r="N142" s="335">
        <v>0.36805555555555558</v>
      </c>
    </row>
    <row r="143" spans="1:17" ht="15" thickBot="1" x14ac:dyDescent="0.35">
      <c r="A143" s="348" t="s">
        <v>1176</v>
      </c>
      <c r="B143" s="481" t="s">
        <v>80</v>
      </c>
      <c r="C143" s="333" t="s">
        <v>79</v>
      </c>
      <c r="D143" s="333">
        <v>12</v>
      </c>
      <c r="E143" s="333">
        <v>0</v>
      </c>
      <c r="F143" s="333">
        <v>3</v>
      </c>
      <c r="G143" s="333">
        <v>3</v>
      </c>
      <c r="H143" s="341">
        <v>0.25</v>
      </c>
      <c r="I143" s="333">
        <v>-2</v>
      </c>
      <c r="J143" s="482">
        <v>-0.16666666666666666</v>
      </c>
      <c r="K143" s="333">
        <v>10</v>
      </c>
      <c r="L143" s="333">
        <v>0</v>
      </c>
      <c r="M143" s="336">
        <v>5.9930555555555562</v>
      </c>
      <c r="N143" s="335">
        <v>0.4993055555555555</v>
      </c>
    </row>
    <row r="144" spans="1:17" ht="15" thickBot="1" x14ac:dyDescent="0.35">
      <c r="A144" s="348" t="s">
        <v>1226</v>
      </c>
      <c r="B144" s="481" t="s">
        <v>80</v>
      </c>
      <c r="C144" s="333" t="s">
        <v>79</v>
      </c>
      <c r="D144" s="333">
        <v>9</v>
      </c>
      <c r="E144" s="333">
        <v>0</v>
      </c>
      <c r="F144" s="333">
        <v>1</v>
      </c>
      <c r="G144" s="333">
        <v>1</v>
      </c>
      <c r="H144" s="341">
        <v>0.1111111111111111</v>
      </c>
      <c r="I144" s="333">
        <v>-1</v>
      </c>
      <c r="J144" s="482">
        <v>-0.1111111111111111</v>
      </c>
      <c r="K144" s="333">
        <v>12</v>
      </c>
      <c r="L144" s="333">
        <v>0</v>
      </c>
      <c r="M144" s="336">
        <v>3.0472222222222225</v>
      </c>
      <c r="N144" s="335">
        <v>0.33819444444444446</v>
      </c>
    </row>
    <row r="145" spans="1:14" ht="15" thickBot="1" x14ac:dyDescent="0.35">
      <c r="A145" s="348" t="s">
        <v>4039</v>
      </c>
      <c r="B145" s="481" t="s">
        <v>80</v>
      </c>
      <c r="C145" s="333" t="s">
        <v>88</v>
      </c>
      <c r="D145" s="333">
        <v>14</v>
      </c>
      <c r="E145" s="333">
        <v>0</v>
      </c>
      <c r="F145" s="333">
        <v>1</v>
      </c>
      <c r="G145" s="333">
        <v>1</v>
      </c>
      <c r="H145" s="341">
        <v>7.1428571428571425E-2</v>
      </c>
      <c r="I145" s="333">
        <v>0</v>
      </c>
      <c r="J145" s="482">
        <v>0</v>
      </c>
      <c r="K145" s="333">
        <v>10</v>
      </c>
      <c r="L145" s="333">
        <v>2</v>
      </c>
      <c r="M145" s="336">
        <v>5.624305555555555</v>
      </c>
      <c r="N145" s="335">
        <v>0.40138888888888885</v>
      </c>
    </row>
    <row r="146" spans="1:14" x14ac:dyDescent="0.3">
      <c r="A146" s="348" t="s">
        <v>4041</v>
      </c>
      <c r="B146" s="481" t="s">
        <v>80</v>
      </c>
      <c r="C146" s="333" t="s">
        <v>88</v>
      </c>
      <c r="D146" s="333">
        <v>9</v>
      </c>
      <c r="E146" s="333">
        <v>0</v>
      </c>
      <c r="F146" s="333">
        <v>0</v>
      </c>
      <c r="G146" s="333">
        <v>0</v>
      </c>
      <c r="H146" s="341">
        <v>0</v>
      </c>
      <c r="I146" s="333">
        <v>-3</v>
      </c>
      <c r="J146" s="482">
        <v>-0.33333333333333331</v>
      </c>
      <c r="K146" s="333">
        <v>8</v>
      </c>
      <c r="L146" s="333">
        <v>0</v>
      </c>
      <c r="M146" s="336">
        <v>4.0687500000000005</v>
      </c>
      <c r="N146" s="335">
        <v>0.45208333333333334</v>
      </c>
    </row>
    <row r="149" spans="1:14" x14ac:dyDescent="0.3">
      <c r="A149"/>
      <c r="C149"/>
    </row>
    <row r="150" spans="1:14" x14ac:dyDescent="0.3">
      <c r="A150"/>
      <c r="C150"/>
    </row>
    <row r="151" spans="1:14" x14ac:dyDescent="0.3">
      <c r="A151"/>
      <c r="C151"/>
    </row>
    <row r="152" spans="1:14" x14ac:dyDescent="0.3">
      <c r="A152"/>
      <c r="C152"/>
    </row>
    <row r="153" spans="1:14" ht="15" thickBot="1" x14ac:dyDescent="0.35">
      <c r="A153"/>
      <c r="C153"/>
    </row>
    <row r="154" spans="1:14" x14ac:dyDescent="0.3">
      <c r="A154" s="503" t="s">
        <v>141</v>
      </c>
      <c r="B154" s="504" t="s">
        <v>140</v>
      </c>
      <c r="C154" s="505" t="s">
        <v>1164</v>
      </c>
      <c r="D154" s="505" t="s">
        <v>147</v>
      </c>
      <c r="E154" s="505" t="s">
        <v>148</v>
      </c>
      <c r="F154" s="505" t="s">
        <v>149</v>
      </c>
      <c r="G154" s="505" t="s">
        <v>150</v>
      </c>
      <c r="H154" s="505" t="s">
        <v>1182</v>
      </c>
      <c r="I154" s="505" t="s">
        <v>4091</v>
      </c>
      <c r="J154" s="509" t="s">
        <v>155</v>
      </c>
    </row>
    <row r="155" spans="1:14" x14ac:dyDescent="0.3">
      <c r="A155" s="510" t="s">
        <v>100</v>
      </c>
      <c r="B155" s="506" t="s">
        <v>80</v>
      </c>
      <c r="C155" s="506">
        <v>52</v>
      </c>
      <c r="D155" s="506">
        <v>10</v>
      </c>
      <c r="E155" s="506">
        <v>14</v>
      </c>
      <c r="F155" s="506">
        <v>24</v>
      </c>
      <c r="G155" s="507">
        <v>0.46153846153846156</v>
      </c>
      <c r="H155" s="506">
        <v>0</v>
      </c>
      <c r="I155" s="508">
        <v>0.65069444444444446</v>
      </c>
      <c r="J155" s="511">
        <v>12</v>
      </c>
    </row>
    <row r="156" spans="1:14" ht="15" thickBot="1" x14ac:dyDescent="0.35">
      <c r="A156" s="512" t="s">
        <v>4069</v>
      </c>
      <c r="B156" s="513" t="s">
        <v>325</v>
      </c>
      <c r="C156" s="514">
        <v>43</v>
      </c>
      <c r="D156" s="514">
        <v>12</v>
      </c>
      <c r="E156" s="514">
        <v>9</v>
      </c>
      <c r="F156" s="514">
        <v>21</v>
      </c>
      <c r="G156" s="515">
        <f>F156/C156</f>
        <v>0.48837209302325579</v>
      </c>
      <c r="H156" s="514">
        <v>4</v>
      </c>
      <c r="I156" s="516">
        <v>0.53680555555555554</v>
      </c>
      <c r="J156" s="517">
        <v>12</v>
      </c>
    </row>
    <row r="157" spans="1:14" ht="15" thickBot="1" x14ac:dyDescent="0.35">
      <c r="A157" s="501"/>
      <c r="B157" s="502"/>
      <c r="C157" s="501"/>
      <c r="D157" s="502"/>
      <c r="E157" s="502"/>
      <c r="F157" s="502"/>
      <c r="G157" s="502"/>
      <c r="H157" s="502"/>
      <c r="I157" s="502"/>
      <c r="J157" s="502"/>
    </row>
    <row r="158" spans="1:14" x14ac:dyDescent="0.3">
      <c r="A158" s="503" t="s">
        <v>141</v>
      </c>
      <c r="B158" s="504" t="s">
        <v>140</v>
      </c>
      <c r="C158" s="505" t="s">
        <v>1164</v>
      </c>
      <c r="D158" s="505" t="s">
        <v>147</v>
      </c>
      <c r="E158" s="505" t="s">
        <v>148</v>
      </c>
      <c r="F158" s="505" t="s">
        <v>149</v>
      </c>
      <c r="G158" s="505" t="s">
        <v>150</v>
      </c>
      <c r="H158" s="505" t="s">
        <v>1182</v>
      </c>
      <c r="I158" s="505" t="s">
        <v>4091</v>
      </c>
      <c r="J158" s="509" t="s">
        <v>155</v>
      </c>
    </row>
    <row r="159" spans="1:14" x14ac:dyDescent="0.3">
      <c r="A159" s="510" t="s">
        <v>4036</v>
      </c>
      <c r="B159" s="506" t="s">
        <v>80</v>
      </c>
      <c r="C159" s="506">
        <v>41</v>
      </c>
      <c r="D159" s="506">
        <v>2</v>
      </c>
      <c r="E159" s="506">
        <v>3</v>
      </c>
      <c r="F159" s="506">
        <v>5</v>
      </c>
      <c r="G159" s="507">
        <v>0.12195121951219512</v>
      </c>
      <c r="H159" s="506">
        <v>-8</v>
      </c>
      <c r="I159" s="508">
        <v>0.60763888888888895</v>
      </c>
      <c r="J159" s="511">
        <v>8</v>
      </c>
    </row>
    <row r="160" spans="1:14" ht="15" thickBot="1" x14ac:dyDescent="0.35">
      <c r="A160" s="512" t="s">
        <v>4068</v>
      </c>
      <c r="B160" s="513" t="s">
        <v>331</v>
      </c>
      <c r="C160" s="514">
        <v>46</v>
      </c>
      <c r="D160" s="514">
        <v>12</v>
      </c>
      <c r="E160" s="514">
        <v>15</v>
      </c>
      <c r="F160" s="514">
        <v>27</v>
      </c>
      <c r="G160" s="515">
        <f>F160/C160</f>
        <v>0.58695652173913049</v>
      </c>
      <c r="H160" s="514">
        <v>19</v>
      </c>
      <c r="I160" s="516">
        <v>0.67083333333333339</v>
      </c>
      <c r="J160" s="517">
        <v>37</v>
      </c>
    </row>
    <row r="161" spans="1:17" ht="15" thickBot="1" x14ac:dyDescent="0.35">
      <c r="A161" s="501"/>
      <c r="B161" s="502"/>
      <c r="C161" s="501"/>
      <c r="D161" s="502"/>
      <c r="E161" s="502"/>
      <c r="F161" s="502"/>
      <c r="G161" s="502"/>
      <c r="H161" s="502"/>
      <c r="I161" s="502"/>
      <c r="J161" s="502"/>
    </row>
    <row r="162" spans="1:17" x14ac:dyDescent="0.3">
      <c r="A162" s="503" t="s">
        <v>141</v>
      </c>
      <c r="B162" s="504" t="s">
        <v>140</v>
      </c>
      <c r="C162" s="505" t="s">
        <v>1164</v>
      </c>
      <c r="D162" s="505" t="s">
        <v>147</v>
      </c>
      <c r="E162" s="505" t="s">
        <v>148</v>
      </c>
      <c r="F162" s="505" t="s">
        <v>149</v>
      </c>
      <c r="G162" s="505" t="s">
        <v>150</v>
      </c>
      <c r="H162" s="505" t="s">
        <v>1182</v>
      </c>
      <c r="I162" s="505" t="s">
        <v>4091</v>
      </c>
      <c r="J162" s="509" t="s">
        <v>155</v>
      </c>
    </row>
    <row r="163" spans="1:17" x14ac:dyDescent="0.3">
      <c r="A163" s="510" t="s">
        <v>97</v>
      </c>
      <c r="B163" s="506" t="s">
        <v>80</v>
      </c>
      <c r="C163" s="506">
        <v>47</v>
      </c>
      <c r="D163" s="506">
        <v>2</v>
      </c>
      <c r="E163" s="506">
        <v>5</v>
      </c>
      <c r="F163" s="506">
        <v>7</v>
      </c>
      <c r="G163" s="507">
        <v>0.14893617021276595</v>
      </c>
      <c r="H163" s="506">
        <v>-2</v>
      </c>
      <c r="I163" s="508">
        <v>0.51527777777777783</v>
      </c>
      <c r="J163" s="511">
        <v>8</v>
      </c>
    </row>
    <row r="164" spans="1:17" ht="15" thickBot="1" x14ac:dyDescent="0.35">
      <c r="A164" s="512" t="s">
        <v>4070</v>
      </c>
      <c r="B164" s="513" t="s">
        <v>325</v>
      </c>
      <c r="C164" s="514">
        <v>52</v>
      </c>
      <c r="D164" s="514">
        <v>9</v>
      </c>
      <c r="E164" s="514">
        <v>10</v>
      </c>
      <c r="F164" s="514">
        <v>19</v>
      </c>
      <c r="G164" s="515">
        <f>F164/C164</f>
        <v>0.36538461538461536</v>
      </c>
      <c r="H164" s="514">
        <v>20</v>
      </c>
      <c r="I164" s="516">
        <v>0.60972222222222217</v>
      </c>
      <c r="J164" s="517">
        <v>30</v>
      </c>
    </row>
    <row r="166" spans="1:17" s="518" customFormat="1" ht="24" thickBot="1" x14ac:dyDescent="0.35">
      <c r="C166" s="1158" t="s">
        <v>4100</v>
      </c>
      <c r="D166" s="1158"/>
      <c r="E166" s="1158"/>
      <c r="F166" s="1158"/>
    </row>
    <row r="167" spans="1:17" s="24" customFormat="1" ht="15" thickBot="1" x14ac:dyDescent="0.35">
      <c r="A167" s="484" t="s">
        <v>141</v>
      </c>
      <c r="B167" s="485" t="s">
        <v>140</v>
      </c>
      <c r="C167" s="486" t="s">
        <v>3631</v>
      </c>
      <c r="D167" s="486" t="s">
        <v>1164</v>
      </c>
      <c r="E167" s="486" t="s">
        <v>147</v>
      </c>
      <c r="F167" s="486" t="s">
        <v>148</v>
      </c>
      <c r="G167" s="486" t="s">
        <v>149</v>
      </c>
      <c r="H167" s="486" t="s">
        <v>150</v>
      </c>
      <c r="I167" s="486" t="s">
        <v>1182</v>
      </c>
      <c r="J167" s="486" t="s">
        <v>156</v>
      </c>
      <c r="K167" s="486" t="s">
        <v>218</v>
      </c>
      <c r="L167" s="486" t="s">
        <v>155</v>
      </c>
      <c r="M167" s="487" t="s">
        <v>138</v>
      </c>
      <c r="N167" s="488" t="s">
        <v>126</v>
      </c>
      <c r="O167"/>
      <c r="P167"/>
      <c r="Q167"/>
    </row>
    <row r="168" spans="1:17" ht="15" thickBot="1" x14ac:dyDescent="0.35">
      <c r="A168" s="348" t="s">
        <v>870</v>
      </c>
      <c r="B168" s="481" t="s">
        <v>80</v>
      </c>
      <c r="C168" s="333" t="s">
        <v>88</v>
      </c>
      <c r="D168" s="333">
        <v>52</v>
      </c>
      <c r="E168" s="333">
        <v>10</v>
      </c>
      <c r="F168" s="333">
        <v>14</v>
      </c>
      <c r="G168" s="333">
        <v>24</v>
      </c>
      <c r="H168" s="341">
        <v>0.46153846153846156</v>
      </c>
      <c r="I168" s="333">
        <v>5</v>
      </c>
      <c r="J168" s="482">
        <v>9.6153846153846159E-2</v>
      </c>
      <c r="K168" s="333">
        <v>115</v>
      </c>
      <c r="L168" s="333">
        <v>18</v>
      </c>
      <c r="M168" s="336">
        <v>49.03125</v>
      </c>
      <c r="N168" s="335">
        <v>0.94236111111111109</v>
      </c>
    </row>
    <row r="169" spans="1:17" ht="15" thickBot="1" x14ac:dyDescent="0.35">
      <c r="A169" s="348" t="s">
        <v>4035</v>
      </c>
      <c r="B169" s="481" t="s">
        <v>80</v>
      </c>
      <c r="C169" s="333" t="s">
        <v>88</v>
      </c>
      <c r="D169" s="333">
        <v>45</v>
      </c>
      <c r="E169" s="333">
        <v>4</v>
      </c>
      <c r="F169" s="333">
        <v>4</v>
      </c>
      <c r="G169" s="333">
        <v>8</v>
      </c>
      <c r="H169" s="341">
        <v>0.17777777777777778</v>
      </c>
      <c r="I169" s="333">
        <v>6</v>
      </c>
      <c r="J169" s="482">
        <v>0.13333333333333333</v>
      </c>
      <c r="K169" s="333">
        <v>63</v>
      </c>
      <c r="L169" s="333">
        <v>47</v>
      </c>
      <c r="M169" s="336">
        <v>34.27986111111111</v>
      </c>
      <c r="N169" s="335">
        <v>0.76111111111111107</v>
      </c>
    </row>
    <row r="170" spans="1:17" ht="15" thickBot="1" x14ac:dyDescent="0.35">
      <c r="A170" s="348" t="s">
        <v>3624</v>
      </c>
      <c r="B170" s="481" t="s">
        <v>80</v>
      </c>
      <c r="C170" s="333" t="s">
        <v>88</v>
      </c>
      <c r="D170" s="333">
        <v>38</v>
      </c>
      <c r="E170" s="333">
        <v>2</v>
      </c>
      <c r="F170" s="333">
        <v>2</v>
      </c>
      <c r="G170" s="333">
        <v>4</v>
      </c>
      <c r="H170" s="341">
        <v>0.10526315789473684</v>
      </c>
      <c r="I170" s="333">
        <v>-6</v>
      </c>
      <c r="J170" s="482">
        <v>-0.15789473684210525</v>
      </c>
      <c r="K170" s="333">
        <v>38</v>
      </c>
      <c r="L170" s="333">
        <v>40</v>
      </c>
      <c r="M170" s="336">
        <v>22.086111111111112</v>
      </c>
      <c r="N170" s="335">
        <v>0.5805555555555556</v>
      </c>
    </row>
    <row r="171" spans="1:17" x14ac:dyDescent="0.3">
      <c r="A171" s="348" t="s">
        <v>3620</v>
      </c>
      <c r="B171" s="481" t="s">
        <v>80</v>
      </c>
      <c r="C171" s="333" t="s">
        <v>88</v>
      </c>
      <c r="D171" s="333">
        <v>29</v>
      </c>
      <c r="E171" s="333">
        <v>1</v>
      </c>
      <c r="F171" s="333">
        <v>2</v>
      </c>
      <c r="G171" s="333">
        <v>3</v>
      </c>
      <c r="H171" s="341">
        <v>0.10344827586206896</v>
      </c>
      <c r="I171" s="333">
        <v>-10</v>
      </c>
      <c r="J171" s="482">
        <v>-0.34482758620689657</v>
      </c>
      <c r="K171" s="333">
        <v>27</v>
      </c>
      <c r="L171" s="333">
        <v>6</v>
      </c>
      <c r="M171" s="336">
        <v>12.990277777777777</v>
      </c>
      <c r="N171" s="335">
        <v>0.44791666666666669</v>
      </c>
    </row>
    <row r="172" spans="1:17" s="37" customFormat="1" ht="23.4" x14ac:dyDescent="0.3"/>
  </sheetData>
  <autoFilter ref="A4:N35" xr:uid="{00000000-0009-0000-0000-00000C000000}"/>
  <mergeCells count="16">
    <mergeCell ref="A125:A128"/>
    <mergeCell ref="B128:C128"/>
    <mergeCell ref="B115:C115"/>
    <mergeCell ref="C38:F38"/>
    <mergeCell ref="A59:C59"/>
    <mergeCell ref="A66:C66"/>
    <mergeCell ref="A75:C75"/>
    <mergeCell ref="A98:C98"/>
    <mergeCell ref="B90:C90"/>
    <mergeCell ref="B95:C95"/>
    <mergeCell ref="C166:F166"/>
    <mergeCell ref="B114:C114"/>
    <mergeCell ref="B125:C125"/>
    <mergeCell ref="B126:C126"/>
    <mergeCell ref="C130:F130"/>
    <mergeCell ref="B127:C127"/>
  </mergeCells>
  <hyperlinks>
    <hyperlink ref="A5" r:id="rId1" display="https://www.hokej.cz/hrac/1741?t=52q08o1i5ekaakc05rtdq2g9ktqyueh1fpwx6mt5mqwjisq3a84iqdd" xr:uid="{00000000-0004-0000-0C00-000000000000}"/>
    <hyperlink ref="A6" r:id="rId2" display="https://www.hokej.cz/hrac/14150?t=52q08o1i5ekaakc05rtdq2g9ktqyueh1fpwx6mt5mqwjisq3a84iqdd" xr:uid="{00000000-0004-0000-0C00-000001000000}"/>
    <hyperlink ref="A7" r:id="rId3" display="https://www.hokej.cz/hrac/11188?t=52q08o1i5ekaakc05rtdq2g9ktqyueh1fpwx6mt5mqwjisq3a84iqdd" xr:uid="{00000000-0004-0000-0C00-000002000000}"/>
    <hyperlink ref="A8" r:id="rId4" display="https://www.hokej.cz/hrac/2955?t=52q08o1i5ekaakc05rtdq2g9ktqyueh1fpwx6mt5mqwjisq3a84iqdd" xr:uid="{00000000-0004-0000-0C00-000003000000}"/>
    <hyperlink ref="A9" r:id="rId5" display="https://www.hokej.cz/hrac/8607?t=52q08o1i5ekaakc05rtdq2g9ktqyueh1fpwx6mt5mqwjisq3a84iqdd" xr:uid="{00000000-0004-0000-0C00-000004000000}"/>
    <hyperlink ref="A10" r:id="rId6" display="https://www.hokej.cz/hrac/14190?t=52q08o1i5ekaakc05rtdq2g9ktqyueh1fpwx6mt5mqwjisq3a84iqdd" xr:uid="{00000000-0004-0000-0C00-000005000000}"/>
    <hyperlink ref="A11" r:id="rId7" display="https://www.hokej.cz/hrac/13089?t=52q08o1i5ekaakc05rtdq2g9ktqyueh1fpwx6mt5mqwjisq3a84iqdd" xr:uid="{00000000-0004-0000-0C00-000006000000}"/>
    <hyperlink ref="A12" r:id="rId8" display="https://www.hokej.cz/hrac/318533?t=52q08o1i5ekaakc05rtdq2g9ktqyueh1fpwx6mt5mqwjisq3a84iqdd" xr:uid="{00000000-0004-0000-0C00-000007000000}"/>
    <hyperlink ref="A13" r:id="rId9" display="https://www.hokej.cz/hrac/10083188?t=52q08o1i5ekaakc05rtdq2g9ktqyueh1fpwx6mt5mqwjisq3a84iqdd" xr:uid="{00000000-0004-0000-0C00-000008000000}"/>
    <hyperlink ref="A14" r:id="rId10" display="https://www.hokej.cz/hrac/13437?t=52q08o1i5ekaakc05rtdq2g9ktqyueh1fpwx6mt5mqwjisq3a84iqdd" xr:uid="{00000000-0004-0000-0C00-000009000000}"/>
    <hyperlink ref="A15" r:id="rId11" display="https://www.hokej.cz/hrac/14369?t=52q08o1i5ekaakc05rtdq2g9ktqyueh1fpwx6mt5mqwjisq3a84iqdd" xr:uid="{00000000-0004-0000-0C00-00000A000000}"/>
    <hyperlink ref="A16" r:id="rId12" display="https://www.hokej.cz/hrac/10096884?t=52q08o1i5ekaakc05rtdq2g9ktqyueh1fpwx6mt5mqwjisq3a84iqdd" xr:uid="{00000000-0004-0000-0C00-00000B000000}"/>
    <hyperlink ref="A17" r:id="rId13" display="https://www.hokej.cz/hrac/24381?t=52q08o1i5ekaakc05rtdq2g9ktqyueh1fpwx6mt5mqwjisq3a84iqdd" xr:uid="{00000000-0004-0000-0C00-00000C000000}"/>
    <hyperlink ref="A18" r:id="rId14" display="https://www.hokej.cz/hrac/17113?t=52q08o1i5ekaakc05rtdq2g9ktqyueh1fpwx6mt5mqwjisq3a84iqdd" xr:uid="{00000000-0004-0000-0C00-00000D000000}"/>
    <hyperlink ref="A19" r:id="rId15" display="https://www.hokej.cz/hrac/17112?t=52q08o1i5ekaakc05rtdq2g9ktqyueh1fpwx6mt5mqwjisq3a84iqdd" xr:uid="{00000000-0004-0000-0C00-00000E000000}"/>
    <hyperlink ref="A20" r:id="rId16" display="https://www.hokej.cz/hrac/8759?t=52q08o1i5ekaakc05rtdq2g9ktqyueh1fpwx6mt5mqwjisq3a84iqdd" xr:uid="{00000000-0004-0000-0C00-00000F000000}"/>
    <hyperlink ref="A21" r:id="rId17" display="https://www.hokej.cz/hrac/8924?t=52q08o1i5ekaakc05rtdq2g9ktqyueh1fpwx6mt5mqwjisq3a84iqdd" xr:uid="{00000000-0004-0000-0C00-000010000000}"/>
    <hyperlink ref="A22" r:id="rId18" display="https://www.hokej.cz/hrac/13792?t=52q08o1i5ekaakc05rtdq2g9ktqyueh1fpwx6mt5mqwjisq3a84iqdd" xr:uid="{00000000-0004-0000-0C00-000011000000}"/>
    <hyperlink ref="A23" r:id="rId19" display="https://www.hokej.cz/hrac/10096631?t=52q08o1i5ekaakc05rtdq2g9ktqyueh1fpwx6mt5mqwjisq3a84iqdd" xr:uid="{00000000-0004-0000-0C00-000012000000}"/>
    <hyperlink ref="A24" r:id="rId20" display="https://www.hokej.cz/hrac/29031?t=52q08o1i5ekaakc05rtdq2g9ktqyueh1fpwx6mt5mqwjisq3a84iqdd" xr:uid="{00000000-0004-0000-0C00-000013000000}"/>
    <hyperlink ref="A25" r:id="rId21" display="https://www.hokej.cz/hrac/10528?t=52q08o1i5ekaakc05rtdq2g9ktqyueh1fpwx6mt5mqwjisq3a84iqdd" xr:uid="{00000000-0004-0000-0C00-000014000000}"/>
    <hyperlink ref="A26" r:id="rId22" display="https://www.hokej.cz/hrac/14465?t=52q08o1i5ekaakc05rtdq2g9ktqyueh1fpwx6mt5mqwjisq3a84iqdd" xr:uid="{00000000-0004-0000-0C00-000015000000}"/>
    <hyperlink ref="A27" r:id="rId23" display="https://www.hokej.cz/hrac/7865?t=52q08o1i5ekaakc05rtdq2g9ktqyueh1fpwx6mt5mqwjisq3a84iqdd" xr:uid="{00000000-0004-0000-0C00-000016000000}"/>
    <hyperlink ref="A28" r:id="rId24" display="https://www.hokej.cz/hrac/15400?t=52q08o1i5ekaakc05rtdq2g9ktqyueh1fpwx6mt5mqwjisq3a84iqdd" xr:uid="{00000000-0004-0000-0C00-000017000000}"/>
    <hyperlink ref="A29" r:id="rId25" display="https://www.hokej.cz/hrac/17021?t=52q08o1i5ekaakc05rtdq2g9ktqyueh1fpwx6mt5mqwjisq3a84iqdd" xr:uid="{00000000-0004-0000-0C00-000018000000}"/>
    <hyperlink ref="A30" r:id="rId26" display="https://www.hokej.cz/hrac/10077692?t=52q08o1i5ekaakc05rtdq2g9ktqyueh1fpwx6mt5mqwjisq3a84iqdd" xr:uid="{00000000-0004-0000-0C00-000019000000}"/>
    <hyperlink ref="A31" r:id="rId27" display="https://www.hokej.cz/hrac/10084490?t=52q08o1i5ekaakc05rtdq2g9ktqyueh1fpwx6mt5mqwjisq3a84iqdd" xr:uid="{00000000-0004-0000-0C00-00001A000000}"/>
    <hyperlink ref="A32" r:id="rId28" display="https://www.hokej.cz/hrac/4134193?t=52q08o1i5ekaakc05rtdq2g9ktqyueh1fpwx6mt5mqwjisq3a84iqdd" xr:uid="{00000000-0004-0000-0C00-00001B000000}"/>
    <hyperlink ref="A33" r:id="rId29" display="https://www.hokej.cz/hrac/51841?t=52q08o1i5ekaakc05rtdq2g9ktqyueh1fpwx6mt5mqwjisq3a84iqdd" xr:uid="{00000000-0004-0000-0C00-00001C000000}"/>
    <hyperlink ref="A34" r:id="rId30" display="https://www.hokej.cz/hrac/10079423?t=52q08o1i5ekaakc05rtdq2g9ktqyueh1fpwx6mt5mqwjisq3a84iqdd" xr:uid="{00000000-0004-0000-0C00-00001D000000}"/>
    <hyperlink ref="A35" r:id="rId31" display="https://www.hokej.cz/hrac/13305?t=52q08o1i5ekaakc05rtdq2g9ktqyueh1fpwx6mt5mqwjisq3a84iqdd" xr:uid="{00000000-0004-0000-0C00-00001E000000}"/>
    <hyperlink ref="A40" r:id="rId32" display="https://www.hokej.cz/hrac/13089?t=52q08o1i5ekaakc05rtdq2g9ktqyueh1fpwx6mt5mqwjisq3a84iqdd" xr:uid="{00000000-0004-0000-0C00-00001F000000}"/>
    <hyperlink ref="A41" r:id="rId33" display="https://www.hokej.cz/hrac/17113?t=52q08o1i5ekaakc05rtdq2g9ktqyueh1fpwx6mt5mqwjisq3a84iqdd" xr:uid="{00000000-0004-0000-0C00-000020000000}"/>
    <hyperlink ref="A42" r:id="rId34" display="https://www.hokej.cz/hrac/8759?t=52q08o1i5ekaakc05rtdq2g9ktqyueh1fpwx6mt5mqwjisq3a84iqdd" xr:uid="{00000000-0004-0000-0C00-000021000000}"/>
    <hyperlink ref="A43" r:id="rId35" display="https://www.hokej.cz/hrac/13792?t=52q08o1i5ekaakc05rtdq2g9ktqyueh1fpwx6mt5mqwjisq3a84iqdd" xr:uid="{00000000-0004-0000-0C00-000022000000}"/>
    <hyperlink ref="A44" r:id="rId36" display="https://www.hokej.cz/hrac/10528?t=52q08o1i5ekaakc05rtdq2g9ktqyueh1fpwx6mt5mqwjisq3a84iqdd" xr:uid="{00000000-0004-0000-0C00-000023000000}"/>
    <hyperlink ref="A45" r:id="rId37" display="https://www.hokej.cz/hrac/14465?t=52q08o1i5ekaakc05rtdq2g9ktqyueh1fpwx6mt5mqwjisq3a84iqdd" xr:uid="{00000000-0004-0000-0C00-000024000000}"/>
    <hyperlink ref="A46" r:id="rId38" display="https://www.hokej.cz/hrac/7865?t=52q08o1i5ekaakc05rtdq2g9ktqyueh1fpwx6mt5mqwjisq3a84iqdd" xr:uid="{00000000-0004-0000-0C00-000025000000}"/>
    <hyperlink ref="A47" r:id="rId39" display="https://www.hokej.cz/hrac/15400?t=52q08o1i5ekaakc05rtdq2g9ktqyueh1fpwx6mt5mqwjisq3a84iqdd" xr:uid="{00000000-0004-0000-0C00-000026000000}"/>
    <hyperlink ref="A48" r:id="rId40" display="https://www.hokej.cz/hrac/10084490?t=52q08o1i5ekaakc05rtdq2g9ktqyueh1fpwx6mt5mqwjisq3a84iqdd" xr:uid="{00000000-0004-0000-0C00-000027000000}"/>
    <hyperlink ref="A49" r:id="rId41" display="https://www.hokej.cz/hrac/4134193?t=52q08o1i5ekaakc05rtdq2g9ktqyueh1fpwx6mt5mqwjisq3a84iqdd" xr:uid="{00000000-0004-0000-0C00-000028000000}"/>
    <hyperlink ref="B60" r:id="rId42" display="https://www.eliteprospects.com/team/637/hc-plzen/2018-2019?tab=stats" xr:uid="{00000000-0004-0000-0C00-000029000000}"/>
    <hyperlink ref="C60" r:id="rId43" display="https://www.eliteprospects.com/league/czech/stats/2018-2019" xr:uid="{00000000-0004-0000-0C00-00002A000000}"/>
    <hyperlink ref="K60" r:id="rId44" display="https://www.eliteprospects.com/league/czech/stats/2018-2019/playoffs" xr:uid="{00000000-0004-0000-0C00-00002B000000}"/>
    <hyperlink ref="B61" r:id="rId45" display="https://www.eliteprospects.com/team/637/hc-plzen/2019-2020?tab=stats" xr:uid="{00000000-0004-0000-0C00-00002C000000}"/>
    <hyperlink ref="C61" r:id="rId46" display="https://www.eliteprospects.com/league/czech/stats/2019-2020" xr:uid="{00000000-0004-0000-0C00-00002D000000}"/>
    <hyperlink ref="C62" r:id="rId47" display="https://www.eliteprospects.com/league/czech/stats/2020-2021" xr:uid="{00000000-0004-0000-0C00-00002E000000}"/>
    <hyperlink ref="K62" r:id="rId48" display="https://www.eliteprospects.com/league/czech/stats/2020-2021/playoffs" xr:uid="{00000000-0004-0000-0C00-00002F000000}"/>
    <hyperlink ref="B67" r:id="rId49" display="https://www.eliteprospects.com/team/164/hc-sparta-praha/2018-2019?tab=stats" xr:uid="{00000000-0004-0000-0C00-000030000000}"/>
    <hyperlink ref="C67" r:id="rId50" display="https://www.eliteprospects.com/league/czech/stats/2018-2019" xr:uid="{00000000-0004-0000-0C00-000031000000}"/>
    <hyperlink ref="K67" r:id="rId51" display="https://www.eliteprospects.com/league/czech/stats/2018-2019/playoffs" xr:uid="{00000000-0004-0000-0C00-000032000000}"/>
    <hyperlink ref="B68" r:id="rId52" display="https://www.eliteprospects.com/team/12426/slovakia-all/2018-2019?tab=stats" xr:uid="{00000000-0004-0000-0C00-000033000000}"/>
    <hyperlink ref="C68" r:id="rId53" display="https://www.eliteprospects.com/league/international/stats/2018-2019" xr:uid="{00000000-0004-0000-0C00-000034000000}"/>
    <hyperlink ref="K68" r:id="rId54" display="https://www.eliteprospects.com/league/international/stats/2018-2019" xr:uid="{00000000-0004-0000-0C00-000035000000}"/>
    <hyperlink ref="B69" r:id="rId55" display="https://www.eliteprospects.com/team/164/hc-sparta-praha/2019-2020?tab=stats" xr:uid="{00000000-0004-0000-0C00-000036000000}"/>
    <hyperlink ref="C69" r:id="rId56" display="https://www.eliteprospects.com/league/czech/stats/2019-2020" xr:uid="{00000000-0004-0000-0C00-000037000000}"/>
    <hyperlink ref="B70" r:id="rId57" display="https://www.eliteprospects.com/team/12426/slovakia-all/2019-2020?tab=stats" xr:uid="{00000000-0004-0000-0C00-000038000000}"/>
    <hyperlink ref="C70" r:id="rId58" display="https://www.eliteprospects.com/league/international/stats/2019-2020" xr:uid="{00000000-0004-0000-0C00-000039000000}"/>
    <hyperlink ref="K70" r:id="rId59" display="https://www.eliteprospects.com/league/international/stats/2019-2020" xr:uid="{00000000-0004-0000-0C00-00003A000000}"/>
    <hyperlink ref="B71" r:id="rId60" display="https://www.eliteprospects.com/team/164/hc-sparta-praha/2020-2021?tab=stats" xr:uid="{00000000-0004-0000-0C00-00003B000000}"/>
    <hyperlink ref="C71" r:id="rId61" display="https://www.eliteprospects.com/league/czech/stats/2020-2021" xr:uid="{00000000-0004-0000-0C00-00003C000000}"/>
    <hyperlink ref="K71" r:id="rId62" display="https://www.eliteprospects.com/league/czech/stats/2020-2021/playoffs" xr:uid="{00000000-0004-0000-0C00-00003D000000}"/>
    <hyperlink ref="B80" r:id="rId63" display="https://www.eliteprospects.com/team/164/hc-sparta-praha/2019-2020?tab=stats" xr:uid="{00000000-0004-0000-0C00-00003E000000}"/>
    <hyperlink ref="C80" r:id="rId64" display="https://www.eliteprospects.com/league/czech/stats/2019-2020" xr:uid="{00000000-0004-0000-0C00-00003F000000}"/>
    <hyperlink ref="B81" r:id="rId65" display="https://www.eliteprospects.com/team/12426/slovakia-all/2019-2020?tab=stats" xr:uid="{00000000-0004-0000-0C00-000040000000}"/>
    <hyperlink ref="C81" r:id="rId66" display="https://www.eliteprospects.com/league/international/stats/2019-2020" xr:uid="{00000000-0004-0000-0C00-000041000000}"/>
    <hyperlink ref="K81" r:id="rId67" display="https://www.eliteprospects.com/league/international/stats/2019-2020" xr:uid="{00000000-0004-0000-0C00-000042000000}"/>
    <hyperlink ref="B82" r:id="rId68" display="https://www.eliteprospects.com/team/164/hc-sparta-praha/2020-2021?tab=stats" xr:uid="{00000000-0004-0000-0C00-000043000000}"/>
    <hyperlink ref="C82" r:id="rId69" display="https://www.eliteprospects.com/league/czech/stats/2020-2021" xr:uid="{00000000-0004-0000-0C00-000044000000}"/>
    <hyperlink ref="K82" r:id="rId70" display="https://www.eliteprospects.com/league/czech/stats/2020-2021/playoffs" xr:uid="{00000000-0004-0000-0C00-000045000000}"/>
    <hyperlink ref="B83" r:id="rId71" display="https://www.eliteprospects.com/team/1632/slovakia/2020-2021?tab=stats" xr:uid="{00000000-0004-0000-0C00-000046000000}"/>
    <hyperlink ref="C83" r:id="rId72" display="https://www.eliteprospects.com/league/wc/stats/2020-2021" xr:uid="{00000000-0004-0000-0C00-000047000000}"/>
    <hyperlink ref="B76" r:id="rId73" display="https://www.eliteprospects.com/team/169/hc-slovan-bratislava/2018-2019?tab=stats" xr:uid="{00000000-0004-0000-0C00-000048000000}"/>
    <hyperlink ref="C76" r:id="rId74" display="https://www.eliteprospects.com/league/khl/stats/2018-2019" xr:uid="{00000000-0004-0000-0C00-000049000000}"/>
    <hyperlink ref="B77" r:id="rId75" display="https://www.eliteprospects.com/team/170/hk-32-liptovsky-mikulas/2018-2019?tab=stats" xr:uid="{00000000-0004-0000-0C00-00004A000000}"/>
    <hyperlink ref="C77" r:id="rId76" display="https://www.eliteprospects.com/league/slovakia/stats/2018-2019" xr:uid="{00000000-0004-0000-0C00-00004B000000}"/>
    <hyperlink ref="B78" r:id="rId77" display="https://www.eliteprospects.com/team/1632/slovakia/2018-2019?tab=stats" xr:uid="{00000000-0004-0000-0C00-00004C000000}"/>
    <hyperlink ref="C78" r:id="rId78" display="https://www.eliteprospects.com/league/wc/stats/2018-2019" xr:uid="{00000000-0004-0000-0C00-00004D000000}"/>
    <hyperlink ref="B79" r:id="rId79" display="https://www.eliteprospects.com/team/12426/slovakia-all/2018-2019?tab=stats" xr:uid="{00000000-0004-0000-0C00-00004E000000}"/>
    <hyperlink ref="C79" r:id="rId80" display="https://www.eliteprospects.com/league/international/stats/2018-2019" xr:uid="{00000000-0004-0000-0C00-00004F000000}"/>
    <hyperlink ref="C87" r:id="rId81" display="https://www.eliteprospects.com/league/czech/stats/2020-2021" xr:uid="{00000000-0004-0000-0C00-000050000000}"/>
    <hyperlink ref="K87" r:id="rId82" display="https://www.eliteprospects.com/league/czech/stats/2020-2021/playoffs" xr:uid="{00000000-0004-0000-0C00-000051000000}"/>
    <hyperlink ref="C88" r:id="rId83" display="https://www.eliteprospects.com/league/czech/stats/2020-2021" xr:uid="{00000000-0004-0000-0C00-000052000000}"/>
    <hyperlink ref="K88" r:id="rId84" display="https://www.eliteprospects.com/league/czech/stats/2020-2021/playoffs" xr:uid="{00000000-0004-0000-0C00-000053000000}"/>
    <hyperlink ref="C89" r:id="rId85" display="https://www.eliteprospects.com/league/czech/stats/2020-2021" xr:uid="{00000000-0004-0000-0C00-000054000000}"/>
    <hyperlink ref="K89" r:id="rId86" display="https://www.eliteprospects.com/league/czech/stats/2020-2021/playoffs" xr:uid="{00000000-0004-0000-0C00-000055000000}"/>
    <hyperlink ref="B99" r:id="rId87" display="https://www.eliteprospects.com/team/1336/toronto-marlies/2018-2019?tab=stats" xr:uid="{00000000-0004-0000-0C00-000056000000}"/>
    <hyperlink ref="C99" r:id="rId88" display="https://www.eliteprospects.com/league/ahl/stats/2018-2019" xr:uid="{00000000-0004-0000-0C00-000057000000}"/>
    <hyperlink ref="K99" r:id="rId89" display="https://www.eliteprospects.com/league/ahl/stats/2018-2019" xr:uid="{00000000-0004-0000-0C00-000058000000}"/>
    <hyperlink ref="B100" r:id="rId90" display="https://www.eliteprospects.com/team/25837/newfoundland-growlers/2018-2019?tab=stats" xr:uid="{00000000-0004-0000-0C00-000059000000}"/>
    <hyperlink ref="C100" r:id="rId91" display="https://www.eliteprospects.com/league/echl/stats/2018-2019" xr:uid="{00000000-0004-0000-0C00-00005A000000}"/>
    <hyperlink ref="K100" r:id="rId92" display="https://www.eliteprospects.com/league/echl/stats/2018-2019/playoffs" xr:uid="{00000000-0004-0000-0C00-00005B000000}"/>
    <hyperlink ref="B101" r:id="rId93" display="https://www.eliteprospects.com/team/1336/toronto-marlies/2019-2020?tab=stats" xr:uid="{00000000-0004-0000-0C00-00005C000000}"/>
    <hyperlink ref="C101" r:id="rId94" display="https://www.eliteprospects.com/league/ahl/stats/2019-2020" xr:uid="{00000000-0004-0000-0C00-00005D000000}"/>
    <hyperlink ref="B102" r:id="rId95" display="https://www.eliteprospects.com/team/25837/newfoundland-growlers/2019-2020?tab=stats" xr:uid="{00000000-0004-0000-0C00-00005E000000}"/>
    <hyperlink ref="C102" r:id="rId96" display="https://www.eliteprospects.com/league/echl/stats/2019-2020" xr:uid="{00000000-0004-0000-0C00-00005F000000}"/>
    <hyperlink ref="B103" r:id="rId97" display="https://www.eliteprospects.com/team/18602/stockton-heat/2020-2021?tab=stats" xr:uid="{00000000-0004-0000-0C00-000060000000}"/>
    <hyperlink ref="C103" r:id="rId98" display="https://www.eliteprospects.com/league/ahl/stats/2020-2021" xr:uid="{00000000-0004-0000-0C00-000061000000}"/>
    <hyperlink ref="K103" r:id="rId99" display="https://www.eliteprospects.com/league/ahl/stats/2020-2021" xr:uid="{00000000-0004-0000-0C00-000062000000}"/>
    <hyperlink ref="B104" r:id="rId100" display="https://www.eliteprospects.com/team/4800/kansas-city-mavericks/2020-2021?tab=stats" xr:uid="{00000000-0004-0000-0C00-000063000000}"/>
    <hyperlink ref="C104" r:id="rId101" display="https://www.eliteprospects.com/league/echl/stats/2020-2021" xr:uid="{00000000-0004-0000-0C00-000064000000}"/>
    <hyperlink ref="A119" r:id="rId102" display="https://www.hokej.cz/hrac/13089?t=52q08o1i5ekaakc05rtdq2g9ktqyueh1fpwx6mt5mqwjisq3a84iqdd" xr:uid="{00000000-0004-0000-0C00-000065000000}"/>
    <hyperlink ref="A120" r:id="rId103" display="https://www.hokej.cz/hrac/17113?t=52q08o1i5ekaakc05rtdq2g9ktqyueh1fpwx6mt5mqwjisq3a84iqdd" xr:uid="{00000000-0004-0000-0C00-000066000000}"/>
    <hyperlink ref="A121" r:id="rId104" display="https://www.hokej.cz/hrac/8759?t=52q08o1i5ekaakc05rtdq2g9ktqyueh1fpwx6mt5mqwjisq3a84iqdd" xr:uid="{00000000-0004-0000-0C00-000067000000}"/>
    <hyperlink ref="A132" r:id="rId105" display="https://www.hokej.cz/hrac/1741?t=52q08o1i5ekaakc05rtdq2g9ktqyueh1fpwx6mt5mqwjisq3a84iqdd" xr:uid="{00000000-0004-0000-0C00-000068000000}"/>
    <hyperlink ref="A133" r:id="rId106" display="https://www.hokej.cz/hrac/14150?t=52q08o1i5ekaakc05rtdq2g9ktqyueh1fpwx6mt5mqwjisq3a84iqdd" xr:uid="{00000000-0004-0000-0C00-000069000000}"/>
    <hyperlink ref="A134" r:id="rId107" display="https://www.hokej.cz/hrac/11188?t=52q08o1i5ekaakc05rtdq2g9ktqyueh1fpwx6mt5mqwjisq3a84iqdd" xr:uid="{00000000-0004-0000-0C00-00006A000000}"/>
    <hyperlink ref="A135" r:id="rId108" display="https://www.hokej.cz/hrac/2955?t=52q08o1i5ekaakc05rtdq2g9ktqyueh1fpwx6mt5mqwjisq3a84iqdd" xr:uid="{00000000-0004-0000-0C00-00006B000000}"/>
    <hyperlink ref="A136" r:id="rId109" display="https://www.hokej.cz/hrac/8607?t=52q08o1i5ekaakc05rtdq2g9ktqyueh1fpwx6mt5mqwjisq3a84iqdd" xr:uid="{00000000-0004-0000-0C00-00006C000000}"/>
    <hyperlink ref="A137" r:id="rId110" display="https://www.hokej.cz/hrac/318533?t=52q08o1i5ekaakc05rtdq2g9ktqyueh1fpwx6mt5mqwjisq3a84iqdd" xr:uid="{00000000-0004-0000-0C00-00006D000000}"/>
    <hyperlink ref="A138" r:id="rId111" display="https://www.hokej.cz/hrac/10083188?t=52q08o1i5ekaakc05rtdq2g9ktqyueh1fpwx6mt5mqwjisq3a84iqdd" xr:uid="{00000000-0004-0000-0C00-00006E000000}"/>
    <hyperlink ref="A139" r:id="rId112" display="https://www.hokej.cz/hrac/13437?t=52q08o1i5ekaakc05rtdq2g9ktqyueh1fpwx6mt5mqwjisq3a84iqdd" xr:uid="{00000000-0004-0000-0C00-00006F000000}"/>
    <hyperlink ref="A140" r:id="rId113" display="https://www.hokej.cz/hrac/14369?t=52q08o1i5ekaakc05rtdq2g9ktqyueh1fpwx6mt5mqwjisq3a84iqdd" xr:uid="{00000000-0004-0000-0C00-000070000000}"/>
    <hyperlink ref="A141" r:id="rId114" display="https://www.hokej.cz/hrac/10096884?t=52q08o1i5ekaakc05rtdq2g9ktqyueh1fpwx6mt5mqwjisq3a84iqdd" xr:uid="{00000000-0004-0000-0C00-000071000000}"/>
    <hyperlink ref="A142" r:id="rId115" display="https://www.hokej.cz/hrac/17112?t=52q08o1i5ekaakc05rtdq2g9ktqyueh1fpwx6mt5mqwjisq3a84iqdd" xr:uid="{00000000-0004-0000-0C00-000072000000}"/>
    <hyperlink ref="A143" r:id="rId116" display="https://www.hokej.cz/hrac/29031?t=52q08o1i5ekaakc05rtdq2g9ktqyueh1fpwx6mt5mqwjisq3a84iqdd" xr:uid="{00000000-0004-0000-0C00-000073000000}"/>
    <hyperlink ref="A144" r:id="rId117" display="https://www.hokej.cz/hrac/10077692?t=52q08o1i5ekaakc05rtdq2g9ktqyueh1fpwx6mt5mqwjisq3a84iqdd" xr:uid="{00000000-0004-0000-0C00-000074000000}"/>
    <hyperlink ref="A145" r:id="rId118" display="https://www.hokej.cz/hrac/51841?t=52q08o1i5ekaakc05rtdq2g9ktqyueh1fpwx6mt5mqwjisq3a84iqdd" xr:uid="{00000000-0004-0000-0C00-000075000000}"/>
    <hyperlink ref="A146" r:id="rId119" display="https://www.hokej.cz/hrac/13305?t=52q08o1i5ekaakc05rtdq2g9ktqyueh1fpwx6mt5mqwjisq3a84iqdd" xr:uid="{00000000-0004-0000-0C00-000076000000}"/>
    <hyperlink ref="A168" r:id="rId120" display="https://www.hokej.cz/hrac/14190?t=52q08o1i5ekaakc05rtdq2g9ktqyueh1fpwx6mt5mqwjisq3a84iqdd" xr:uid="{00000000-0004-0000-0C00-000077000000}"/>
    <hyperlink ref="A169" r:id="rId121" display="https://www.hokej.cz/hrac/24381?t=52q08o1i5ekaakc05rtdq2g9ktqyueh1fpwx6mt5mqwjisq3a84iqdd" xr:uid="{00000000-0004-0000-0C00-000078000000}"/>
    <hyperlink ref="A170" r:id="rId122" display="https://www.hokej.cz/hrac/8924?t=52q08o1i5ekaakc05rtdq2g9ktqyueh1fpwx6mt5mqwjisq3a84iqdd" xr:uid="{00000000-0004-0000-0C00-000079000000}"/>
    <hyperlink ref="A171" r:id="rId123" display="https://www.hokej.cz/hrac/10096631?t=52q08o1i5ekaakc05rtdq2g9ktqyueh1fpwx6mt5mqwjisq3a84iqdd" xr:uid="{00000000-0004-0000-0C00-00007A000000}"/>
    <hyperlink ref="B105" r:id="rId124" display="https://www.eliteprospects.com/team/155/hc-verva-litvinov/2021-2022?tab=stats" xr:uid="{00000000-0004-0000-0C00-00007B000000}"/>
    <hyperlink ref="C105" r:id="rId125" display="https://www.eliteprospects.com/league/czechia/stats/2021-2022" xr:uid="{00000000-0004-0000-0C00-00007C000000}"/>
    <hyperlink ref="C63" r:id="rId126" display="https://www.eliteprospects.com/league/czechia/stats/2021-2022" xr:uid="{00000000-0004-0000-0C00-00007D000000}"/>
    <hyperlink ref="B72" r:id="rId127" display="https://www.eliteprospects.com/team/155/hc-verva-litvinov/2021-2022?tab=stats" xr:uid="{00000000-0004-0000-0C00-00007E000000}"/>
    <hyperlink ref="C72" r:id="rId128" display="https://www.eliteprospects.com/league/czechia/stats/2021-2022" xr:uid="{00000000-0004-0000-0C00-00007F000000}"/>
    <hyperlink ref="B84" r:id="rId129" display="https://www.eliteprospects.com/team/155/hc-verva-litvinov/2021-2022?tab=stats" xr:uid="{00000000-0004-0000-0C00-000080000000}"/>
    <hyperlink ref="C84" r:id="rId130" display="https://www.eliteprospects.com/league/czechia/stats/2021-2022" xr:uid="{00000000-0004-0000-0C00-000081000000}"/>
    <hyperlink ref="C92" r:id="rId131" display="https://www.eliteprospects.com/league/czech/stats/2020-2021" xr:uid="{00000000-0004-0000-0C00-000082000000}"/>
    <hyperlink ref="C93" r:id="rId132" display="https://www.eliteprospects.com/league/czech/stats/2020-2021" xr:uid="{00000000-0004-0000-0C00-000083000000}"/>
    <hyperlink ref="C94" r:id="rId133" display="https://www.eliteprospects.com/league/czech/stats/2020-2021" xr:uid="{00000000-0004-0000-0C00-000084000000}"/>
  </hyperlinks>
  <pageMargins left="0.7" right="0.7" top="0.78740157499999996" bottom="0.78740157499999996" header="0.3" footer="0.3"/>
  <drawing r:id="rId13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3:V174"/>
  <sheetViews>
    <sheetView topLeftCell="A18" workbookViewId="0">
      <selection activeCell="L12" sqref="L12"/>
    </sheetView>
  </sheetViews>
  <sheetFormatPr defaultRowHeight="14.4" x14ac:dyDescent="0.3"/>
  <cols>
    <col min="1" max="1" width="29.44140625" customWidth="1"/>
    <col min="2" max="2" width="20.33203125" customWidth="1"/>
    <col min="3" max="3" width="12.44140625" style="2" customWidth="1"/>
    <col min="4" max="4" width="17" style="2" customWidth="1"/>
    <col min="5" max="5" width="15" style="2" customWidth="1"/>
    <col min="6" max="6" width="10.109375" style="2" bestFit="1" customWidth="1"/>
    <col min="7" max="7" width="20.44140625" style="2" customWidth="1"/>
    <col min="8" max="8" width="23.109375" style="2" customWidth="1"/>
    <col min="9" max="9" width="10.109375" style="2" customWidth="1"/>
    <col min="10" max="10" width="12.5546875" customWidth="1"/>
    <col min="11" max="11" width="38.5546875" customWidth="1"/>
    <col min="12" max="12" width="25.109375" customWidth="1"/>
    <col min="13" max="13" width="19.88671875" customWidth="1"/>
    <col min="14" max="14" width="24.44140625" customWidth="1"/>
    <col min="15" max="15" width="14.33203125" style="2" customWidth="1"/>
    <col min="16" max="16" width="22.109375" customWidth="1"/>
    <col min="17" max="17" width="19.6640625" customWidth="1"/>
    <col min="18" max="18" width="11.5546875" customWidth="1"/>
    <col min="19" max="19" width="14" customWidth="1"/>
    <col min="20" max="20" width="27.88671875" customWidth="1"/>
    <col min="21" max="21" width="26.109375" customWidth="1"/>
    <col min="22" max="22" width="27.5546875" customWidth="1"/>
  </cols>
  <sheetData>
    <row r="3" spans="1:22" x14ac:dyDescent="0.3">
      <c r="A3" t="s">
        <v>4809</v>
      </c>
      <c r="B3" s="2" t="s">
        <v>785</v>
      </c>
      <c r="C3" s="2" t="s">
        <v>14</v>
      </c>
      <c r="D3" s="2" t="s">
        <v>15</v>
      </c>
      <c r="E3" s="2" t="s">
        <v>11</v>
      </c>
      <c r="F3" s="2" t="s">
        <v>12</v>
      </c>
      <c r="G3" s="2" t="s">
        <v>13</v>
      </c>
      <c r="H3" s="2" t="s">
        <v>157</v>
      </c>
      <c r="I3" s="2" t="s">
        <v>833</v>
      </c>
      <c r="J3" s="2"/>
      <c r="K3" s="8"/>
    </row>
    <row r="4" spans="1:22" x14ac:dyDescent="0.3">
      <c r="B4" s="2">
        <v>1</v>
      </c>
      <c r="C4" s="2">
        <v>1</v>
      </c>
      <c r="D4" s="2" t="s">
        <v>326</v>
      </c>
      <c r="E4" s="4">
        <v>44449</v>
      </c>
      <c r="F4" s="2" t="s">
        <v>18</v>
      </c>
      <c r="G4" s="2" t="s">
        <v>16</v>
      </c>
      <c r="H4" s="60">
        <v>0.16805555555555554</v>
      </c>
      <c r="I4" s="60"/>
      <c r="L4" s="2"/>
      <c r="M4" s="2"/>
      <c r="N4" s="2"/>
    </row>
    <row r="5" spans="1:22" x14ac:dyDescent="0.3">
      <c r="B5" s="2">
        <v>2</v>
      </c>
      <c r="C5" s="2">
        <v>2</v>
      </c>
      <c r="D5" s="2" t="s">
        <v>610</v>
      </c>
      <c r="E5" s="4">
        <v>44451</v>
      </c>
      <c r="F5" s="2" t="s">
        <v>19</v>
      </c>
      <c r="G5" s="2" t="s">
        <v>17</v>
      </c>
      <c r="H5" s="60" t="s">
        <v>352</v>
      </c>
      <c r="I5" s="60" t="s">
        <v>834</v>
      </c>
    </row>
    <row r="6" spans="1:22" ht="15" thickBot="1" x14ac:dyDescent="0.35">
      <c r="B6" s="2">
        <v>3</v>
      </c>
      <c r="C6" s="2">
        <v>3</v>
      </c>
      <c r="D6" s="2" t="s">
        <v>334</v>
      </c>
      <c r="E6" s="4">
        <v>44453</v>
      </c>
      <c r="F6" s="2" t="s">
        <v>20</v>
      </c>
      <c r="G6" s="2" t="s">
        <v>16</v>
      </c>
      <c r="H6" s="60" t="s">
        <v>163</v>
      </c>
      <c r="I6" s="60"/>
      <c r="K6" s="2"/>
      <c r="L6" s="2"/>
      <c r="M6" s="2"/>
      <c r="N6" s="4"/>
    </row>
    <row r="7" spans="1:22" ht="15" thickBot="1" x14ac:dyDescent="0.35">
      <c r="B7" s="2">
        <v>4</v>
      </c>
      <c r="C7" s="2">
        <v>5</v>
      </c>
      <c r="D7" s="2" t="s">
        <v>332</v>
      </c>
      <c r="E7" s="4">
        <v>44458</v>
      </c>
      <c r="F7" s="2" t="s">
        <v>19</v>
      </c>
      <c r="G7" s="2" t="s">
        <v>16</v>
      </c>
      <c r="H7" s="60">
        <v>8.5416666666666655E-2</v>
      </c>
      <c r="I7" s="60" t="s">
        <v>834</v>
      </c>
      <c r="K7" s="1163" t="s">
        <v>841</v>
      </c>
      <c r="L7" s="1164"/>
      <c r="M7" s="1164"/>
      <c r="N7" s="1164"/>
      <c r="O7" s="1164"/>
      <c r="P7" s="1165"/>
    </row>
    <row r="8" spans="1:22" x14ac:dyDescent="0.3">
      <c r="B8" s="2">
        <v>5</v>
      </c>
      <c r="C8" s="2">
        <v>6</v>
      </c>
      <c r="D8" s="2" t="s">
        <v>327</v>
      </c>
      <c r="E8" s="4">
        <v>44460</v>
      </c>
      <c r="F8" s="2" t="s">
        <v>20</v>
      </c>
      <c r="G8" s="2" t="s">
        <v>17</v>
      </c>
      <c r="H8" s="60">
        <v>0.17152777777777775</v>
      </c>
      <c r="I8" s="60" t="s">
        <v>834</v>
      </c>
      <c r="K8" s="185" t="s">
        <v>220</v>
      </c>
      <c r="L8" s="96" t="s">
        <v>14</v>
      </c>
      <c r="M8" s="96" t="s">
        <v>15</v>
      </c>
      <c r="N8" s="96" t="s">
        <v>11</v>
      </c>
      <c r="O8" s="96" t="s">
        <v>12</v>
      </c>
      <c r="P8" s="186" t="s">
        <v>1051</v>
      </c>
    </row>
    <row r="9" spans="1:22" x14ac:dyDescent="0.3">
      <c r="B9" s="2">
        <v>6</v>
      </c>
      <c r="C9" s="2">
        <v>7</v>
      </c>
      <c r="D9" s="2" t="s">
        <v>325</v>
      </c>
      <c r="E9" s="4">
        <v>44462</v>
      </c>
      <c r="F9" s="2" t="s">
        <v>22</v>
      </c>
      <c r="G9" s="2" t="s">
        <v>16</v>
      </c>
      <c r="H9" s="60">
        <v>0.17083333333333331</v>
      </c>
      <c r="I9" s="60" t="s">
        <v>834</v>
      </c>
      <c r="K9" s="106" t="s">
        <v>4113</v>
      </c>
      <c r="L9" s="2">
        <v>5</v>
      </c>
      <c r="M9" s="2" t="s">
        <v>332</v>
      </c>
      <c r="N9" s="4">
        <v>44458</v>
      </c>
      <c r="O9" s="2" t="s">
        <v>19</v>
      </c>
      <c r="P9" s="99" t="s">
        <v>743</v>
      </c>
    </row>
    <row r="10" spans="1:22" ht="15" thickBot="1" x14ac:dyDescent="0.35">
      <c r="B10" s="2">
        <v>7</v>
      </c>
      <c r="C10" s="2">
        <v>8</v>
      </c>
      <c r="D10" s="2" t="s">
        <v>331</v>
      </c>
      <c r="E10" s="4">
        <v>44465</v>
      </c>
      <c r="F10" s="2" t="s">
        <v>19</v>
      </c>
      <c r="G10" s="2" t="s">
        <v>17</v>
      </c>
      <c r="H10" s="60">
        <v>8.6805555555555566E-2</v>
      </c>
      <c r="I10" s="60" t="s">
        <v>834</v>
      </c>
      <c r="K10" s="106" t="s">
        <v>4142</v>
      </c>
      <c r="L10" s="2">
        <v>7</v>
      </c>
      <c r="M10" s="2" t="s">
        <v>325</v>
      </c>
      <c r="N10" s="4">
        <v>44462</v>
      </c>
      <c r="O10" s="2" t="s">
        <v>22</v>
      </c>
      <c r="P10" s="99" t="s">
        <v>743</v>
      </c>
    </row>
    <row r="11" spans="1:22" x14ac:dyDescent="0.3">
      <c r="B11" s="2">
        <v>8</v>
      </c>
      <c r="C11" s="2">
        <v>9</v>
      </c>
      <c r="D11" s="2" t="s">
        <v>6086</v>
      </c>
      <c r="E11" s="4">
        <v>44467</v>
      </c>
      <c r="F11" s="2" t="s">
        <v>20</v>
      </c>
      <c r="G11" s="2" t="s">
        <v>16</v>
      </c>
      <c r="H11" s="60" t="s">
        <v>161</v>
      </c>
      <c r="I11" s="60"/>
      <c r="K11" s="106" t="s">
        <v>4142</v>
      </c>
      <c r="L11" s="2">
        <v>11</v>
      </c>
      <c r="M11" s="2" t="s">
        <v>6091</v>
      </c>
      <c r="N11" s="4">
        <v>44472</v>
      </c>
      <c r="O11" s="2" t="s">
        <v>19</v>
      </c>
      <c r="P11" s="99" t="s">
        <v>16</v>
      </c>
      <c r="T11" s="95" t="s">
        <v>191</v>
      </c>
      <c r="U11" s="96" t="s">
        <v>221</v>
      </c>
      <c r="V11" s="97" t="s">
        <v>222</v>
      </c>
    </row>
    <row r="12" spans="1:22" x14ac:dyDescent="0.3">
      <c r="B12" s="2">
        <v>9</v>
      </c>
      <c r="C12" s="2">
        <v>10</v>
      </c>
      <c r="D12" s="2" t="s">
        <v>6179</v>
      </c>
      <c r="E12" s="4">
        <v>44470</v>
      </c>
      <c r="F12" s="2" t="s">
        <v>18</v>
      </c>
      <c r="G12" s="2" t="s">
        <v>17</v>
      </c>
      <c r="H12" s="60">
        <v>0.1277777777777778</v>
      </c>
      <c r="I12" s="60" t="s">
        <v>834</v>
      </c>
      <c r="K12" s="106" t="s">
        <v>4142</v>
      </c>
      <c r="L12" s="2">
        <v>17</v>
      </c>
      <c r="M12" s="2" t="s">
        <v>610</v>
      </c>
      <c r="N12" s="4">
        <v>44493</v>
      </c>
      <c r="O12" s="2" t="s">
        <v>19</v>
      </c>
      <c r="P12" s="99" t="s">
        <v>743</v>
      </c>
      <c r="T12" s="105" t="s">
        <v>184</v>
      </c>
      <c r="U12" s="62">
        <v>4</v>
      </c>
      <c r="V12" s="549">
        <v>4</v>
      </c>
    </row>
    <row r="13" spans="1:22" x14ac:dyDescent="0.3">
      <c r="B13" s="2">
        <v>10</v>
      </c>
      <c r="C13" s="2">
        <v>11</v>
      </c>
      <c r="D13" s="2" t="s">
        <v>6091</v>
      </c>
      <c r="E13" s="4">
        <v>44472</v>
      </c>
      <c r="F13" s="2" t="s">
        <v>19</v>
      </c>
      <c r="G13" s="2" t="s">
        <v>16</v>
      </c>
      <c r="H13" s="60">
        <v>0.125</v>
      </c>
      <c r="I13" s="60" t="s">
        <v>834</v>
      </c>
      <c r="K13" s="106" t="s">
        <v>4113</v>
      </c>
      <c r="L13" s="2">
        <v>35</v>
      </c>
      <c r="M13" s="2" t="s">
        <v>332</v>
      </c>
      <c r="N13" s="4">
        <v>44556</v>
      </c>
      <c r="O13" s="2" t="s">
        <v>19</v>
      </c>
      <c r="P13" s="99" t="s">
        <v>743</v>
      </c>
      <c r="T13" s="105" t="s">
        <v>185</v>
      </c>
      <c r="U13" s="62">
        <v>6</v>
      </c>
      <c r="V13" s="549">
        <v>6</v>
      </c>
    </row>
    <row r="14" spans="1:22" x14ac:dyDescent="0.3">
      <c r="B14" s="2">
        <v>11</v>
      </c>
      <c r="C14" s="2">
        <v>12</v>
      </c>
      <c r="D14" s="2" t="s">
        <v>328</v>
      </c>
      <c r="E14" s="4">
        <v>44477</v>
      </c>
      <c r="F14" s="2" t="s">
        <v>18</v>
      </c>
      <c r="G14" s="2" t="s">
        <v>16</v>
      </c>
      <c r="H14" s="60">
        <v>0.1673611111111111</v>
      </c>
      <c r="I14" s="60"/>
      <c r="K14" s="106" t="s">
        <v>4142</v>
      </c>
      <c r="L14" s="2">
        <v>58</v>
      </c>
      <c r="M14" s="2" t="s">
        <v>1274</v>
      </c>
      <c r="N14" s="4">
        <v>44624</v>
      </c>
      <c r="O14" s="2" t="s">
        <v>18</v>
      </c>
      <c r="P14" s="99" t="s">
        <v>743</v>
      </c>
      <c r="T14" s="105" t="s">
        <v>186</v>
      </c>
      <c r="U14" s="635">
        <v>16</v>
      </c>
      <c r="V14" s="549">
        <v>17</v>
      </c>
    </row>
    <row r="15" spans="1:22" x14ac:dyDescent="0.3">
      <c r="B15" s="2">
        <v>12</v>
      </c>
      <c r="C15" s="2">
        <v>13</v>
      </c>
      <c r="D15" s="2" t="s">
        <v>1274</v>
      </c>
      <c r="E15" s="4">
        <v>44479</v>
      </c>
      <c r="F15" s="2" t="s">
        <v>19</v>
      </c>
      <c r="G15" s="2" t="s">
        <v>17</v>
      </c>
      <c r="H15" s="60">
        <v>0.1277777777777778</v>
      </c>
      <c r="I15" s="60" t="s">
        <v>834</v>
      </c>
      <c r="K15" s="106"/>
      <c r="L15" s="170"/>
      <c r="M15" s="170"/>
      <c r="N15" s="189"/>
      <c r="O15" s="170"/>
      <c r="P15" s="99"/>
      <c r="T15" s="105" t="s">
        <v>187</v>
      </c>
      <c r="U15" s="2">
        <v>17</v>
      </c>
      <c r="V15" s="99">
        <v>17</v>
      </c>
    </row>
    <row r="16" spans="1:22" x14ac:dyDescent="0.3">
      <c r="B16" s="2">
        <v>13</v>
      </c>
      <c r="C16" s="2">
        <v>14</v>
      </c>
      <c r="D16" s="2" t="s">
        <v>626</v>
      </c>
      <c r="E16" s="4">
        <v>44484</v>
      </c>
      <c r="F16" s="2" t="s">
        <v>18</v>
      </c>
      <c r="G16" s="2" t="s">
        <v>16</v>
      </c>
      <c r="H16" s="60">
        <v>6.9444444444444447E-4</v>
      </c>
      <c r="I16" s="60"/>
      <c r="K16" s="106"/>
      <c r="L16" s="2"/>
      <c r="M16" s="2"/>
      <c r="N16" s="4"/>
      <c r="P16" s="99"/>
      <c r="T16" s="105" t="s">
        <v>188</v>
      </c>
      <c r="U16" s="2">
        <v>8</v>
      </c>
      <c r="V16" s="99">
        <v>7</v>
      </c>
    </row>
    <row r="17" spans="1:22" x14ac:dyDescent="0.3">
      <c r="A17" s="191"/>
      <c r="B17" s="170">
        <v>14</v>
      </c>
      <c r="C17" s="170">
        <v>15</v>
      </c>
      <c r="D17" s="170" t="s">
        <v>6076</v>
      </c>
      <c r="E17" s="189">
        <v>44486</v>
      </c>
      <c r="F17" s="170" t="s">
        <v>19</v>
      </c>
      <c r="G17" s="170" t="s">
        <v>17</v>
      </c>
      <c r="H17" s="193">
        <v>0.16874999999999998</v>
      </c>
      <c r="I17" s="193" t="s">
        <v>834</v>
      </c>
      <c r="K17" s="106"/>
      <c r="L17" s="2"/>
      <c r="M17" s="2"/>
      <c r="N17" s="4"/>
      <c r="P17" s="99"/>
      <c r="T17" s="105" t="s">
        <v>189</v>
      </c>
      <c r="U17" s="2">
        <v>3</v>
      </c>
      <c r="V17" s="99">
        <v>3</v>
      </c>
    </row>
    <row r="18" spans="1:22" x14ac:dyDescent="0.3">
      <c r="B18" s="2">
        <v>15</v>
      </c>
      <c r="C18" s="2">
        <v>16</v>
      </c>
      <c r="D18" s="2" t="s">
        <v>326</v>
      </c>
      <c r="E18" s="4">
        <v>44491</v>
      </c>
      <c r="F18" s="2" t="s">
        <v>18</v>
      </c>
      <c r="G18" s="2" t="s">
        <v>17</v>
      </c>
      <c r="H18" s="60">
        <v>8.4027777777777771E-2</v>
      </c>
      <c r="I18" s="60" t="s">
        <v>834</v>
      </c>
      <c r="K18" s="106"/>
      <c r="L18" s="2"/>
      <c r="M18" s="2"/>
      <c r="N18" s="4"/>
      <c r="P18" s="99"/>
      <c r="T18" s="105" t="s">
        <v>190</v>
      </c>
      <c r="U18" s="2">
        <v>2</v>
      </c>
      <c r="V18" s="99">
        <v>2</v>
      </c>
    </row>
    <row r="19" spans="1:22" x14ac:dyDescent="0.3">
      <c r="B19" s="2">
        <v>16</v>
      </c>
      <c r="C19" s="2">
        <v>17</v>
      </c>
      <c r="D19" s="2" t="s">
        <v>610</v>
      </c>
      <c r="E19" s="4">
        <v>44493</v>
      </c>
      <c r="F19" s="2" t="s">
        <v>19</v>
      </c>
      <c r="G19" s="2" t="s">
        <v>16</v>
      </c>
      <c r="H19" s="60">
        <v>2.0833333333333333E-3</v>
      </c>
      <c r="I19" s="2" t="s">
        <v>834</v>
      </c>
      <c r="K19" s="106"/>
      <c r="L19" s="2"/>
      <c r="M19" s="2"/>
      <c r="N19" s="4"/>
      <c r="P19" s="99"/>
      <c r="T19" s="105" t="s">
        <v>855</v>
      </c>
      <c r="U19" s="2"/>
      <c r="V19" s="99"/>
    </row>
    <row r="20" spans="1:22" x14ac:dyDescent="0.3">
      <c r="B20" s="2">
        <v>17</v>
      </c>
      <c r="C20" s="2">
        <v>18</v>
      </c>
      <c r="D20" s="2" t="s">
        <v>334</v>
      </c>
      <c r="E20" s="4">
        <v>44495</v>
      </c>
      <c r="F20" s="2" t="s">
        <v>20</v>
      </c>
      <c r="G20" s="2" t="s">
        <v>17</v>
      </c>
      <c r="H20" s="60">
        <v>8.6805555555555566E-2</v>
      </c>
      <c r="I20" s="60" t="s">
        <v>834</v>
      </c>
      <c r="K20" s="106"/>
      <c r="L20" s="2"/>
      <c r="M20" s="2"/>
      <c r="N20" s="4"/>
      <c r="P20" s="99"/>
      <c r="T20" s="106"/>
      <c r="U20" s="2">
        <f>SUM(U12:U19)</f>
        <v>56</v>
      </c>
      <c r="V20" s="99">
        <f>SUM(V12:V19)</f>
        <v>56</v>
      </c>
    </row>
    <row r="21" spans="1:22" x14ac:dyDescent="0.3">
      <c r="B21" s="2">
        <v>18</v>
      </c>
      <c r="C21" s="2">
        <v>20</v>
      </c>
      <c r="D21" s="2" t="s">
        <v>332</v>
      </c>
      <c r="E21" s="4">
        <v>44500</v>
      </c>
      <c r="F21" s="2" t="s">
        <v>19</v>
      </c>
      <c r="G21" s="2" t="s">
        <v>17</v>
      </c>
      <c r="H21" s="60">
        <v>0.16874999999999998</v>
      </c>
      <c r="I21" s="60" t="s">
        <v>834</v>
      </c>
      <c r="K21" s="106"/>
      <c r="L21" s="2"/>
      <c r="M21" s="2"/>
      <c r="N21" s="4"/>
      <c r="P21" s="99"/>
      <c r="T21" s="106"/>
      <c r="V21" s="100"/>
    </row>
    <row r="22" spans="1:22" ht="15" thickBot="1" x14ac:dyDescent="0.35">
      <c r="B22" s="2">
        <v>19</v>
      </c>
      <c r="C22" s="2">
        <v>21</v>
      </c>
      <c r="D22" s="2" t="s">
        <v>327</v>
      </c>
      <c r="E22" s="4">
        <v>44502</v>
      </c>
      <c r="F22" s="2" t="s">
        <v>20</v>
      </c>
      <c r="G22" s="2" t="s">
        <v>16</v>
      </c>
      <c r="H22" s="60">
        <v>8.6111111111111124E-2</v>
      </c>
      <c r="I22" s="60"/>
      <c r="K22" s="187"/>
      <c r="L22" s="103"/>
      <c r="M22" s="103"/>
      <c r="N22" s="255"/>
      <c r="O22" s="103"/>
      <c r="P22" s="104"/>
      <c r="T22" s="106"/>
      <c r="V22" s="100"/>
    </row>
    <row r="23" spans="1:22" ht="15" thickBot="1" x14ac:dyDescent="0.35">
      <c r="B23" s="2">
        <v>20</v>
      </c>
      <c r="C23" s="2">
        <v>22</v>
      </c>
      <c r="D23" s="2" t="s">
        <v>325</v>
      </c>
      <c r="E23" s="4">
        <v>44504</v>
      </c>
      <c r="F23" s="2" t="s">
        <v>22</v>
      </c>
      <c r="G23" s="2" t="s">
        <v>17</v>
      </c>
      <c r="H23" s="60">
        <v>0.12638888888888888</v>
      </c>
      <c r="I23" s="60" t="s">
        <v>834</v>
      </c>
      <c r="K23" s="187" t="s">
        <v>726</v>
      </c>
      <c r="L23" s="104">
        <f>COUNT(L9:L22)</f>
        <v>6</v>
      </c>
      <c r="M23" s="2"/>
      <c r="N23" s="4"/>
      <c r="T23" s="105" t="s">
        <v>191</v>
      </c>
      <c r="U23" s="2" t="s">
        <v>221</v>
      </c>
      <c r="V23" s="101" t="s">
        <v>222</v>
      </c>
    </row>
    <row r="24" spans="1:22" x14ac:dyDescent="0.3">
      <c r="B24" s="2">
        <v>21</v>
      </c>
      <c r="C24" s="2">
        <v>23</v>
      </c>
      <c r="D24" s="2" t="s">
        <v>331</v>
      </c>
      <c r="E24" s="4">
        <v>44507</v>
      </c>
      <c r="F24" s="2" t="s">
        <v>19</v>
      </c>
      <c r="G24" s="2" t="s">
        <v>16</v>
      </c>
      <c r="H24" s="60">
        <v>0.16874999999999998</v>
      </c>
      <c r="I24" s="60"/>
      <c r="K24" s="2"/>
      <c r="L24" s="2"/>
      <c r="M24" s="2"/>
      <c r="N24" s="4"/>
      <c r="T24" s="105" t="s">
        <v>198</v>
      </c>
      <c r="U24" s="62">
        <v>3</v>
      </c>
      <c r="V24" s="98">
        <v>3</v>
      </c>
    </row>
    <row r="25" spans="1:22" x14ac:dyDescent="0.3">
      <c r="A25" s="564" t="s">
        <v>4224</v>
      </c>
      <c r="B25" s="2">
        <v>22</v>
      </c>
      <c r="C25" s="2">
        <v>24</v>
      </c>
      <c r="D25" s="2" t="s">
        <v>6086</v>
      </c>
      <c r="E25" s="4">
        <v>44519</v>
      </c>
      <c r="F25" s="2" t="s">
        <v>18</v>
      </c>
      <c r="G25" s="2" t="s">
        <v>17</v>
      </c>
      <c r="H25" s="60">
        <v>0.20833333333333334</v>
      </c>
      <c r="I25" s="60" t="s">
        <v>834</v>
      </c>
      <c r="L25" s="2"/>
      <c r="M25" s="2"/>
      <c r="N25" s="4"/>
      <c r="T25" s="105" t="s">
        <v>199</v>
      </c>
      <c r="U25" s="2">
        <v>7</v>
      </c>
      <c r="V25" s="99">
        <v>7</v>
      </c>
    </row>
    <row r="26" spans="1:22" x14ac:dyDescent="0.3">
      <c r="B26" s="2">
        <v>23</v>
      </c>
      <c r="C26" s="2">
        <v>25</v>
      </c>
      <c r="D26" s="2" t="s">
        <v>6179</v>
      </c>
      <c r="E26" s="4">
        <v>44521</v>
      </c>
      <c r="F26" s="2" t="s">
        <v>19</v>
      </c>
      <c r="G26" s="2" t="s">
        <v>16</v>
      </c>
      <c r="H26" s="60">
        <v>8.6111111111111124E-2</v>
      </c>
      <c r="I26" s="60"/>
      <c r="L26" s="2"/>
      <c r="M26" s="2"/>
      <c r="N26" s="4"/>
      <c r="T26" s="105" t="s">
        <v>200</v>
      </c>
      <c r="U26" s="2">
        <v>11</v>
      </c>
      <c r="V26" s="99">
        <v>13</v>
      </c>
    </row>
    <row r="27" spans="1:22" x14ac:dyDescent="0.3">
      <c r="A27" t="s">
        <v>4457</v>
      </c>
      <c r="B27" s="2">
        <v>24</v>
      </c>
      <c r="C27" s="2">
        <v>26</v>
      </c>
      <c r="D27" s="2" t="s">
        <v>6091</v>
      </c>
      <c r="E27" s="4">
        <v>44526</v>
      </c>
      <c r="F27" s="2" t="s">
        <v>18</v>
      </c>
      <c r="G27" s="2" t="s">
        <v>17</v>
      </c>
      <c r="H27" s="60">
        <v>0.12638888888888888</v>
      </c>
      <c r="I27" s="60" t="s">
        <v>834</v>
      </c>
      <c r="L27" s="2"/>
      <c r="M27" s="2"/>
      <c r="N27" s="4"/>
      <c r="T27" s="105" t="s">
        <v>201</v>
      </c>
      <c r="U27" s="2">
        <v>17</v>
      </c>
      <c r="V27" s="99">
        <v>16</v>
      </c>
    </row>
    <row r="28" spans="1:22" x14ac:dyDescent="0.3">
      <c r="B28" s="2">
        <v>25</v>
      </c>
      <c r="C28" s="2">
        <v>27</v>
      </c>
      <c r="D28" s="2" t="s">
        <v>328</v>
      </c>
      <c r="E28" s="4">
        <v>44528</v>
      </c>
      <c r="F28" s="2" t="s">
        <v>19</v>
      </c>
      <c r="G28" s="2" t="s">
        <v>17</v>
      </c>
      <c r="H28" s="60" t="s">
        <v>354</v>
      </c>
      <c r="I28" s="60" t="s">
        <v>834</v>
      </c>
      <c r="L28" s="2"/>
      <c r="M28" s="2"/>
      <c r="N28" s="4"/>
      <c r="T28" s="105" t="s">
        <v>202</v>
      </c>
      <c r="U28" s="2">
        <v>9</v>
      </c>
      <c r="V28" s="99">
        <v>11</v>
      </c>
    </row>
    <row r="29" spans="1:22" x14ac:dyDescent="0.3">
      <c r="B29" s="2">
        <v>26</v>
      </c>
      <c r="C29" s="2">
        <v>28</v>
      </c>
      <c r="D29" s="2" t="s">
        <v>1274</v>
      </c>
      <c r="E29" s="4">
        <v>44530</v>
      </c>
      <c r="F29" s="2" t="s">
        <v>20</v>
      </c>
      <c r="G29" s="2" t="s">
        <v>16</v>
      </c>
      <c r="H29" s="60">
        <v>8.5416666666666655E-2</v>
      </c>
      <c r="I29" s="60"/>
      <c r="L29" s="2"/>
      <c r="M29" s="2"/>
      <c r="N29" s="4"/>
      <c r="T29" s="105" t="s">
        <v>203</v>
      </c>
      <c r="U29" s="2">
        <v>6</v>
      </c>
      <c r="V29" s="99">
        <v>3</v>
      </c>
    </row>
    <row r="30" spans="1:22" x14ac:dyDescent="0.3">
      <c r="B30" s="2">
        <v>27</v>
      </c>
      <c r="C30" s="2">
        <v>29</v>
      </c>
      <c r="D30" s="2" t="s">
        <v>626</v>
      </c>
      <c r="E30" s="4">
        <v>44533</v>
      </c>
      <c r="F30" s="2" t="s">
        <v>18</v>
      </c>
      <c r="G30" s="2" t="s">
        <v>17</v>
      </c>
      <c r="H30" s="60">
        <v>0.1277777777777778</v>
      </c>
      <c r="I30" s="60" t="s">
        <v>834</v>
      </c>
      <c r="L30" s="2"/>
      <c r="M30" s="2"/>
      <c r="N30" s="4"/>
      <c r="T30" s="105" t="s">
        <v>204</v>
      </c>
      <c r="U30" s="2">
        <v>2</v>
      </c>
      <c r="V30" s="99">
        <v>2</v>
      </c>
    </row>
    <row r="31" spans="1:22" x14ac:dyDescent="0.3">
      <c r="A31" s="191"/>
      <c r="B31" s="170">
        <v>28</v>
      </c>
      <c r="C31" s="170">
        <v>30</v>
      </c>
      <c r="D31" s="170" t="s">
        <v>6076</v>
      </c>
      <c r="E31" s="189">
        <v>44535</v>
      </c>
      <c r="F31" s="170" t="s">
        <v>19</v>
      </c>
      <c r="G31" s="170" t="s">
        <v>16</v>
      </c>
      <c r="H31" s="193">
        <v>0.12638888888888888</v>
      </c>
      <c r="I31" s="193"/>
      <c r="L31" s="2"/>
      <c r="M31" s="2"/>
      <c r="N31" s="4"/>
      <c r="T31" s="105" t="s">
        <v>205</v>
      </c>
      <c r="U31" s="2">
        <v>1</v>
      </c>
      <c r="V31" s="99">
        <v>1</v>
      </c>
    </row>
    <row r="32" spans="1:22" x14ac:dyDescent="0.3">
      <c r="B32" s="2">
        <v>29</v>
      </c>
      <c r="C32" s="2">
        <v>31</v>
      </c>
      <c r="D32" s="2" t="s">
        <v>326</v>
      </c>
      <c r="E32" s="4">
        <v>44540</v>
      </c>
      <c r="F32" s="2" t="s">
        <v>18</v>
      </c>
      <c r="G32" s="2" t="s">
        <v>16</v>
      </c>
      <c r="H32" s="60">
        <v>4.4444444444444446E-2</v>
      </c>
      <c r="I32" s="60"/>
      <c r="K32" s="2"/>
      <c r="L32" s="2"/>
      <c r="M32" s="2"/>
      <c r="N32" s="4"/>
      <c r="T32" s="105" t="s">
        <v>3429</v>
      </c>
      <c r="U32" s="2"/>
      <c r="V32" s="99"/>
    </row>
    <row r="33" spans="1:22" ht="15" thickBot="1" x14ac:dyDescent="0.35">
      <c r="B33" s="2">
        <v>30</v>
      </c>
      <c r="C33" s="2">
        <v>32</v>
      </c>
      <c r="D33" s="2" t="s">
        <v>610</v>
      </c>
      <c r="E33" s="4">
        <v>44542</v>
      </c>
      <c r="F33" s="2" t="s">
        <v>19</v>
      </c>
      <c r="G33" s="2" t="s">
        <v>17</v>
      </c>
      <c r="H33" s="60">
        <v>8.3333333333333329E-2</v>
      </c>
      <c r="I33" s="60"/>
      <c r="L33" s="2"/>
      <c r="M33" s="2"/>
      <c r="N33" s="4"/>
      <c r="T33" s="102"/>
      <c r="U33" s="103">
        <f>SUM(U24:U32)</f>
        <v>56</v>
      </c>
      <c r="V33" s="104">
        <f>SUM(V24:V32)</f>
        <v>56</v>
      </c>
    </row>
    <row r="34" spans="1:22" ht="15" thickBot="1" x14ac:dyDescent="0.35">
      <c r="B34" s="2">
        <v>31</v>
      </c>
      <c r="C34" s="2">
        <v>33</v>
      </c>
      <c r="D34" s="2" t="s">
        <v>334</v>
      </c>
      <c r="E34" s="4">
        <v>44551</v>
      </c>
      <c r="F34" s="2" t="s">
        <v>20</v>
      </c>
      <c r="G34" s="2" t="s">
        <v>16</v>
      </c>
      <c r="H34" s="60">
        <v>4.3750000000000004E-2</v>
      </c>
      <c r="L34" s="2"/>
      <c r="M34" s="2"/>
      <c r="N34" s="4"/>
    </row>
    <row r="35" spans="1:22" x14ac:dyDescent="0.3">
      <c r="B35" s="2">
        <v>32</v>
      </c>
      <c r="C35" s="2">
        <v>35</v>
      </c>
      <c r="D35" s="2" t="s">
        <v>332</v>
      </c>
      <c r="E35" s="4">
        <v>44556</v>
      </c>
      <c r="F35" s="2" t="s">
        <v>19</v>
      </c>
      <c r="G35" s="2" t="s">
        <v>16</v>
      </c>
      <c r="H35" s="60" t="s">
        <v>171</v>
      </c>
      <c r="I35" s="60" t="s">
        <v>834</v>
      </c>
      <c r="L35" s="2"/>
      <c r="M35" s="2"/>
      <c r="N35" s="4"/>
      <c r="U35" s="395" t="s">
        <v>3438</v>
      </c>
      <c r="V35" s="186" t="s">
        <v>3437</v>
      </c>
    </row>
    <row r="36" spans="1:22" ht="15" thickBot="1" x14ac:dyDescent="0.35">
      <c r="B36" s="2">
        <v>33</v>
      </c>
      <c r="C36" s="2">
        <v>36</v>
      </c>
      <c r="D36" s="2" t="s">
        <v>327</v>
      </c>
      <c r="E36" s="4">
        <v>44558</v>
      </c>
      <c r="F36" s="2" t="s">
        <v>20</v>
      </c>
      <c r="G36" s="425" t="s">
        <v>17</v>
      </c>
      <c r="H36" s="60">
        <v>4.5138888888888888E-2</v>
      </c>
      <c r="I36" s="60" t="s">
        <v>834</v>
      </c>
      <c r="L36" s="2"/>
      <c r="M36" s="2"/>
      <c r="N36" s="4"/>
      <c r="U36" s="396">
        <f>(V15+V16+V17+V18+V19)/V20</f>
        <v>0.5178571428571429</v>
      </c>
      <c r="V36" s="394">
        <f>(V27+V28+V29+V30+V31+V32)/V33</f>
        <v>0.5892857142857143</v>
      </c>
    </row>
    <row r="37" spans="1:22" x14ac:dyDescent="0.3">
      <c r="B37" s="2">
        <v>34</v>
      </c>
      <c r="C37" s="2">
        <v>47</v>
      </c>
      <c r="D37" s="2" t="s">
        <v>610</v>
      </c>
      <c r="E37" s="4">
        <v>44560</v>
      </c>
      <c r="F37" s="2" t="s">
        <v>22</v>
      </c>
      <c r="G37" s="2" t="s">
        <v>16</v>
      </c>
      <c r="H37" s="60">
        <v>0.12638888888888888</v>
      </c>
      <c r="I37" s="60"/>
      <c r="L37" s="2"/>
      <c r="M37" s="2"/>
      <c r="N37" s="4"/>
    </row>
    <row r="38" spans="1:22" x14ac:dyDescent="0.3">
      <c r="B38" s="2">
        <v>35</v>
      </c>
      <c r="C38" s="2">
        <v>38</v>
      </c>
      <c r="D38" s="2" t="s">
        <v>331</v>
      </c>
      <c r="E38" s="4">
        <v>44565</v>
      </c>
      <c r="F38" s="2" t="s">
        <v>20</v>
      </c>
      <c r="G38" s="2" t="s">
        <v>17</v>
      </c>
      <c r="H38" s="60" t="s">
        <v>164</v>
      </c>
      <c r="I38" s="60" t="s">
        <v>834</v>
      </c>
    </row>
    <row r="39" spans="1:22" x14ac:dyDescent="0.3">
      <c r="B39" s="2">
        <v>36</v>
      </c>
      <c r="C39" s="2">
        <v>39</v>
      </c>
      <c r="D39" s="2" t="s">
        <v>6086</v>
      </c>
      <c r="E39" s="4">
        <v>44568</v>
      </c>
      <c r="F39" s="2" t="s">
        <v>18</v>
      </c>
      <c r="G39" s="2" t="s">
        <v>16</v>
      </c>
      <c r="H39" s="60">
        <v>0.1277777777777778</v>
      </c>
      <c r="I39" s="60"/>
    </row>
    <row r="40" spans="1:22" ht="15" thickBot="1" x14ac:dyDescent="0.35">
      <c r="B40" s="2">
        <v>37</v>
      </c>
      <c r="C40" s="2">
        <v>40</v>
      </c>
      <c r="D40" s="2" t="s">
        <v>6179</v>
      </c>
      <c r="E40" s="4">
        <v>44570</v>
      </c>
      <c r="F40" s="2" t="s">
        <v>19</v>
      </c>
      <c r="G40" s="2" t="s">
        <v>17</v>
      </c>
      <c r="H40" s="60" t="s">
        <v>171</v>
      </c>
      <c r="I40" s="60" t="s">
        <v>834</v>
      </c>
      <c r="L40" s="1149" t="s">
        <v>4030</v>
      </c>
      <c r="M40" s="1150"/>
      <c r="N40" s="1166"/>
      <c r="O40" s="592" t="s">
        <v>315</v>
      </c>
    </row>
    <row r="41" spans="1:22" x14ac:dyDescent="0.3">
      <c r="B41" s="2">
        <v>38</v>
      </c>
      <c r="C41" s="2">
        <v>42</v>
      </c>
      <c r="D41" s="2" t="s">
        <v>328</v>
      </c>
      <c r="E41" s="4">
        <v>44577</v>
      </c>
      <c r="F41" s="2" t="s">
        <v>19</v>
      </c>
      <c r="G41" s="2" t="s">
        <v>16</v>
      </c>
      <c r="H41" s="60">
        <v>0.25069444444444444</v>
      </c>
      <c r="I41" s="60"/>
      <c r="L41" s="599" t="s">
        <v>238</v>
      </c>
      <c r="M41" s="431" t="s">
        <v>240</v>
      </c>
      <c r="N41" s="431" t="s">
        <v>241</v>
      </c>
      <c r="O41" s="307" t="s">
        <v>314</v>
      </c>
    </row>
    <row r="42" spans="1:22" x14ac:dyDescent="0.3">
      <c r="B42" s="2">
        <v>39</v>
      </c>
      <c r="C42" s="2">
        <v>37</v>
      </c>
      <c r="D42" s="2" t="s">
        <v>325</v>
      </c>
      <c r="E42" s="4">
        <v>44586</v>
      </c>
      <c r="F42" s="2" t="s">
        <v>20</v>
      </c>
      <c r="G42" s="2" t="s">
        <v>16</v>
      </c>
      <c r="H42" s="60">
        <v>4.3750000000000004E-2</v>
      </c>
      <c r="I42" s="60"/>
      <c r="L42" s="600">
        <v>44413</v>
      </c>
      <c r="M42" s="63" t="s">
        <v>6076</v>
      </c>
      <c r="N42" s="63" t="s">
        <v>818</v>
      </c>
      <c r="O42" s="601">
        <v>0.12847222222222224</v>
      </c>
    </row>
    <row r="43" spans="1:22" ht="15" thickBot="1" x14ac:dyDescent="0.35">
      <c r="B43" s="2">
        <v>40</v>
      </c>
      <c r="C43" s="2">
        <v>46</v>
      </c>
      <c r="D43" s="2" t="s">
        <v>326</v>
      </c>
      <c r="E43" s="4">
        <v>44589</v>
      </c>
      <c r="F43" s="2" t="s">
        <v>18</v>
      </c>
      <c r="G43" s="2" t="s">
        <v>17</v>
      </c>
      <c r="H43" s="60" t="s">
        <v>163</v>
      </c>
      <c r="I43" s="60" t="s">
        <v>834</v>
      </c>
      <c r="L43" s="600">
        <v>44418</v>
      </c>
      <c r="M43" s="63" t="s">
        <v>6086</v>
      </c>
      <c r="N43" s="63" t="s">
        <v>818</v>
      </c>
      <c r="O43" s="601">
        <v>0.12638888888888888</v>
      </c>
      <c r="T43" s="608"/>
      <c r="U43" s="202" t="s">
        <v>3438</v>
      </c>
      <c r="V43" s="598" t="s">
        <v>3437</v>
      </c>
    </row>
    <row r="44" spans="1:22" x14ac:dyDescent="0.3">
      <c r="B44" s="2">
        <v>41</v>
      </c>
      <c r="C44" s="2">
        <v>50</v>
      </c>
      <c r="D44" s="2" t="s">
        <v>332</v>
      </c>
      <c r="E44" s="4">
        <v>44591</v>
      </c>
      <c r="F44" s="2" t="s">
        <v>19</v>
      </c>
      <c r="G44" s="2" t="s">
        <v>17</v>
      </c>
      <c r="H44" s="60">
        <v>8.6805555555555566E-2</v>
      </c>
      <c r="I44" s="60" t="s">
        <v>834</v>
      </c>
      <c r="L44" s="600">
        <v>44420</v>
      </c>
      <c r="M44" s="63" t="s">
        <v>818</v>
      </c>
      <c r="N44" s="63" t="s">
        <v>332</v>
      </c>
      <c r="O44" s="601">
        <v>8.3333333333333329E-2</v>
      </c>
      <c r="T44" s="306" t="s">
        <v>4409</v>
      </c>
      <c r="U44" s="609">
        <f>U36</f>
        <v>0.5178571428571429</v>
      </c>
      <c r="V44" s="604">
        <f>V36</f>
        <v>0.5892857142857143</v>
      </c>
    </row>
    <row r="45" spans="1:22" x14ac:dyDescent="0.3">
      <c r="A45" s="191"/>
      <c r="B45" s="170">
        <v>42</v>
      </c>
      <c r="C45" s="170">
        <v>48</v>
      </c>
      <c r="D45" s="170" t="s">
        <v>334</v>
      </c>
      <c r="E45" s="189">
        <v>44593</v>
      </c>
      <c r="F45" s="170" t="s">
        <v>20</v>
      </c>
      <c r="G45" s="170" t="s">
        <v>17</v>
      </c>
      <c r="H45" s="193">
        <v>8.7500000000000008E-2</v>
      </c>
      <c r="I45" s="193" t="s">
        <v>834</v>
      </c>
      <c r="L45" s="600">
        <v>44435</v>
      </c>
      <c r="M45" s="63" t="s">
        <v>818</v>
      </c>
      <c r="N45" s="63" t="s">
        <v>1231</v>
      </c>
      <c r="O45" s="601">
        <v>0.25138888888888888</v>
      </c>
      <c r="T45" s="168" t="s">
        <v>4410</v>
      </c>
      <c r="U45" s="610">
        <v>0.38181818181818183</v>
      </c>
      <c r="V45" s="605">
        <v>0.47272727272727272</v>
      </c>
    </row>
    <row r="46" spans="1:22" x14ac:dyDescent="0.3">
      <c r="B46" s="2">
        <v>43</v>
      </c>
      <c r="C46" s="2">
        <v>51</v>
      </c>
      <c r="D46" s="2" t="s">
        <v>327</v>
      </c>
      <c r="E46" s="4">
        <v>44595</v>
      </c>
      <c r="F46" s="2" t="s">
        <v>22</v>
      </c>
      <c r="G46" s="2" t="s">
        <v>16</v>
      </c>
      <c r="H46" s="60" t="s">
        <v>590</v>
      </c>
      <c r="I46" s="60"/>
      <c r="L46" s="600">
        <v>44439</v>
      </c>
      <c r="M46" s="63" t="s">
        <v>6091</v>
      </c>
      <c r="N46" s="63" t="s">
        <v>818</v>
      </c>
      <c r="O46" s="601">
        <v>0.1277777777777778</v>
      </c>
      <c r="T46" s="168" t="s">
        <v>4411</v>
      </c>
      <c r="U46" s="610">
        <v>0.51923076923076927</v>
      </c>
      <c r="V46" s="605">
        <v>0.55769230769230771</v>
      </c>
    </row>
    <row r="47" spans="1:22" x14ac:dyDescent="0.3">
      <c r="B47" s="2">
        <v>44</v>
      </c>
      <c r="C47" s="2">
        <v>45</v>
      </c>
      <c r="D47" s="2" t="s">
        <v>6076</v>
      </c>
      <c r="E47" s="4">
        <v>44598</v>
      </c>
      <c r="F47" s="2" t="s">
        <v>19</v>
      </c>
      <c r="G47" s="2" t="s">
        <v>17</v>
      </c>
      <c r="H47" s="60" t="s">
        <v>164</v>
      </c>
      <c r="I47" s="60"/>
      <c r="L47" s="600">
        <v>44441</v>
      </c>
      <c r="M47" s="63" t="s">
        <v>818</v>
      </c>
      <c r="N47" s="63" t="s">
        <v>6076</v>
      </c>
      <c r="O47" s="601">
        <v>0.12569444444444444</v>
      </c>
      <c r="T47" s="169" t="s">
        <v>4412</v>
      </c>
      <c r="U47" s="611">
        <v>0.38461538461538464</v>
      </c>
      <c r="V47" s="606">
        <v>0.53846153846153844</v>
      </c>
    </row>
    <row r="48" spans="1:22" x14ac:dyDescent="0.3">
      <c r="B48" s="2">
        <v>45</v>
      </c>
      <c r="C48" s="2">
        <v>44</v>
      </c>
      <c r="D48" s="2" t="s">
        <v>626</v>
      </c>
      <c r="E48" s="4">
        <v>44600</v>
      </c>
      <c r="F48" s="2" t="s">
        <v>20</v>
      </c>
      <c r="G48" s="2" t="s">
        <v>16</v>
      </c>
      <c r="H48" s="60">
        <v>4.4444444444444446E-2</v>
      </c>
      <c r="I48" s="60"/>
      <c r="L48" s="602">
        <v>44445</v>
      </c>
      <c r="M48" s="196" t="s">
        <v>332</v>
      </c>
      <c r="N48" s="196" t="s">
        <v>818</v>
      </c>
      <c r="O48" s="603">
        <v>0.1277777777777778</v>
      </c>
      <c r="T48" s="234" t="s">
        <v>4413</v>
      </c>
      <c r="U48" s="612">
        <v>0.375</v>
      </c>
      <c r="V48" s="607">
        <v>0.609375</v>
      </c>
    </row>
    <row r="49" spans="1:16" x14ac:dyDescent="0.3">
      <c r="B49" s="2">
        <v>46</v>
      </c>
      <c r="C49" s="2">
        <v>41</v>
      </c>
      <c r="D49" s="2" t="s">
        <v>6091</v>
      </c>
      <c r="E49" s="4">
        <v>44603</v>
      </c>
      <c r="F49" s="2" t="s">
        <v>18</v>
      </c>
      <c r="G49" s="2" t="s">
        <v>17</v>
      </c>
      <c r="H49" s="60">
        <v>0.1277777777777778</v>
      </c>
      <c r="I49" s="60" t="s">
        <v>834</v>
      </c>
      <c r="L49" s="519"/>
      <c r="M49" s="63"/>
      <c r="N49" s="63"/>
      <c r="O49" s="60"/>
    </row>
    <row r="50" spans="1:16" x14ac:dyDescent="0.3">
      <c r="B50" s="2">
        <v>47</v>
      </c>
      <c r="C50" s="2">
        <v>52</v>
      </c>
      <c r="D50" s="2" t="s">
        <v>325</v>
      </c>
      <c r="E50" s="4">
        <v>44605</v>
      </c>
      <c r="F50" s="2" t="s">
        <v>19</v>
      </c>
      <c r="G50" s="2" t="s">
        <v>17</v>
      </c>
      <c r="H50" s="60">
        <v>3.472222222222222E-3</v>
      </c>
      <c r="I50" s="60" t="s">
        <v>834</v>
      </c>
      <c r="L50" s="519"/>
      <c r="M50" s="63"/>
      <c r="N50" s="63"/>
      <c r="O50" s="60"/>
      <c r="P50" s="2"/>
    </row>
    <row r="51" spans="1:16" x14ac:dyDescent="0.3">
      <c r="B51" s="2">
        <v>48</v>
      </c>
      <c r="C51" s="2">
        <v>53</v>
      </c>
      <c r="D51" s="2" t="s">
        <v>331</v>
      </c>
      <c r="E51" s="4">
        <v>44610</v>
      </c>
      <c r="F51" s="2" t="s">
        <v>18</v>
      </c>
      <c r="G51" s="2" t="s">
        <v>16</v>
      </c>
      <c r="H51" s="60" t="s">
        <v>163</v>
      </c>
      <c r="I51" s="60"/>
      <c r="L51" s="519"/>
      <c r="M51" s="63"/>
      <c r="N51" s="63"/>
      <c r="O51" s="60"/>
      <c r="P51" s="2"/>
    </row>
    <row r="52" spans="1:16" x14ac:dyDescent="0.3">
      <c r="A52" t="s">
        <v>4542</v>
      </c>
      <c r="B52" s="2">
        <v>49</v>
      </c>
      <c r="C52" s="2">
        <v>54</v>
      </c>
      <c r="D52" s="2" t="s">
        <v>6086</v>
      </c>
      <c r="E52" s="4">
        <v>44612</v>
      </c>
      <c r="F52" s="2" t="s">
        <v>19</v>
      </c>
      <c r="G52" s="2" t="s">
        <v>17</v>
      </c>
      <c r="H52" s="60">
        <v>0.12569444444444444</v>
      </c>
      <c r="I52" s="60" t="s">
        <v>834</v>
      </c>
      <c r="O52" s="428">
        <v>0.97083333333333333</v>
      </c>
      <c r="P52" t="s">
        <v>580</v>
      </c>
    </row>
    <row r="53" spans="1:16" x14ac:dyDescent="0.3">
      <c r="B53" s="2">
        <v>50</v>
      </c>
      <c r="C53" s="2">
        <v>55</v>
      </c>
      <c r="D53" s="2" t="s">
        <v>6179</v>
      </c>
      <c r="E53" s="4">
        <v>44614</v>
      </c>
      <c r="F53" s="2" t="s">
        <v>20</v>
      </c>
      <c r="G53" s="2" t="s">
        <v>16</v>
      </c>
      <c r="H53" s="60">
        <v>0.20902777777777778</v>
      </c>
      <c r="I53" s="60"/>
      <c r="O53" s="60">
        <v>0.50624999999999998</v>
      </c>
      <c r="P53" t="s">
        <v>821</v>
      </c>
    </row>
    <row r="54" spans="1:16" x14ac:dyDescent="0.3">
      <c r="B54" s="2">
        <v>51</v>
      </c>
      <c r="C54" s="2">
        <v>56</v>
      </c>
      <c r="D54" s="2" t="s">
        <v>6091</v>
      </c>
      <c r="E54" s="4">
        <v>44617</v>
      </c>
      <c r="F54" s="2" t="s">
        <v>18</v>
      </c>
      <c r="G54" s="2" t="s">
        <v>16</v>
      </c>
      <c r="H54" s="60">
        <v>0.25069444444444444</v>
      </c>
      <c r="I54" s="60"/>
    </row>
    <row r="55" spans="1:16" x14ac:dyDescent="0.3">
      <c r="B55" s="2">
        <v>52</v>
      </c>
      <c r="C55" s="2">
        <v>57</v>
      </c>
      <c r="D55" s="2" t="s">
        <v>328</v>
      </c>
      <c r="E55" s="4">
        <v>44619</v>
      </c>
      <c r="F55" s="2" t="s">
        <v>19</v>
      </c>
      <c r="G55" s="2" t="s">
        <v>17</v>
      </c>
      <c r="H55" s="60">
        <v>0.16805555555555554</v>
      </c>
      <c r="I55" s="60" t="s">
        <v>834</v>
      </c>
    </row>
    <row r="56" spans="1:16" x14ac:dyDescent="0.3">
      <c r="A56" t="s">
        <v>4543</v>
      </c>
      <c r="B56" s="2">
        <v>53</v>
      </c>
      <c r="C56" s="2">
        <v>43</v>
      </c>
      <c r="D56" s="2" t="s">
        <v>1274</v>
      </c>
      <c r="E56" s="4">
        <v>44621</v>
      </c>
      <c r="F56" s="2" t="s">
        <v>20</v>
      </c>
      <c r="G56" s="2" t="s">
        <v>17</v>
      </c>
      <c r="H56" s="60" t="s">
        <v>352</v>
      </c>
      <c r="I56" s="60" t="s">
        <v>834</v>
      </c>
    </row>
    <row r="57" spans="1:16" x14ac:dyDescent="0.3">
      <c r="B57" s="2">
        <v>54</v>
      </c>
      <c r="C57" s="2">
        <v>58</v>
      </c>
      <c r="D57" s="2" t="s">
        <v>1274</v>
      </c>
      <c r="E57" s="4">
        <v>44624</v>
      </c>
      <c r="F57" s="2" t="s">
        <v>18</v>
      </c>
      <c r="G57" s="2" t="s">
        <v>16</v>
      </c>
      <c r="H57" s="60">
        <v>2.0833333333333333E-3</v>
      </c>
      <c r="I57" s="60" t="s">
        <v>834</v>
      </c>
    </row>
    <row r="58" spans="1:16" x14ac:dyDescent="0.3">
      <c r="B58" s="2">
        <v>55</v>
      </c>
      <c r="C58" s="2">
        <v>59</v>
      </c>
      <c r="D58" s="2" t="s">
        <v>626</v>
      </c>
      <c r="E58" s="4">
        <v>44626</v>
      </c>
      <c r="F58" s="2" t="s">
        <v>19</v>
      </c>
      <c r="G58" s="2" t="s">
        <v>17</v>
      </c>
      <c r="H58" s="60">
        <v>8.5416666666666655E-2</v>
      </c>
      <c r="I58" s="60" t="s">
        <v>834</v>
      </c>
    </row>
    <row r="59" spans="1:16" ht="16.5" customHeight="1" x14ac:dyDescent="0.3">
      <c r="A59" s="191"/>
      <c r="B59" s="170">
        <v>56</v>
      </c>
      <c r="C59" s="170">
        <v>60</v>
      </c>
      <c r="D59" s="170" t="s">
        <v>6076</v>
      </c>
      <c r="E59" s="189">
        <v>44628</v>
      </c>
      <c r="F59" s="170" t="s">
        <v>20</v>
      </c>
      <c r="G59" s="170" t="s">
        <v>16</v>
      </c>
      <c r="H59" s="193">
        <v>4.3750000000000004E-2</v>
      </c>
      <c r="I59" s="193"/>
    </row>
    <row r="60" spans="1:16" x14ac:dyDescent="0.3">
      <c r="B60" s="1150"/>
      <c r="C60" s="1150"/>
      <c r="D60"/>
      <c r="E60"/>
      <c r="F60"/>
      <c r="G60"/>
      <c r="H60" s="60"/>
      <c r="I60" s="60"/>
    </row>
    <row r="61" spans="1:16" x14ac:dyDescent="0.3">
      <c r="B61" s="1153"/>
      <c r="C61" s="1153"/>
      <c r="D61"/>
      <c r="E61"/>
      <c r="F61"/>
      <c r="G61"/>
      <c r="H61" s="60"/>
      <c r="I61" s="60"/>
    </row>
    <row r="62" spans="1:16" x14ac:dyDescent="0.3">
      <c r="B62" s="1153"/>
      <c r="C62" s="1153"/>
      <c r="E62" s="4"/>
      <c r="H62" s="60"/>
      <c r="I62" s="60"/>
    </row>
    <row r="63" spans="1:16" x14ac:dyDescent="0.3">
      <c r="B63" s="1153"/>
      <c r="C63" s="1153"/>
      <c r="E63" s="4"/>
      <c r="H63" s="60"/>
      <c r="I63" s="60"/>
    </row>
    <row r="64" spans="1:16" x14ac:dyDescent="0.3">
      <c r="B64" s="1153"/>
      <c r="C64" s="1153"/>
      <c r="E64" s="4"/>
      <c r="H64" s="60"/>
      <c r="I64" s="60"/>
    </row>
    <row r="65" spans="1:22" x14ac:dyDescent="0.3">
      <c r="B65" s="2"/>
      <c r="E65" s="4"/>
      <c r="H65" s="60"/>
      <c r="I65" s="60"/>
    </row>
    <row r="66" spans="1:22" ht="15" thickBot="1" x14ac:dyDescent="0.35">
      <c r="B66" s="2"/>
      <c r="E66" s="4"/>
      <c r="H66" s="60"/>
      <c r="I66" s="60"/>
    </row>
    <row r="67" spans="1:22" ht="15" thickBot="1" x14ac:dyDescent="0.35">
      <c r="B67" s="2"/>
      <c r="E67" s="295">
        <f>I67/E86</f>
        <v>0.5714285714285714</v>
      </c>
      <c r="F67" s="296" t="s">
        <v>1121</v>
      </c>
      <c r="G67" s="297"/>
      <c r="H67" s="298"/>
      <c r="I67" s="520">
        <f>56-(COUNTBLANK(I4:I59))</f>
        <v>32</v>
      </c>
    </row>
    <row r="68" spans="1:22" ht="15" thickBot="1" x14ac:dyDescent="0.35">
      <c r="B68" s="2"/>
      <c r="E68"/>
      <c r="F68"/>
      <c r="G68"/>
      <c r="H68"/>
    </row>
    <row r="69" spans="1:22" x14ac:dyDescent="0.3">
      <c r="B69" s="1167" t="s">
        <v>4167</v>
      </c>
      <c r="C69" s="1168"/>
      <c r="D69" s="1168"/>
      <c r="E69" s="1168"/>
      <c r="F69" s="1168"/>
      <c r="G69" s="1168"/>
      <c r="H69" s="1169"/>
    </row>
    <row r="70" spans="1:22" s="2" customFormat="1" ht="15" thickBot="1" x14ac:dyDescent="0.35">
      <c r="A70"/>
      <c r="B70" s="201"/>
      <c r="C70" s="202" t="s">
        <v>16</v>
      </c>
      <c r="D70" s="202" t="s">
        <v>793</v>
      </c>
      <c r="E70" s="202" t="s">
        <v>794</v>
      </c>
      <c r="F70" s="202" t="s">
        <v>743</v>
      </c>
      <c r="G70" s="202" t="s">
        <v>796</v>
      </c>
      <c r="H70" s="203" t="s">
        <v>795</v>
      </c>
      <c r="J70"/>
      <c r="K70"/>
      <c r="L70"/>
      <c r="M70"/>
      <c r="N70"/>
      <c r="P70"/>
      <c r="Q70"/>
      <c r="R70"/>
      <c r="S70"/>
      <c r="T70"/>
      <c r="U70"/>
      <c r="V70"/>
    </row>
    <row r="71" spans="1:22" s="2" customFormat="1" x14ac:dyDescent="0.3">
      <c r="A71"/>
      <c r="B71" s="204" t="s">
        <v>792</v>
      </c>
      <c r="C71" s="205">
        <f>C72+C73</f>
        <v>4</v>
      </c>
      <c r="D71" s="205">
        <f t="shared" ref="D71:F71" si="0">D72+D73</f>
        <v>1</v>
      </c>
      <c r="E71" s="205">
        <f t="shared" si="0"/>
        <v>2</v>
      </c>
      <c r="F71" s="205">
        <f t="shared" si="0"/>
        <v>7</v>
      </c>
      <c r="G71" s="205">
        <f>G72+G73</f>
        <v>16</v>
      </c>
      <c r="H71" s="274">
        <v>1.7395833333333333</v>
      </c>
      <c r="I71" s="243"/>
      <c r="J71"/>
      <c r="K71"/>
      <c r="L71"/>
      <c r="M71"/>
      <c r="N71"/>
      <c r="P71"/>
      <c r="Q71"/>
      <c r="R71"/>
      <c r="S71"/>
      <c r="T71"/>
      <c r="U71"/>
      <c r="V71"/>
    </row>
    <row r="72" spans="1:22" s="2" customFormat="1" x14ac:dyDescent="0.3">
      <c r="A72"/>
      <c r="B72" s="198" t="s">
        <v>797</v>
      </c>
      <c r="C72" s="183">
        <v>1</v>
      </c>
      <c r="D72" s="183">
        <v>1</v>
      </c>
      <c r="E72" s="183">
        <v>0</v>
      </c>
      <c r="F72" s="183">
        <v>4</v>
      </c>
      <c r="G72" s="383">
        <f t="shared" ref="G72:G82" si="1">C72*3+D72*2+E72</f>
        <v>5</v>
      </c>
      <c r="H72" s="229">
        <v>0.80902777777777779</v>
      </c>
      <c r="I72" s="60"/>
      <c r="J72"/>
      <c r="K72"/>
      <c r="L72"/>
      <c r="M72"/>
      <c r="N72"/>
      <c r="P72"/>
      <c r="Q72"/>
      <c r="R72"/>
      <c r="S72"/>
      <c r="T72"/>
      <c r="U72"/>
      <c r="V72"/>
    </row>
    <row r="73" spans="1:22" s="2" customFormat="1" ht="15" thickBot="1" x14ac:dyDescent="0.35">
      <c r="A73"/>
      <c r="B73" s="592" t="s">
        <v>798</v>
      </c>
      <c r="C73" s="202">
        <v>3</v>
      </c>
      <c r="D73" s="202">
        <v>0</v>
      </c>
      <c r="E73" s="202">
        <v>2</v>
      </c>
      <c r="F73" s="202">
        <v>3</v>
      </c>
      <c r="G73" s="593">
        <f t="shared" si="1"/>
        <v>11</v>
      </c>
      <c r="H73" s="590">
        <v>0.93055555555555547</v>
      </c>
      <c r="I73" s="244"/>
      <c r="J73"/>
      <c r="K73"/>
      <c r="L73"/>
      <c r="M73"/>
      <c r="N73"/>
      <c r="P73"/>
      <c r="Q73"/>
      <c r="R73"/>
      <c r="S73"/>
      <c r="T73"/>
      <c r="U73"/>
      <c r="V73"/>
    </row>
    <row r="74" spans="1:22" s="2" customFormat="1" x14ac:dyDescent="0.3">
      <c r="A74"/>
      <c r="B74" s="204" t="s">
        <v>799</v>
      </c>
      <c r="C74" s="205">
        <f>C75+C76</f>
        <v>7</v>
      </c>
      <c r="D74" s="205">
        <f t="shared" ref="D74:F74" si="2">D75+D76</f>
        <v>0</v>
      </c>
      <c r="E74" s="205">
        <f t="shared" si="2"/>
        <v>1</v>
      </c>
      <c r="F74" s="205">
        <f t="shared" si="2"/>
        <v>6</v>
      </c>
      <c r="G74" s="589">
        <f>G75+G76</f>
        <v>22</v>
      </c>
      <c r="H74" s="274">
        <v>1.6111111111111109</v>
      </c>
      <c r="I74" s="243"/>
      <c r="J74"/>
      <c r="K74"/>
      <c r="L74"/>
      <c r="M74"/>
      <c r="N74"/>
      <c r="P74"/>
      <c r="Q74"/>
      <c r="R74"/>
      <c r="S74"/>
      <c r="T74"/>
      <c r="U74"/>
      <c r="V74"/>
    </row>
    <row r="75" spans="1:22" s="2" customFormat="1" x14ac:dyDescent="0.3">
      <c r="A75"/>
      <c r="B75" s="198" t="s">
        <v>797</v>
      </c>
      <c r="C75" s="183">
        <v>5</v>
      </c>
      <c r="D75" s="183">
        <v>0</v>
      </c>
      <c r="E75" s="183">
        <v>1</v>
      </c>
      <c r="F75" s="183">
        <v>2</v>
      </c>
      <c r="G75" s="383">
        <f>C75*3+D75*2+E75</f>
        <v>16</v>
      </c>
      <c r="H75" s="400">
        <v>1.0562500000000001</v>
      </c>
      <c r="I75" s="244"/>
      <c r="J75"/>
      <c r="K75"/>
      <c r="L75"/>
      <c r="M75"/>
      <c r="N75"/>
      <c r="P75"/>
      <c r="Q75"/>
      <c r="R75"/>
      <c r="S75"/>
      <c r="T75"/>
      <c r="U75"/>
      <c r="V75"/>
    </row>
    <row r="76" spans="1:22" s="2" customFormat="1" ht="15" thickBot="1" x14ac:dyDescent="0.35">
      <c r="A76"/>
      <c r="B76" s="199" t="s">
        <v>798</v>
      </c>
      <c r="C76" s="200">
        <v>2</v>
      </c>
      <c r="D76" s="200">
        <v>0</v>
      </c>
      <c r="E76" s="200">
        <v>0</v>
      </c>
      <c r="F76" s="200">
        <v>4</v>
      </c>
      <c r="G76" s="384">
        <f>C76*3+D76*2+E76</f>
        <v>6</v>
      </c>
      <c r="H76" s="249">
        <v>0.55486111111111114</v>
      </c>
      <c r="I76" s="244"/>
      <c r="J76"/>
      <c r="K76"/>
      <c r="L76"/>
      <c r="M76"/>
      <c r="N76"/>
      <c r="P76"/>
      <c r="Q76"/>
      <c r="R76"/>
      <c r="S76"/>
      <c r="T76"/>
      <c r="U76"/>
      <c r="V76"/>
    </row>
    <row r="77" spans="1:22" s="2" customFormat="1" x14ac:dyDescent="0.3">
      <c r="A77"/>
      <c r="B77" s="594" t="s">
        <v>800</v>
      </c>
      <c r="C77" s="595">
        <f>C78+C79</f>
        <v>3</v>
      </c>
      <c r="D77" s="595">
        <f t="shared" ref="D77:F77" si="3">D78+D79</f>
        <v>1</v>
      </c>
      <c r="E77" s="595">
        <f t="shared" si="3"/>
        <v>3</v>
      </c>
      <c r="F77" s="595">
        <f t="shared" si="3"/>
        <v>7</v>
      </c>
      <c r="G77" s="595">
        <f>G78+G79</f>
        <v>14</v>
      </c>
      <c r="H77" s="591">
        <v>1.4069444444444443</v>
      </c>
      <c r="I77" s="243"/>
      <c r="J77"/>
      <c r="K77"/>
      <c r="L77"/>
      <c r="M77"/>
      <c r="N77"/>
      <c r="P77"/>
      <c r="Q77"/>
      <c r="R77"/>
      <c r="S77"/>
      <c r="T77"/>
      <c r="U77"/>
      <c r="V77"/>
    </row>
    <row r="78" spans="1:22" s="2" customFormat="1" x14ac:dyDescent="0.3">
      <c r="A78"/>
      <c r="B78" s="198" t="s">
        <v>797</v>
      </c>
      <c r="C78" s="183">
        <v>1</v>
      </c>
      <c r="D78" s="183">
        <v>1</v>
      </c>
      <c r="E78" s="183">
        <v>2</v>
      </c>
      <c r="F78" s="183">
        <v>3</v>
      </c>
      <c r="G78" s="383">
        <f>C78*3+D78*2+E78</f>
        <v>7</v>
      </c>
      <c r="H78" s="229">
        <v>0.68472222222222223</v>
      </c>
      <c r="I78" s="244"/>
      <c r="J78"/>
      <c r="K78"/>
      <c r="L78"/>
      <c r="M78"/>
      <c r="N78"/>
      <c r="P78"/>
      <c r="Q78"/>
      <c r="R78"/>
      <c r="S78"/>
      <c r="T78"/>
      <c r="U78"/>
      <c r="V78"/>
    </row>
    <row r="79" spans="1:22" s="2" customFormat="1" ht="15" thickBot="1" x14ac:dyDescent="0.35">
      <c r="A79"/>
      <c r="B79" s="199" t="s">
        <v>798</v>
      </c>
      <c r="C79" s="200">
        <v>2</v>
      </c>
      <c r="D79" s="200">
        <v>0</v>
      </c>
      <c r="E79" s="200">
        <v>1</v>
      </c>
      <c r="F79" s="200">
        <v>4</v>
      </c>
      <c r="G79" s="384">
        <f t="shared" si="1"/>
        <v>7</v>
      </c>
      <c r="H79" s="249">
        <v>0.72222222222222221</v>
      </c>
      <c r="I79" s="244"/>
      <c r="J79"/>
      <c r="K79"/>
      <c r="L79"/>
      <c r="M79"/>
      <c r="N79"/>
      <c r="P79"/>
      <c r="Q79"/>
      <c r="R79"/>
      <c r="S79"/>
      <c r="T79"/>
      <c r="U79"/>
      <c r="V79"/>
    </row>
    <row r="80" spans="1:22" s="2" customFormat="1" x14ac:dyDescent="0.3">
      <c r="A80"/>
      <c r="B80" s="204" t="s">
        <v>801</v>
      </c>
      <c r="C80" s="205">
        <f>C81+C82</f>
        <v>4</v>
      </c>
      <c r="D80" s="205">
        <f>D81+D82</f>
        <v>2</v>
      </c>
      <c r="E80" s="205">
        <f t="shared" ref="E80:F80" si="4">E81+E82</f>
        <v>2</v>
      </c>
      <c r="F80" s="205">
        <f t="shared" si="4"/>
        <v>6</v>
      </c>
      <c r="G80" s="205">
        <f>G81+G82</f>
        <v>18</v>
      </c>
      <c r="H80" s="274">
        <v>1.6958333333333335</v>
      </c>
      <c r="I80" s="243"/>
      <c r="J80"/>
      <c r="K80"/>
      <c r="L80"/>
      <c r="M80"/>
      <c r="N80"/>
      <c r="P80"/>
      <c r="Q80"/>
      <c r="R80"/>
      <c r="S80"/>
      <c r="T80"/>
      <c r="U80"/>
      <c r="V80"/>
    </row>
    <row r="81" spans="1:22" s="2" customFormat="1" x14ac:dyDescent="0.3">
      <c r="A81"/>
      <c r="B81" s="198" t="s">
        <v>797</v>
      </c>
      <c r="C81" s="183">
        <v>2</v>
      </c>
      <c r="D81" s="183">
        <v>2</v>
      </c>
      <c r="E81" s="183">
        <v>0</v>
      </c>
      <c r="F81" s="183">
        <v>3</v>
      </c>
      <c r="G81" s="383">
        <f t="shared" si="1"/>
        <v>10</v>
      </c>
      <c r="H81" s="229">
        <v>0.80555555555555547</v>
      </c>
      <c r="I81" s="244"/>
      <c r="J81"/>
      <c r="K81"/>
      <c r="L81"/>
      <c r="M81"/>
      <c r="N81"/>
      <c r="P81"/>
      <c r="Q81"/>
      <c r="R81"/>
      <c r="S81"/>
      <c r="T81"/>
      <c r="U81"/>
      <c r="V81"/>
    </row>
    <row r="82" spans="1:22" s="2" customFormat="1" ht="15" thickBot="1" x14ac:dyDescent="0.35">
      <c r="A82"/>
      <c r="B82" s="592" t="s">
        <v>798</v>
      </c>
      <c r="C82" s="202">
        <v>2</v>
      </c>
      <c r="D82" s="202">
        <v>0</v>
      </c>
      <c r="E82" s="202">
        <v>2</v>
      </c>
      <c r="F82" s="202">
        <v>3</v>
      </c>
      <c r="G82" s="593">
        <f t="shared" si="1"/>
        <v>8</v>
      </c>
      <c r="H82" s="590">
        <v>0.89027777777777783</v>
      </c>
      <c r="I82" s="244"/>
      <c r="J82"/>
      <c r="K82"/>
      <c r="L82"/>
      <c r="M82"/>
      <c r="N82"/>
      <c r="P82"/>
      <c r="Q82"/>
      <c r="R82"/>
      <c r="S82"/>
      <c r="T82"/>
      <c r="U82"/>
      <c r="V82"/>
    </row>
    <row r="83" spans="1:22" s="2" customFormat="1" x14ac:dyDescent="0.3">
      <c r="A83"/>
      <c r="B83" s="220" t="s">
        <v>804</v>
      </c>
      <c r="C83" s="221">
        <f>C71+C74+C77+C80</f>
        <v>18</v>
      </c>
      <c r="D83" s="221">
        <f t="shared" ref="D83:E85" si="5">D71+D74+D77+D80</f>
        <v>4</v>
      </c>
      <c r="E83" s="221">
        <f t="shared" si="5"/>
        <v>8</v>
      </c>
      <c r="F83" s="221">
        <f>F71+F74+F77+F80</f>
        <v>26</v>
      </c>
      <c r="G83" s="563">
        <f>C83*3+D83*2+E83</f>
        <v>70</v>
      </c>
      <c r="H83" s="274" t="s">
        <v>4561</v>
      </c>
      <c r="I83" s="243"/>
      <c r="J83"/>
      <c r="K83"/>
      <c r="L83"/>
      <c r="M83"/>
      <c r="N83"/>
      <c r="P83"/>
      <c r="Q83"/>
      <c r="R83"/>
      <c r="S83"/>
      <c r="T83"/>
      <c r="U83"/>
      <c r="V83"/>
    </row>
    <row r="84" spans="1:22" s="2" customFormat="1" x14ac:dyDescent="0.3">
      <c r="A84"/>
      <c r="B84" s="223" t="s">
        <v>797</v>
      </c>
      <c r="C84" s="224">
        <f>C72+C75+C78+C81</f>
        <v>9</v>
      </c>
      <c r="D84" s="224">
        <f t="shared" si="5"/>
        <v>4</v>
      </c>
      <c r="E84" s="224">
        <f t="shared" si="5"/>
        <v>3</v>
      </c>
      <c r="F84" s="224">
        <f>F72+F75+F78+F81</f>
        <v>12</v>
      </c>
      <c r="G84" s="256">
        <f>C84*3+D84*2+E84</f>
        <v>38</v>
      </c>
      <c r="H84" s="400" t="s">
        <v>4557</v>
      </c>
      <c r="I84" s="60"/>
      <c r="J84"/>
      <c r="K84"/>
      <c r="L84"/>
      <c r="M84"/>
      <c r="N84"/>
      <c r="P84"/>
      <c r="Q84"/>
      <c r="R84"/>
      <c r="S84"/>
      <c r="T84"/>
      <c r="U84"/>
      <c r="V84"/>
    </row>
    <row r="85" spans="1:22" s="2" customFormat="1" ht="15" thickBot="1" x14ac:dyDescent="0.35">
      <c r="A85"/>
      <c r="B85" s="226" t="s">
        <v>798</v>
      </c>
      <c r="C85" s="227">
        <f>C73+C76+C79+C82</f>
        <v>9</v>
      </c>
      <c r="D85" s="227">
        <f t="shared" si="5"/>
        <v>0</v>
      </c>
      <c r="E85" s="227">
        <f t="shared" si="5"/>
        <v>5</v>
      </c>
      <c r="F85" s="227">
        <f>F73+F76+F79+F82</f>
        <v>14</v>
      </c>
      <c r="G85" s="258">
        <f>C85*3+D85*2+E85</f>
        <v>32</v>
      </c>
      <c r="H85" s="391" t="s">
        <v>4560</v>
      </c>
      <c r="I85" s="244"/>
      <c r="J85"/>
      <c r="K85"/>
      <c r="L85"/>
      <c r="M85"/>
      <c r="N85"/>
      <c r="P85"/>
      <c r="Q85"/>
      <c r="R85"/>
      <c r="S85"/>
      <c r="T85"/>
      <c r="U85"/>
      <c r="V85"/>
    </row>
    <row r="86" spans="1:22" x14ac:dyDescent="0.3">
      <c r="B86" s="2" t="s">
        <v>811</v>
      </c>
      <c r="C86" s="8" t="s">
        <v>812</v>
      </c>
      <c r="E86" s="2">
        <f>C83+D83+E83+F83</f>
        <v>56</v>
      </c>
    </row>
    <row r="93" spans="1:22" x14ac:dyDescent="0.3">
      <c r="K93" s="2"/>
    </row>
    <row r="94" spans="1:22" x14ac:dyDescent="0.3">
      <c r="K94" s="129"/>
      <c r="L94" s="130"/>
      <c r="M94" s="130"/>
      <c r="N94" s="130"/>
    </row>
    <row r="95" spans="1:22" x14ac:dyDescent="0.3">
      <c r="C95"/>
      <c r="D95"/>
      <c r="E95"/>
      <c r="K95" s="129"/>
      <c r="L95" s="130"/>
      <c r="M95" s="130"/>
      <c r="N95" s="60"/>
    </row>
    <row r="96" spans="1:22" x14ac:dyDescent="0.3">
      <c r="C96"/>
      <c r="D96"/>
      <c r="E96"/>
      <c r="K96" s="2"/>
      <c r="L96" s="130"/>
      <c r="M96" s="130"/>
      <c r="N96" s="130"/>
    </row>
    <row r="97" spans="3:18" x14ac:dyDescent="0.3">
      <c r="C97"/>
      <c r="D97"/>
      <c r="E97"/>
      <c r="Q97" s="2"/>
    </row>
    <row r="98" spans="3:18" x14ac:dyDescent="0.3">
      <c r="C98"/>
      <c r="D98"/>
      <c r="E98"/>
      <c r="F98"/>
      <c r="G98"/>
      <c r="H98"/>
      <c r="I98"/>
      <c r="K98" s="2"/>
      <c r="L98" s="60"/>
      <c r="M98" s="2"/>
      <c r="N98" s="60"/>
      <c r="P98" s="2"/>
      <c r="Q98" s="130"/>
      <c r="R98" s="129"/>
    </row>
    <row r="99" spans="3:18" x14ac:dyDescent="0.3">
      <c r="C99"/>
      <c r="D99"/>
      <c r="E99"/>
      <c r="F99"/>
      <c r="G99"/>
      <c r="H99"/>
      <c r="I99"/>
      <c r="K99" s="2"/>
      <c r="L99" s="2"/>
      <c r="M99" s="2"/>
      <c r="N99" s="60"/>
      <c r="O99" s="130"/>
      <c r="P99" s="130"/>
      <c r="Q99" s="130"/>
      <c r="R99" s="129"/>
    </row>
    <row r="100" spans="3:18" x14ac:dyDescent="0.3">
      <c r="C100"/>
      <c r="D100"/>
      <c r="E100"/>
      <c r="F100"/>
      <c r="G100"/>
      <c r="H100"/>
      <c r="I100"/>
      <c r="K100" s="2"/>
      <c r="L100" s="60"/>
      <c r="M100" s="60"/>
      <c r="N100" s="2"/>
      <c r="O100" s="130"/>
      <c r="P100" s="130"/>
      <c r="Q100" s="130"/>
      <c r="R100" s="129"/>
    </row>
    <row r="101" spans="3:18" x14ac:dyDescent="0.3">
      <c r="C101"/>
      <c r="D101"/>
      <c r="E101"/>
      <c r="F101"/>
      <c r="G101"/>
      <c r="H101"/>
      <c r="I101"/>
      <c r="O101" s="130"/>
      <c r="P101" s="130"/>
    </row>
    <row r="102" spans="3:18" x14ac:dyDescent="0.3">
      <c r="C102"/>
      <c r="D102"/>
      <c r="E102"/>
      <c r="F102"/>
      <c r="G102"/>
      <c r="H102"/>
      <c r="I102"/>
      <c r="K102" s="2"/>
      <c r="L102" s="2"/>
      <c r="M102" s="2"/>
      <c r="Q102" s="130"/>
      <c r="R102" s="129"/>
    </row>
    <row r="103" spans="3:18" x14ac:dyDescent="0.3">
      <c r="C103"/>
      <c r="D103"/>
      <c r="E103"/>
      <c r="F103"/>
      <c r="G103"/>
      <c r="H103"/>
      <c r="I103"/>
      <c r="K103" s="129"/>
      <c r="L103" s="2"/>
      <c r="M103" s="244"/>
      <c r="O103" s="130"/>
      <c r="P103" s="60"/>
      <c r="Q103" s="60"/>
      <c r="R103" s="129"/>
    </row>
    <row r="104" spans="3:18" x14ac:dyDescent="0.3">
      <c r="C104"/>
      <c r="D104"/>
      <c r="E104"/>
      <c r="F104"/>
      <c r="G104"/>
      <c r="H104"/>
      <c r="I104"/>
      <c r="K104" s="2"/>
      <c r="L104" s="2"/>
      <c r="M104" s="244"/>
      <c r="O104" s="60"/>
      <c r="P104" s="244"/>
      <c r="Q104" s="60"/>
      <c r="R104" s="129"/>
    </row>
    <row r="105" spans="3:18" x14ac:dyDescent="0.3">
      <c r="C105"/>
      <c r="D105"/>
      <c r="E105"/>
      <c r="F105"/>
      <c r="G105"/>
      <c r="H105"/>
      <c r="I105"/>
      <c r="K105" s="129"/>
      <c r="L105" s="2"/>
      <c r="M105" s="244"/>
      <c r="O105" s="130"/>
      <c r="P105" s="60"/>
    </row>
    <row r="106" spans="3:18" x14ac:dyDescent="0.3">
      <c r="C106"/>
      <c r="D106"/>
      <c r="E106"/>
      <c r="F106"/>
      <c r="G106"/>
      <c r="H106"/>
      <c r="I106"/>
      <c r="K106" s="129"/>
      <c r="L106" s="2"/>
    </row>
    <row r="107" spans="3:18" x14ac:dyDescent="0.3">
      <c r="C107"/>
      <c r="D107"/>
      <c r="E107"/>
      <c r="F107"/>
      <c r="G107"/>
      <c r="H107"/>
      <c r="I107"/>
    </row>
    <row r="108" spans="3:18" x14ac:dyDescent="0.3">
      <c r="C108"/>
      <c r="D108"/>
      <c r="E108"/>
      <c r="F108"/>
      <c r="G108"/>
      <c r="H108"/>
      <c r="I108"/>
    </row>
    <row r="109" spans="3:18" x14ac:dyDescent="0.3">
      <c r="C109"/>
      <c r="D109"/>
      <c r="E109"/>
      <c r="F109"/>
      <c r="G109"/>
      <c r="H109"/>
      <c r="I109"/>
    </row>
    <row r="110" spans="3:18" x14ac:dyDescent="0.3">
      <c r="C110"/>
      <c r="D110"/>
      <c r="E110"/>
      <c r="F110"/>
      <c r="G110"/>
      <c r="H110"/>
      <c r="I110"/>
    </row>
    <row r="111" spans="3:18" x14ac:dyDescent="0.3">
      <c r="C111"/>
      <c r="D111"/>
      <c r="E111"/>
      <c r="F111"/>
      <c r="G111"/>
      <c r="H111"/>
      <c r="I111"/>
    </row>
    <row r="112" spans="3:18" x14ac:dyDescent="0.3">
      <c r="C112"/>
      <c r="D112"/>
      <c r="E112"/>
      <c r="F112"/>
      <c r="G112"/>
      <c r="H112"/>
      <c r="I112"/>
    </row>
    <row r="113" spans="3:15" x14ac:dyDescent="0.3">
      <c r="C113"/>
      <c r="D113"/>
      <c r="E113"/>
      <c r="F113"/>
      <c r="G113"/>
      <c r="H113"/>
      <c r="I113"/>
      <c r="O113"/>
    </row>
    <row r="114" spans="3:15" x14ac:dyDescent="0.3">
      <c r="O114"/>
    </row>
    <row r="115" spans="3:15" x14ac:dyDescent="0.3">
      <c r="O115"/>
    </row>
    <row r="116" spans="3:15" x14ac:dyDescent="0.3">
      <c r="O116"/>
    </row>
    <row r="117" spans="3:15" x14ac:dyDescent="0.3">
      <c r="O117"/>
    </row>
    <row r="118" spans="3:15" x14ac:dyDescent="0.3">
      <c r="O118"/>
    </row>
    <row r="119" spans="3:15" x14ac:dyDescent="0.3">
      <c r="O119"/>
    </row>
    <row r="120" spans="3:15" x14ac:dyDescent="0.3">
      <c r="O120"/>
    </row>
    <row r="121" spans="3:15" x14ac:dyDescent="0.3">
      <c r="O121"/>
    </row>
    <row r="122" spans="3:15" x14ac:dyDescent="0.3">
      <c r="O122"/>
    </row>
    <row r="123" spans="3:15" x14ac:dyDescent="0.3">
      <c r="O123"/>
    </row>
    <row r="124" spans="3:15" x14ac:dyDescent="0.3">
      <c r="O124"/>
    </row>
    <row r="125" spans="3:15" x14ac:dyDescent="0.3">
      <c r="O125"/>
    </row>
    <row r="126" spans="3:15" x14ac:dyDescent="0.3">
      <c r="O126"/>
    </row>
    <row r="127" spans="3:15" x14ac:dyDescent="0.3">
      <c r="O127"/>
    </row>
    <row r="128" spans="3:15" x14ac:dyDescent="0.3">
      <c r="O128"/>
    </row>
    <row r="129" spans="15:15" x14ac:dyDescent="0.3">
      <c r="O129"/>
    </row>
    <row r="130" spans="15:15" x14ac:dyDescent="0.3">
      <c r="O130"/>
    </row>
    <row r="131" spans="15:15" x14ac:dyDescent="0.3">
      <c r="O131"/>
    </row>
    <row r="132" spans="15:15" x14ac:dyDescent="0.3">
      <c r="O132"/>
    </row>
    <row r="133" spans="15:15" x14ac:dyDescent="0.3">
      <c r="O133"/>
    </row>
    <row r="134" spans="15:15" x14ac:dyDescent="0.3">
      <c r="O134"/>
    </row>
    <row r="135" spans="15:15" x14ac:dyDescent="0.3">
      <c r="O135"/>
    </row>
    <row r="136" spans="15:15" x14ac:dyDescent="0.3">
      <c r="O136"/>
    </row>
    <row r="137" spans="15:15" x14ac:dyDescent="0.3">
      <c r="O137"/>
    </row>
    <row r="138" spans="15:15" x14ac:dyDescent="0.3">
      <c r="O138"/>
    </row>
    <row r="139" spans="15:15" x14ac:dyDescent="0.3">
      <c r="O139"/>
    </row>
    <row r="140" spans="15:15" x14ac:dyDescent="0.3">
      <c r="O140"/>
    </row>
    <row r="141" spans="15:15" x14ac:dyDescent="0.3">
      <c r="O141"/>
    </row>
    <row r="142" spans="15:15" x14ac:dyDescent="0.3">
      <c r="O142"/>
    </row>
    <row r="143" spans="15:15" x14ac:dyDescent="0.3">
      <c r="O143"/>
    </row>
    <row r="144" spans="15:15" x14ac:dyDescent="0.3">
      <c r="O144"/>
    </row>
    <row r="145" spans="15:15" x14ac:dyDescent="0.3">
      <c r="O145"/>
    </row>
    <row r="146" spans="15:15" x14ac:dyDescent="0.3">
      <c r="O146"/>
    </row>
    <row r="147" spans="15:15" x14ac:dyDescent="0.3">
      <c r="O147"/>
    </row>
    <row r="148" spans="15:15" x14ac:dyDescent="0.3">
      <c r="O148"/>
    </row>
    <row r="149" spans="15:15" x14ac:dyDescent="0.3">
      <c r="O149"/>
    </row>
    <row r="150" spans="15:15" x14ac:dyDescent="0.3">
      <c r="O150"/>
    </row>
    <row r="151" spans="15:15" x14ac:dyDescent="0.3">
      <c r="O151"/>
    </row>
    <row r="152" spans="15:15" x14ac:dyDescent="0.3">
      <c r="O152"/>
    </row>
    <row r="153" spans="15:15" x14ac:dyDescent="0.3">
      <c r="O153"/>
    </row>
    <row r="154" spans="15:15" x14ac:dyDescent="0.3">
      <c r="O154"/>
    </row>
    <row r="155" spans="15:15" x14ac:dyDescent="0.3">
      <c r="O155"/>
    </row>
    <row r="156" spans="15:15" x14ac:dyDescent="0.3">
      <c r="O156"/>
    </row>
    <row r="157" spans="15:15" x14ac:dyDescent="0.3">
      <c r="O157"/>
    </row>
    <row r="158" spans="15:15" x14ac:dyDescent="0.3">
      <c r="O158"/>
    </row>
    <row r="159" spans="15:15" x14ac:dyDescent="0.3">
      <c r="O159"/>
    </row>
    <row r="160" spans="15:15" x14ac:dyDescent="0.3">
      <c r="O160"/>
    </row>
    <row r="161" spans="15:15" x14ac:dyDescent="0.3">
      <c r="O161"/>
    </row>
    <row r="162" spans="15:15" x14ac:dyDescent="0.3">
      <c r="O162"/>
    </row>
    <row r="163" spans="15:15" x14ac:dyDescent="0.3">
      <c r="O163"/>
    </row>
    <row r="164" spans="15:15" x14ac:dyDescent="0.3">
      <c r="O164"/>
    </row>
    <row r="165" spans="15:15" x14ac:dyDescent="0.3">
      <c r="O165"/>
    </row>
    <row r="166" spans="15:15" x14ac:dyDescent="0.3">
      <c r="O166"/>
    </row>
    <row r="167" spans="15:15" x14ac:dyDescent="0.3">
      <c r="O167"/>
    </row>
    <row r="168" spans="15:15" x14ac:dyDescent="0.3">
      <c r="O168"/>
    </row>
    <row r="169" spans="15:15" x14ac:dyDescent="0.3">
      <c r="O169"/>
    </row>
    <row r="170" spans="15:15" x14ac:dyDescent="0.3">
      <c r="O170"/>
    </row>
    <row r="171" spans="15:15" x14ac:dyDescent="0.3">
      <c r="O171"/>
    </row>
    <row r="172" spans="15:15" x14ac:dyDescent="0.3">
      <c r="O172"/>
    </row>
    <row r="173" spans="15:15" x14ac:dyDescent="0.3">
      <c r="O173"/>
    </row>
    <row r="174" spans="15:15" x14ac:dyDescent="0.3">
      <c r="O174"/>
    </row>
  </sheetData>
  <autoFilter ref="A3:I59" xr:uid="{00000000-0009-0000-0000-00000D000000}"/>
  <mergeCells count="8">
    <mergeCell ref="K7:P7"/>
    <mergeCell ref="L40:N40"/>
    <mergeCell ref="B69:H69"/>
    <mergeCell ref="B60:C60"/>
    <mergeCell ref="B61:C61"/>
    <mergeCell ref="B62:C62"/>
    <mergeCell ref="B63:C63"/>
    <mergeCell ref="B64:C64"/>
  </mergeCells>
  <conditionalFormatting sqref="E54:E55 E57:E59 E62:E67 G62:G67 F70 G72:G73 G75:G76 G78:G79 G81:G97 G114:G217">
    <cfRule type="cellIs" dxfId="205" priority="263" operator="equal">
      <formula>"D"</formula>
    </cfRule>
  </conditionalFormatting>
  <conditionalFormatting sqref="F1:F16">
    <cfRule type="cellIs" dxfId="204" priority="212" operator="equal">
      <formula>"so"</formula>
    </cfRule>
  </conditionalFormatting>
  <conditionalFormatting sqref="F4:F16">
    <cfRule type="cellIs" dxfId="203" priority="213" operator="equal">
      <formula>"ne"</formula>
    </cfRule>
    <cfRule type="cellIs" dxfId="202" priority="214" operator="equal">
      <formula>"pá"</formula>
    </cfRule>
  </conditionalFormatting>
  <conditionalFormatting sqref="F18:F47">
    <cfRule type="cellIs" dxfId="201" priority="6" operator="equal">
      <formula>"so"</formula>
    </cfRule>
    <cfRule type="cellIs" dxfId="200" priority="7" operator="equal">
      <formula>"ne"</formula>
    </cfRule>
    <cfRule type="cellIs" dxfId="199" priority="8" operator="equal">
      <formula>"pá"</formula>
    </cfRule>
  </conditionalFormatting>
  <conditionalFormatting sqref="F49:F55">
    <cfRule type="cellIs" dxfId="198" priority="9" operator="equal">
      <formula>"so"</formula>
    </cfRule>
    <cfRule type="cellIs" dxfId="197" priority="10" operator="equal">
      <formula>"ne"</formula>
    </cfRule>
    <cfRule type="cellIs" dxfId="196" priority="11" operator="equal">
      <formula>"pá"</formula>
    </cfRule>
  </conditionalFormatting>
  <conditionalFormatting sqref="F57:F59 F62:F67 F86:F97 F114:F1048576">
    <cfRule type="cellIs" dxfId="195" priority="260" operator="equal">
      <formula>"so"</formula>
    </cfRule>
  </conditionalFormatting>
  <conditionalFormatting sqref="G4:G47">
    <cfRule type="cellIs" dxfId="194" priority="5" operator="equal">
      <formula>"D"</formula>
    </cfRule>
  </conditionalFormatting>
  <conditionalFormatting sqref="G49:G59">
    <cfRule type="cellIs" dxfId="193" priority="12" operator="equal">
      <formula>"D"</formula>
    </cfRule>
  </conditionalFormatting>
  <conditionalFormatting sqref="N14:N15">
    <cfRule type="cellIs" dxfId="192" priority="4" operator="equal">
      <formula>"D"</formula>
    </cfRule>
  </conditionalFormatting>
  <conditionalFormatting sqref="O6 O32:O37 F57:F59 F62:F67 E70 F72:F73 F75:F76 F78:F79 F81:F82 F86:F97 F114:F209">
    <cfRule type="cellIs" dxfId="191" priority="261" operator="equal">
      <formula>"ne"</formula>
    </cfRule>
    <cfRule type="cellIs" dxfId="190" priority="262" operator="equal">
      <formula>"pá"</formula>
    </cfRule>
  </conditionalFormatting>
  <conditionalFormatting sqref="O9:O22">
    <cfRule type="cellIs" dxfId="189" priority="1" operator="equal">
      <formula>"so"</formula>
    </cfRule>
  </conditionalFormatting>
  <conditionalFormatting sqref="O9:O29">
    <cfRule type="cellIs" dxfId="188" priority="2" operator="equal">
      <formula>"ne"</formula>
    </cfRule>
    <cfRule type="cellIs" dxfId="187" priority="3" operator="equal">
      <formula>"pá"</formula>
    </cfRule>
  </conditionalFormatting>
  <conditionalFormatting sqref="P9:P22 N17:N21">
    <cfRule type="cellIs" dxfId="186" priority="16" operator="equal">
      <formula>"D"</formula>
    </cfRule>
  </conditionalFormatting>
  <pageMargins left="0.7" right="0.7" top="0.78740157499999996" bottom="0.78740157499999996"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K117"/>
  <sheetViews>
    <sheetView tabSelected="1" workbookViewId="0">
      <pane xSplit="7" ySplit="2" topLeftCell="I43" activePane="bottomRight" state="frozen"/>
      <selection activeCell="L12" sqref="L12"/>
      <selection pane="topRight" activeCell="L12" sqref="L12"/>
      <selection pane="bottomLeft" activeCell="L12" sqref="L12"/>
      <selection pane="bottomRight" activeCell="L58" sqref="K3:L58"/>
    </sheetView>
  </sheetViews>
  <sheetFormatPr defaultRowHeight="14.4" x14ac:dyDescent="0.3"/>
  <cols>
    <col min="1" max="1" width="14.88671875" customWidth="1"/>
    <col min="2" max="2" width="11.109375" customWidth="1"/>
    <col min="3" max="4" width="11.33203125" style="2" customWidth="1"/>
    <col min="5" max="5" width="17.6640625" style="2" customWidth="1"/>
    <col min="6" max="6" width="18" style="2" customWidth="1"/>
    <col min="7" max="8" width="22.6640625" style="1058" customWidth="1"/>
    <col min="9" max="10" width="22.6640625" style="259" customWidth="1"/>
    <col min="11" max="12" width="22.6640625" style="1058" customWidth="1"/>
    <col min="13" max="13" width="18" style="2" customWidth="1"/>
    <col min="14" max="14" width="16.44140625" style="2" customWidth="1"/>
    <col min="15" max="15" width="15.6640625" style="2" customWidth="1"/>
    <col min="16" max="16" width="18.33203125" style="168" customWidth="1"/>
    <col min="17" max="17" width="16.6640625" style="2" customWidth="1"/>
    <col min="18" max="18" width="23.88671875" style="2" customWidth="1"/>
    <col min="19" max="19" width="22.33203125" style="2" customWidth="1"/>
    <col min="20" max="20" width="17.88671875" style="2" customWidth="1"/>
    <col min="21" max="21" width="16.109375" style="2" customWidth="1"/>
    <col min="22" max="22" width="14.44140625" style="242" customWidth="1"/>
    <col min="23" max="25" width="11.109375" style="1058" customWidth="1"/>
    <col min="26" max="26" width="12.88671875" style="1058" customWidth="1"/>
    <col min="27" max="27" width="45.6640625" style="1061" customWidth="1"/>
    <col min="28" max="28" width="71.33203125" style="168" bestFit="1" customWidth="1"/>
    <col min="29" max="29" width="68" style="2" customWidth="1"/>
    <col min="30" max="30" width="68.88671875" style="2" bestFit="1" customWidth="1"/>
    <col min="31" max="31" width="64.44140625" style="2" customWidth="1"/>
    <col min="32" max="32" width="64.5546875" style="2" customWidth="1"/>
    <col min="33" max="34" width="62.109375" style="2" customWidth="1"/>
    <col min="35" max="35" width="8.44140625" style="242" customWidth="1"/>
    <col min="36" max="36" width="55.88671875" style="8" customWidth="1"/>
    <col min="37" max="37" width="17.109375" customWidth="1"/>
  </cols>
  <sheetData>
    <row r="1" spans="1:37" x14ac:dyDescent="0.3">
      <c r="P1" s="1149"/>
      <c r="Q1" s="1151"/>
      <c r="R1" s="1149"/>
      <c r="S1" s="1151"/>
      <c r="T1" s="1149"/>
      <c r="U1" s="1150"/>
      <c r="V1" s="1151"/>
      <c r="W1" s="1152"/>
      <c r="X1" s="1153"/>
      <c r="Y1" s="1153"/>
      <c r="Z1" s="1150"/>
      <c r="AA1" s="1150"/>
      <c r="AB1" s="1149"/>
      <c r="AC1" s="1150"/>
      <c r="AD1" s="1150"/>
      <c r="AE1" s="1150"/>
      <c r="AF1" s="1150"/>
      <c r="AG1" s="1150"/>
      <c r="AH1" s="1150"/>
      <c r="AI1" s="1151"/>
    </row>
    <row r="2" spans="1:37" s="2" customFormat="1" x14ac:dyDescent="0.3">
      <c r="A2" s="1051" t="s">
        <v>1053</v>
      </c>
      <c r="B2" s="2" t="s">
        <v>785</v>
      </c>
      <c r="C2" s="2" t="s">
        <v>14</v>
      </c>
      <c r="D2" s="2" t="s">
        <v>11</v>
      </c>
      <c r="E2" s="2" t="s">
        <v>15</v>
      </c>
      <c r="F2" s="2" t="s">
        <v>13</v>
      </c>
      <c r="G2" s="987" t="s">
        <v>157</v>
      </c>
      <c r="H2" s="987" t="s">
        <v>1047</v>
      </c>
      <c r="I2" s="1089" t="s">
        <v>6063</v>
      </c>
      <c r="J2" s="1089" t="s">
        <v>6064</v>
      </c>
      <c r="K2" s="1051" t="s">
        <v>6177</v>
      </c>
      <c r="L2" s="1051" t="s">
        <v>6178</v>
      </c>
      <c r="M2" s="987" t="s">
        <v>707</v>
      </c>
      <c r="N2" s="2" t="s">
        <v>708</v>
      </c>
      <c r="O2" s="2" t="s">
        <v>759</v>
      </c>
      <c r="P2" s="1052" t="s">
        <v>6180</v>
      </c>
      <c r="Q2" s="1051" t="s">
        <v>6181</v>
      </c>
      <c r="R2" s="1052" t="s">
        <v>6182</v>
      </c>
      <c r="S2" s="1052" t="s">
        <v>6183</v>
      </c>
      <c r="T2" s="1052" t="s">
        <v>6184</v>
      </c>
      <c r="U2" s="1051" t="s">
        <v>6185</v>
      </c>
      <c r="V2" s="1051" t="s">
        <v>6186</v>
      </c>
      <c r="W2" s="1062" t="s">
        <v>6059</v>
      </c>
      <c r="X2" s="1063" t="s">
        <v>6060</v>
      </c>
      <c r="Y2" s="1063" t="s">
        <v>6061</v>
      </c>
      <c r="Z2" s="1063" t="s">
        <v>6062</v>
      </c>
      <c r="AA2" s="170" t="s">
        <v>698</v>
      </c>
      <c r="AB2" s="169" t="s">
        <v>699</v>
      </c>
      <c r="AC2" s="170" t="s">
        <v>700</v>
      </c>
      <c r="AD2" s="170" t="s">
        <v>701</v>
      </c>
      <c r="AE2" s="170" t="s">
        <v>702</v>
      </c>
      <c r="AF2" s="170" t="s">
        <v>703</v>
      </c>
      <c r="AG2" s="170" t="s">
        <v>704</v>
      </c>
      <c r="AH2" s="170" t="s">
        <v>854</v>
      </c>
      <c r="AI2" s="171" t="s">
        <v>5166</v>
      </c>
      <c r="AJ2" s="2" t="s">
        <v>3878</v>
      </c>
      <c r="AK2" s="2" t="s">
        <v>4614</v>
      </c>
    </row>
    <row r="3" spans="1:37" x14ac:dyDescent="0.3">
      <c r="A3" s="985" t="s">
        <v>6197</v>
      </c>
      <c r="B3" s="2">
        <v>1</v>
      </c>
      <c r="C3" s="2">
        <v>1</v>
      </c>
      <c r="D3" s="4">
        <v>44449</v>
      </c>
      <c r="E3" s="2" t="s">
        <v>326</v>
      </c>
      <c r="F3" s="2" t="s">
        <v>16</v>
      </c>
      <c r="G3" s="1058" t="s">
        <v>6073</v>
      </c>
      <c r="H3" s="1058" t="s">
        <v>16</v>
      </c>
      <c r="I3" s="259">
        <v>4</v>
      </c>
      <c r="J3" s="259">
        <v>2</v>
      </c>
      <c r="K3" s="1198">
        <v>4</v>
      </c>
      <c r="L3" s="1198">
        <v>2</v>
      </c>
      <c r="M3" s="2">
        <v>3</v>
      </c>
      <c r="N3" s="2">
        <v>3</v>
      </c>
      <c r="O3" s="2">
        <v>3</v>
      </c>
      <c r="P3" s="168">
        <v>2</v>
      </c>
      <c r="Q3" s="2">
        <v>1</v>
      </c>
      <c r="R3" s="2">
        <v>0</v>
      </c>
      <c r="S3" s="2">
        <v>0</v>
      </c>
      <c r="T3" s="2">
        <v>3</v>
      </c>
      <c r="U3" s="2">
        <v>7</v>
      </c>
      <c r="V3" s="242">
        <v>3452</v>
      </c>
      <c r="W3" s="1058" t="s">
        <v>6089</v>
      </c>
      <c r="X3" s="1058" t="s">
        <v>6187</v>
      </c>
      <c r="Y3" s="1058" t="s">
        <v>6187</v>
      </c>
      <c r="AA3" s="1058" t="s">
        <v>4114</v>
      </c>
      <c r="AB3" s="168" t="s">
        <v>4116</v>
      </c>
      <c r="AC3" s="2" t="s">
        <v>4117</v>
      </c>
      <c r="AD3" s="2" t="s">
        <v>4118</v>
      </c>
      <c r="AE3" s="2" t="s">
        <v>4119</v>
      </c>
      <c r="AK3" s="8" t="s">
        <v>4115</v>
      </c>
    </row>
    <row r="4" spans="1:37" x14ac:dyDescent="0.3">
      <c r="A4" s="985" t="str">
        <f>A3</f>
        <v>Sezóna 21/22</v>
      </c>
      <c r="B4" s="2">
        <v>2</v>
      </c>
      <c r="C4" s="2">
        <v>2</v>
      </c>
      <c r="D4" s="4">
        <v>44451</v>
      </c>
      <c r="E4" s="2" t="s">
        <v>610</v>
      </c>
      <c r="F4" s="2" t="s">
        <v>17</v>
      </c>
      <c r="G4" s="1058" t="s">
        <v>352</v>
      </c>
      <c r="H4" s="1058" t="s">
        <v>793</v>
      </c>
      <c r="I4" s="259">
        <v>3</v>
      </c>
      <c r="J4" s="259">
        <v>2</v>
      </c>
      <c r="K4" s="1198">
        <v>2</v>
      </c>
      <c r="L4" s="1198">
        <v>2</v>
      </c>
      <c r="M4" s="2">
        <v>3</v>
      </c>
      <c r="N4" s="2">
        <v>2</v>
      </c>
      <c r="O4" s="2">
        <v>5</v>
      </c>
      <c r="P4" s="168">
        <v>0</v>
      </c>
      <c r="Q4" s="2">
        <v>0</v>
      </c>
      <c r="R4" s="2">
        <v>0</v>
      </c>
      <c r="S4" s="2">
        <v>2</v>
      </c>
      <c r="T4" s="2">
        <v>4</v>
      </c>
      <c r="U4" s="2">
        <v>7.5</v>
      </c>
      <c r="V4" s="242">
        <v>3356</v>
      </c>
      <c r="W4" s="1058" t="s">
        <v>6187</v>
      </c>
      <c r="X4" s="1058" t="s">
        <v>6188</v>
      </c>
      <c r="Y4" s="1058" t="s">
        <v>6187</v>
      </c>
      <c r="Z4" s="1058" t="s">
        <v>352</v>
      </c>
      <c r="AA4" s="1058" t="s">
        <v>4121</v>
      </c>
      <c r="AB4" s="168" t="s">
        <v>4123</v>
      </c>
      <c r="AC4" s="2" t="s">
        <v>4124</v>
      </c>
      <c r="AJ4" s="8" t="s">
        <v>4125</v>
      </c>
      <c r="AK4" s="546" t="s">
        <v>4120</v>
      </c>
    </row>
    <row r="5" spans="1:37" x14ac:dyDescent="0.3">
      <c r="A5" s="985" t="str">
        <f t="shared" ref="A5:A58" si="0">A4</f>
        <v>Sezóna 21/22</v>
      </c>
      <c r="B5" s="2">
        <v>3</v>
      </c>
      <c r="C5" s="2">
        <v>3</v>
      </c>
      <c r="D5" s="4">
        <v>44453</v>
      </c>
      <c r="E5" s="2" t="s">
        <v>334</v>
      </c>
      <c r="F5" s="2" t="s">
        <v>16</v>
      </c>
      <c r="G5" s="1058" t="s">
        <v>163</v>
      </c>
      <c r="H5" s="1058" t="s">
        <v>794</v>
      </c>
      <c r="I5" s="259">
        <v>3</v>
      </c>
      <c r="J5" s="259">
        <v>4</v>
      </c>
      <c r="K5" s="1198">
        <v>3</v>
      </c>
      <c r="L5" s="1198">
        <v>3</v>
      </c>
      <c r="M5" s="2">
        <v>3</v>
      </c>
      <c r="N5" s="2">
        <v>3</v>
      </c>
      <c r="O5" s="2">
        <v>6</v>
      </c>
      <c r="P5" s="168">
        <v>2</v>
      </c>
      <c r="Q5" s="2">
        <v>0</v>
      </c>
      <c r="R5" s="2">
        <v>0</v>
      </c>
      <c r="S5" s="2">
        <v>2</v>
      </c>
      <c r="T5" s="2">
        <v>4</v>
      </c>
      <c r="U5" s="2">
        <v>7</v>
      </c>
      <c r="V5" s="242">
        <v>2569</v>
      </c>
      <c r="W5" s="1058" t="s">
        <v>6089</v>
      </c>
      <c r="X5" s="1058" t="s">
        <v>6097</v>
      </c>
      <c r="Y5" s="1058" t="s">
        <v>6189</v>
      </c>
      <c r="Z5" s="1058" t="s">
        <v>3213</v>
      </c>
      <c r="AA5" s="1058" t="s">
        <v>4126</v>
      </c>
      <c r="AB5" s="168" t="s">
        <v>4127</v>
      </c>
      <c r="AC5" s="2" t="s">
        <v>4128</v>
      </c>
      <c r="AD5" s="2" t="s">
        <v>4129</v>
      </c>
      <c r="AK5" s="8" t="s">
        <v>4122</v>
      </c>
    </row>
    <row r="6" spans="1:37" x14ac:dyDescent="0.3">
      <c r="A6" s="985" t="str">
        <f t="shared" si="0"/>
        <v>Sezóna 21/22</v>
      </c>
      <c r="B6" s="2">
        <v>4</v>
      </c>
      <c r="C6" s="2">
        <v>5</v>
      </c>
      <c r="D6" s="4">
        <v>44458</v>
      </c>
      <c r="E6" s="2" t="s">
        <v>332</v>
      </c>
      <c r="F6" s="2" t="s">
        <v>16</v>
      </c>
      <c r="G6" s="1058" t="s">
        <v>6146</v>
      </c>
      <c r="H6" s="1058" t="s">
        <v>743</v>
      </c>
      <c r="I6" s="259">
        <v>2</v>
      </c>
      <c r="J6" s="259">
        <v>3</v>
      </c>
      <c r="K6" s="1198">
        <v>2</v>
      </c>
      <c r="L6" s="1198">
        <v>3</v>
      </c>
      <c r="M6" s="2">
        <v>9</v>
      </c>
      <c r="N6" s="2">
        <v>3</v>
      </c>
      <c r="O6" s="2">
        <v>6</v>
      </c>
      <c r="P6" s="168">
        <v>0</v>
      </c>
      <c r="Q6" s="2">
        <v>0</v>
      </c>
      <c r="R6" s="2">
        <v>0</v>
      </c>
      <c r="S6" s="2">
        <v>1</v>
      </c>
      <c r="T6" s="2">
        <v>5</v>
      </c>
      <c r="U6" s="2">
        <v>5</v>
      </c>
      <c r="V6" s="242">
        <v>4700</v>
      </c>
      <c r="W6" s="1058" t="s">
        <v>6189</v>
      </c>
      <c r="X6" s="1058" t="s">
        <v>6187</v>
      </c>
      <c r="Y6" s="1058" t="s">
        <v>6187</v>
      </c>
      <c r="AA6" s="1058" t="s">
        <v>4130</v>
      </c>
      <c r="AB6" s="168" t="s">
        <v>4136</v>
      </c>
      <c r="AC6" s="2" t="s">
        <v>4137</v>
      </c>
      <c r="AK6" s="8" t="s">
        <v>4131</v>
      </c>
    </row>
    <row r="7" spans="1:37" x14ac:dyDescent="0.3">
      <c r="A7" s="985" t="str">
        <f>A6</f>
        <v>Sezóna 21/22</v>
      </c>
      <c r="B7" s="2">
        <v>5</v>
      </c>
      <c r="C7" s="2">
        <v>6</v>
      </c>
      <c r="D7" s="4">
        <v>44460</v>
      </c>
      <c r="E7" s="2" t="s">
        <v>327</v>
      </c>
      <c r="F7" s="2" t="s">
        <v>17</v>
      </c>
      <c r="G7" s="1058" t="s">
        <v>6218</v>
      </c>
      <c r="H7" s="1058" t="s">
        <v>743</v>
      </c>
      <c r="I7" s="259">
        <v>4</v>
      </c>
      <c r="J7" s="259">
        <v>7</v>
      </c>
      <c r="K7" s="1198">
        <v>4</v>
      </c>
      <c r="L7" s="1198">
        <v>7</v>
      </c>
      <c r="M7" s="2">
        <v>12</v>
      </c>
      <c r="N7" s="2">
        <v>0</v>
      </c>
      <c r="O7" s="2">
        <v>6</v>
      </c>
      <c r="P7" s="168">
        <v>0</v>
      </c>
      <c r="Q7" s="2">
        <v>0</v>
      </c>
      <c r="R7" s="2">
        <v>0</v>
      </c>
      <c r="S7" s="2">
        <v>1</v>
      </c>
      <c r="T7" s="2">
        <v>4</v>
      </c>
      <c r="U7" s="2">
        <v>2</v>
      </c>
      <c r="V7" s="242">
        <v>2464</v>
      </c>
      <c r="W7" s="1058" t="s">
        <v>6120</v>
      </c>
      <c r="X7" s="1058" t="s">
        <v>6207</v>
      </c>
      <c r="Y7" s="1058" t="s">
        <v>6100</v>
      </c>
      <c r="AA7" s="1058" t="s">
        <v>4133</v>
      </c>
      <c r="AB7" s="168" t="s">
        <v>4138</v>
      </c>
      <c r="AC7" s="2" t="s">
        <v>4139</v>
      </c>
      <c r="AD7" s="2" t="s">
        <v>4140</v>
      </c>
      <c r="AE7" s="2" t="s">
        <v>4141</v>
      </c>
      <c r="AK7" s="442" t="s">
        <v>4132</v>
      </c>
    </row>
    <row r="8" spans="1:37" x14ac:dyDescent="0.3">
      <c r="A8" s="985" t="str">
        <f t="shared" si="0"/>
        <v>Sezóna 21/22</v>
      </c>
      <c r="B8" s="2">
        <v>6</v>
      </c>
      <c r="C8" s="2">
        <v>7</v>
      </c>
      <c r="D8" s="4">
        <v>44462</v>
      </c>
      <c r="E8" s="2" t="s">
        <v>325</v>
      </c>
      <c r="F8" s="2" t="s">
        <v>16</v>
      </c>
      <c r="G8" s="1058" t="s">
        <v>6205</v>
      </c>
      <c r="H8" s="1058" t="s">
        <v>743</v>
      </c>
      <c r="I8" s="259">
        <v>4</v>
      </c>
      <c r="J8" s="259">
        <v>6</v>
      </c>
      <c r="K8" s="1198">
        <v>4</v>
      </c>
      <c r="L8" s="1198">
        <v>6</v>
      </c>
      <c r="M8" s="2">
        <v>12</v>
      </c>
      <c r="N8" s="2">
        <v>0</v>
      </c>
      <c r="O8" s="2">
        <v>6</v>
      </c>
      <c r="P8" s="168">
        <v>1</v>
      </c>
      <c r="Q8" s="2">
        <v>0</v>
      </c>
      <c r="R8" s="2">
        <v>1</v>
      </c>
      <c r="S8" s="2">
        <v>2</v>
      </c>
      <c r="T8" s="2">
        <v>4</v>
      </c>
      <c r="U8" s="2">
        <v>5</v>
      </c>
      <c r="V8" s="242">
        <v>4752</v>
      </c>
      <c r="W8" s="1058" t="s">
        <v>6097</v>
      </c>
      <c r="X8" s="1058" t="s">
        <v>6097</v>
      </c>
      <c r="Y8" s="1058" t="s">
        <v>6194</v>
      </c>
      <c r="AA8" s="1058" t="s">
        <v>4134</v>
      </c>
      <c r="AB8" s="168" t="s">
        <v>4153</v>
      </c>
      <c r="AC8" s="2" t="s">
        <v>4154</v>
      </c>
      <c r="AD8" s="2" t="s">
        <v>4155</v>
      </c>
      <c r="AE8" s="2" t="s">
        <v>4156</v>
      </c>
      <c r="AJ8" s="8" t="s">
        <v>4446</v>
      </c>
      <c r="AK8" s="442" t="s">
        <v>4135</v>
      </c>
    </row>
    <row r="9" spans="1:37" x14ac:dyDescent="0.3">
      <c r="A9" s="985" t="str">
        <f t="shared" si="0"/>
        <v>Sezóna 21/22</v>
      </c>
      <c r="B9" s="2">
        <v>7</v>
      </c>
      <c r="C9" s="2">
        <v>8</v>
      </c>
      <c r="D9" s="4">
        <v>44465</v>
      </c>
      <c r="E9" s="2" t="s">
        <v>331</v>
      </c>
      <c r="F9" s="2" t="s">
        <v>17</v>
      </c>
      <c r="G9" s="1058" t="s">
        <v>6104</v>
      </c>
      <c r="H9" s="1058" t="s">
        <v>743</v>
      </c>
      <c r="I9" s="259">
        <v>2</v>
      </c>
      <c r="J9" s="259">
        <v>5</v>
      </c>
      <c r="K9" s="1198">
        <v>2</v>
      </c>
      <c r="L9" s="1198">
        <v>5</v>
      </c>
      <c r="M9" s="2">
        <v>14</v>
      </c>
      <c r="N9" s="2">
        <v>-3</v>
      </c>
      <c r="O9" s="2">
        <v>6</v>
      </c>
      <c r="P9" s="168">
        <v>1</v>
      </c>
      <c r="Q9" s="2">
        <v>0</v>
      </c>
      <c r="R9" s="2">
        <v>0</v>
      </c>
      <c r="S9" s="2">
        <v>0</v>
      </c>
      <c r="T9" s="2">
        <v>3</v>
      </c>
      <c r="U9" s="2">
        <v>1</v>
      </c>
      <c r="V9" s="242">
        <v>2626</v>
      </c>
      <c r="W9" s="1058" t="s">
        <v>6146</v>
      </c>
      <c r="X9" s="1058" t="s">
        <v>6188</v>
      </c>
      <c r="Y9" s="1058" t="s">
        <v>6171</v>
      </c>
      <c r="AA9" s="1058" t="s">
        <v>4144</v>
      </c>
      <c r="AB9" s="168" t="s">
        <v>4157</v>
      </c>
      <c r="AC9" s="2" t="s">
        <v>4158</v>
      </c>
      <c r="AK9" s="442" t="s">
        <v>4143</v>
      </c>
    </row>
    <row r="10" spans="1:37" x14ac:dyDescent="0.3">
      <c r="A10" s="985" t="str">
        <f t="shared" si="0"/>
        <v>Sezóna 21/22</v>
      </c>
      <c r="B10" s="2">
        <v>8</v>
      </c>
      <c r="C10" s="2">
        <v>9</v>
      </c>
      <c r="D10" s="4">
        <v>44467</v>
      </c>
      <c r="E10" s="2" t="s">
        <v>6086</v>
      </c>
      <c r="F10" s="2" t="s">
        <v>16</v>
      </c>
      <c r="G10" s="1058" t="s">
        <v>161</v>
      </c>
      <c r="H10" s="1058" t="s">
        <v>794</v>
      </c>
      <c r="I10" s="259">
        <v>2</v>
      </c>
      <c r="J10" s="259">
        <v>3</v>
      </c>
      <c r="K10" s="1198">
        <v>2</v>
      </c>
      <c r="L10" s="1198">
        <v>2</v>
      </c>
      <c r="M10" s="2">
        <v>13</v>
      </c>
      <c r="N10" s="2">
        <v>-2</v>
      </c>
      <c r="O10" s="2">
        <v>7</v>
      </c>
      <c r="P10" s="168">
        <v>0</v>
      </c>
      <c r="Q10" s="2">
        <v>0</v>
      </c>
      <c r="R10" s="2">
        <v>0</v>
      </c>
      <c r="S10" s="2">
        <v>0</v>
      </c>
      <c r="T10" s="2">
        <v>4</v>
      </c>
      <c r="U10" s="2">
        <v>4</v>
      </c>
      <c r="V10" s="242">
        <v>2768</v>
      </c>
      <c r="W10" s="1058" t="s">
        <v>6120</v>
      </c>
      <c r="X10" s="1058" t="s">
        <v>6097</v>
      </c>
      <c r="Y10" s="1058" t="s">
        <v>6188</v>
      </c>
      <c r="Z10" s="1058" t="s">
        <v>208</v>
      </c>
      <c r="AA10" s="1058" t="s">
        <v>4145</v>
      </c>
      <c r="AB10" s="168" t="s">
        <v>4159</v>
      </c>
      <c r="AC10" s="2" t="s">
        <v>4160</v>
      </c>
      <c r="AJ10" s="8" t="s">
        <v>4161</v>
      </c>
      <c r="AK10" s="8" t="s">
        <v>4146</v>
      </c>
    </row>
    <row r="11" spans="1:37" x14ac:dyDescent="0.3">
      <c r="A11" s="985" t="str">
        <f t="shared" si="0"/>
        <v>Sezóna 21/22</v>
      </c>
      <c r="B11" s="2">
        <v>9</v>
      </c>
      <c r="C11" s="2">
        <v>10</v>
      </c>
      <c r="D11" s="4">
        <v>44470</v>
      </c>
      <c r="E11" s="2" t="s">
        <v>6179</v>
      </c>
      <c r="F11" s="2" t="s">
        <v>17</v>
      </c>
      <c r="G11" s="1058" t="s">
        <v>6211</v>
      </c>
      <c r="H11" s="1058" t="s">
        <v>743</v>
      </c>
      <c r="I11" s="259">
        <v>3</v>
      </c>
      <c r="J11" s="259">
        <v>4</v>
      </c>
      <c r="K11" s="1198">
        <v>3</v>
      </c>
      <c r="L11" s="1198">
        <v>4</v>
      </c>
      <c r="M11" s="2">
        <v>13</v>
      </c>
      <c r="N11" s="2">
        <v>-5</v>
      </c>
      <c r="O11" s="2">
        <v>7</v>
      </c>
      <c r="P11" s="168">
        <v>0</v>
      </c>
      <c r="Q11" s="2">
        <v>0</v>
      </c>
      <c r="R11" s="2">
        <v>0</v>
      </c>
      <c r="S11" s="2">
        <v>0</v>
      </c>
      <c r="T11" s="2">
        <v>5</v>
      </c>
      <c r="U11" s="2">
        <v>1</v>
      </c>
      <c r="V11" s="242">
        <v>2580</v>
      </c>
      <c r="W11" s="1058" t="s">
        <v>6089</v>
      </c>
      <c r="X11" s="1058" t="s">
        <v>6102</v>
      </c>
      <c r="Y11" s="1058" t="s">
        <v>6189</v>
      </c>
      <c r="AA11" s="1058" t="s">
        <v>4149</v>
      </c>
      <c r="AB11" s="168" t="s">
        <v>4162</v>
      </c>
      <c r="AC11" s="2" t="s">
        <v>4163</v>
      </c>
      <c r="AD11" s="2" t="s">
        <v>4164</v>
      </c>
      <c r="AK11" s="8" t="s">
        <v>4147</v>
      </c>
    </row>
    <row r="12" spans="1:37" x14ac:dyDescent="0.3">
      <c r="A12" s="985" t="str">
        <f t="shared" si="0"/>
        <v>Sezóna 21/22</v>
      </c>
      <c r="B12" s="2">
        <v>10</v>
      </c>
      <c r="C12" s="2">
        <v>11</v>
      </c>
      <c r="D12" s="4">
        <v>44472</v>
      </c>
      <c r="E12" s="2" t="s">
        <v>6091</v>
      </c>
      <c r="F12" s="2" t="s">
        <v>16</v>
      </c>
      <c r="G12" s="1058" t="s">
        <v>6110</v>
      </c>
      <c r="H12" s="1058" t="s">
        <v>16</v>
      </c>
      <c r="I12" s="259">
        <v>3</v>
      </c>
      <c r="J12" s="259">
        <v>0</v>
      </c>
      <c r="K12" s="1198">
        <v>2</v>
      </c>
      <c r="L12" s="1198">
        <v>0</v>
      </c>
      <c r="M12" s="2">
        <v>12</v>
      </c>
      <c r="N12" s="2">
        <v>-2</v>
      </c>
      <c r="O12" s="2">
        <v>10</v>
      </c>
      <c r="P12" s="168">
        <v>0</v>
      </c>
      <c r="Q12" s="2">
        <v>0</v>
      </c>
      <c r="R12" s="2">
        <v>0</v>
      </c>
      <c r="S12" s="2">
        <v>0</v>
      </c>
      <c r="T12" s="2">
        <v>1</v>
      </c>
      <c r="U12" s="2">
        <v>2</v>
      </c>
      <c r="V12" s="242">
        <v>5639</v>
      </c>
      <c r="W12" s="1058" t="s">
        <v>6120</v>
      </c>
      <c r="X12" s="1058" t="s">
        <v>6188</v>
      </c>
      <c r="Y12" s="1058" t="s">
        <v>6089</v>
      </c>
      <c r="AA12" s="1058" t="s">
        <v>6110</v>
      </c>
      <c r="AB12" s="168" t="s">
        <v>4191</v>
      </c>
      <c r="AC12" s="2" t="s">
        <v>4192</v>
      </c>
      <c r="AD12" s="2" t="s">
        <v>4193</v>
      </c>
      <c r="AK12" s="8" t="s">
        <v>4148</v>
      </c>
    </row>
    <row r="13" spans="1:37" x14ac:dyDescent="0.3">
      <c r="A13" s="985" t="str">
        <f t="shared" si="0"/>
        <v>Sezóna 21/22</v>
      </c>
      <c r="B13" s="2">
        <v>11</v>
      </c>
      <c r="C13" s="2">
        <v>12</v>
      </c>
      <c r="D13" s="4">
        <v>44477</v>
      </c>
      <c r="E13" s="2" t="s">
        <v>328</v>
      </c>
      <c r="F13" s="2" t="s">
        <v>16</v>
      </c>
      <c r="G13" s="1058" t="s">
        <v>6148</v>
      </c>
      <c r="H13" s="1058" t="s">
        <v>16</v>
      </c>
      <c r="I13" s="259">
        <v>4</v>
      </c>
      <c r="J13" s="259">
        <v>1</v>
      </c>
      <c r="K13" s="1198">
        <v>3</v>
      </c>
      <c r="L13" s="1198">
        <v>1</v>
      </c>
      <c r="M13" s="2">
        <v>12</v>
      </c>
      <c r="N13" s="2">
        <v>1</v>
      </c>
      <c r="O13" s="2">
        <v>13</v>
      </c>
      <c r="P13" s="168">
        <v>0</v>
      </c>
      <c r="Q13" s="2">
        <v>0</v>
      </c>
      <c r="R13" s="2">
        <v>0</v>
      </c>
      <c r="S13" s="2">
        <v>0</v>
      </c>
      <c r="T13" s="2">
        <v>3</v>
      </c>
      <c r="U13" s="2">
        <v>2</v>
      </c>
      <c r="V13" s="242">
        <v>4925</v>
      </c>
      <c r="W13" s="1058" t="s">
        <v>6120</v>
      </c>
      <c r="X13" s="1058" t="s">
        <v>6089</v>
      </c>
      <c r="Y13" s="1058" t="s">
        <v>6187</v>
      </c>
      <c r="AA13" s="1058" t="s">
        <v>4151</v>
      </c>
      <c r="AB13" s="168" t="s">
        <v>4194</v>
      </c>
      <c r="AC13" s="2" t="s">
        <v>4195</v>
      </c>
      <c r="AD13" s="2" t="s">
        <v>4196</v>
      </c>
      <c r="AE13" s="2" t="s">
        <v>4197</v>
      </c>
      <c r="AK13" s="8" t="s">
        <v>4152</v>
      </c>
    </row>
    <row r="14" spans="1:37" x14ac:dyDescent="0.3">
      <c r="A14" s="985" t="str">
        <f t="shared" si="0"/>
        <v>Sezóna 21/22</v>
      </c>
      <c r="B14" s="2">
        <v>12</v>
      </c>
      <c r="C14" s="2">
        <v>13</v>
      </c>
      <c r="D14" s="4">
        <v>44479</v>
      </c>
      <c r="E14" s="2" t="s">
        <v>1274</v>
      </c>
      <c r="F14" s="2" t="s">
        <v>17</v>
      </c>
      <c r="G14" s="1058" t="s">
        <v>6211</v>
      </c>
      <c r="H14" s="1058" t="s">
        <v>743</v>
      </c>
      <c r="I14" s="259">
        <v>3</v>
      </c>
      <c r="J14" s="259">
        <v>4</v>
      </c>
      <c r="K14" s="1198">
        <v>3</v>
      </c>
      <c r="L14" s="1198">
        <v>4</v>
      </c>
      <c r="M14" s="2">
        <v>12</v>
      </c>
      <c r="N14" s="2">
        <v>-2</v>
      </c>
      <c r="O14" s="2">
        <v>13</v>
      </c>
      <c r="P14" s="168">
        <v>2</v>
      </c>
      <c r="Q14" s="2">
        <v>0</v>
      </c>
      <c r="R14" s="2">
        <v>0</v>
      </c>
      <c r="S14" s="2">
        <v>0</v>
      </c>
      <c r="T14" s="2">
        <v>3</v>
      </c>
      <c r="U14" s="2">
        <v>3</v>
      </c>
      <c r="V14" s="242">
        <v>2663</v>
      </c>
      <c r="W14" s="1058" t="s">
        <v>6187</v>
      </c>
      <c r="X14" s="1058" t="s">
        <v>6118</v>
      </c>
      <c r="Y14" s="1058" t="s">
        <v>6171</v>
      </c>
      <c r="AA14" s="1058" t="s">
        <v>4166</v>
      </c>
      <c r="AB14" s="168" t="s">
        <v>4198</v>
      </c>
      <c r="AC14" s="2" t="s">
        <v>4199</v>
      </c>
      <c r="AD14" s="2" t="s">
        <v>4200</v>
      </c>
      <c r="AK14" s="8" t="s">
        <v>4165</v>
      </c>
    </row>
    <row r="15" spans="1:37" x14ac:dyDescent="0.3">
      <c r="A15" s="985" t="str">
        <f t="shared" si="0"/>
        <v>Sezóna 21/22</v>
      </c>
      <c r="B15" s="2">
        <v>13</v>
      </c>
      <c r="C15" s="2">
        <v>14</v>
      </c>
      <c r="D15" s="4">
        <v>44484</v>
      </c>
      <c r="E15" s="2" t="s">
        <v>626</v>
      </c>
      <c r="F15" s="2" t="s">
        <v>16</v>
      </c>
      <c r="G15" s="1058" t="s">
        <v>6189</v>
      </c>
      <c r="H15" s="1058" t="s">
        <v>743</v>
      </c>
      <c r="I15" s="259">
        <v>0</v>
      </c>
      <c r="J15" s="259">
        <v>1</v>
      </c>
      <c r="K15" s="1198">
        <v>0</v>
      </c>
      <c r="L15" s="1198">
        <v>1</v>
      </c>
      <c r="M15" s="2">
        <v>12</v>
      </c>
      <c r="N15" s="2">
        <v>-2</v>
      </c>
      <c r="O15" s="2">
        <v>13</v>
      </c>
      <c r="P15" s="168">
        <v>0</v>
      </c>
      <c r="Q15" s="2">
        <v>0</v>
      </c>
      <c r="R15" s="2">
        <v>0</v>
      </c>
      <c r="S15" s="2">
        <v>0</v>
      </c>
      <c r="T15" s="2">
        <v>1</v>
      </c>
      <c r="U15" s="2">
        <v>2</v>
      </c>
      <c r="V15" s="242">
        <v>4637</v>
      </c>
      <c r="W15" s="1058" t="s">
        <v>6188</v>
      </c>
      <c r="X15" s="1058" t="s">
        <v>6188</v>
      </c>
      <c r="Y15" s="1058" t="s">
        <v>6189</v>
      </c>
      <c r="AA15" s="1058" t="s">
        <v>6189</v>
      </c>
      <c r="AB15" s="168" t="s">
        <v>515</v>
      </c>
      <c r="AK15" s="8" t="s">
        <v>4184</v>
      </c>
    </row>
    <row r="16" spans="1:37" s="191" customFormat="1" x14ac:dyDescent="0.3">
      <c r="A16" s="985" t="str">
        <f t="shared" si="0"/>
        <v>Sezóna 21/22</v>
      </c>
      <c r="B16" s="170">
        <v>14</v>
      </c>
      <c r="C16" s="170">
        <v>15</v>
      </c>
      <c r="D16" s="189">
        <v>44486</v>
      </c>
      <c r="E16" s="170" t="s">
        <v>6076</v>
      </c>
      <c r="F16" s="170" t="s">
        <v>17</v>
      </c>
      <c r="G16" s="1059" t="s">
        <v>6192</v>
      </c>
      <c r="H16" s="1059" t="s">
        <v>16</v>
      </c>
      <c r="I16" s="1091">
        <v>4</v>
      </c>
      <c r="J16" s="1091">
        <v>3</v>
      </c>
      <c r="K16" s="1199">
        <v>4</v>
      </c>
      <c r="L16" s="1199">
        <v>3</v>
      </c>
      <c r="M16" s="269">
        <v>11</v>
      </c>
      <c r="N16" s="269">
        <v>-2</v>
      </c>
      <c r="O16" s="269">
        <v>16</v>
      </c>
      <c r="P16" s="169">
        <v>1</v>
      </c>
      <c r="Q16" s="170">
        <v>0</v>
      </c>
      <c r="R16" s="170">
        <v>0</v>
      </c>
      <c r="S16" s="170">
        <v>2</v>
      </c>
      <c r="T16" s="170">
        <v>5</v>
      </c>
      <c r="U16" s="170">
        <v>5</v>
      </c>
      <c r="V16" s="171">
        <v>2574</v>
      </c>
      <c r="W16" s="1059" t="s">
        <v>6188</v>
      </c>
      <c r="X16" s="1059" t="s">
        <v>6187</v>
      </c>
      <c r="Y16" s="1059" t="s">
        <v>6113</v>
      </c>
      <c r="Z16" s="1059"/>
      <c r="AA16" s="1059" t="s">
        <v>4186</v>
      </c>
      <c r="AB16" s="169" t="s">
        <v>4187</v>
      </c>
      <c r="AC16" s="170" t="s">
        <v>4188</v>
      </c>
      <c r="AD16" s="170" t="s">
        <v>4189</v>
      </c>
      <c r="AE16" s="170" t="s">
        <v>4190</v>
      </c>
      <c r="AF16" s="170"/>
      <c r="AG16" s="170"/>
      <c r="AH16" s="170"/>
      <c r="AI16" s="171"/>
      <c r="AJ16" s="268"/>
      <c r="AK16" s="268" t="s">
        <v>4185</v>
      </c>
    </row>
    <row r="17" spans="1:37" x14ac:dyDescent="0.3">
      <c r="A17" s="985" t="str">
        <f t="shared" si="0"/>
        <v>Sezóna 21/22</v>
      </c>
      <c r="B17" s="2">
        <v>15</v>
      </c>
      <c r="C17" s="2">
        <v>16</v>
      </c>
      <c r="D17" s="4">
        <v>44491</v>
      </c>
      <c r="E17" s="2" t="s">
        <v>326</v>
      </c>
      <c r="F17" s="2" t="s">
        <v>17</v>
      </c>
      <c r="G17" s="1058" t="s">
        <v>6118</v>
      </c>
      <c r="H17" s="1058" t="s">
        <v>16</v>
      </c>
      <c r="I17" s="259">
        <v>2</v>
      </c>
      <c r="J17" s="259">
        <v>1</v>
      </c>
      <c r="K17" s="1198">
        <v>2</v>
      </c>
      <c r="L17" s="1198">
        <v>1</v>
      </c>
      <c r="M17" s="2">
        <v>11</v>
      </c>
      <c r="N17" s="2">
        <v>-2</v>
      </c>
      <c r="O17" s="2">
        <v>19</v>
      </c>
      <c r="P17" s="168">
        <v>0</v>
      </c>
      <c r="Q17" s="2">
        <v>0</v>
      </c>
      <c r="R17" s="2">
        <v>0</v>
      </c>
      <c r="S17" s="2">
        <v>1</v>
      </c>
      <c r="T17" s="2">
        <v>2</v>
      </c>
      <c r="U17" s="2">
        <v>4</v>
      </c>
      <c r="V17" s="242">
        <v>2544</v>
      </c>
      <c r="W17" s="1058" t="s">
        <v>6188</v>
      </c>
      <c r="X17" s="1058" t="s">
        <v>6120</v>
      </c>
      <c r="Y17" s="1058" t="s">
        <v>6187</v>
      </c>
      <c r="AA17" s="1058" t="s">
        <v>3496</v>
      </c>
      <c r="AB17" s="168" t="s">
        <v>4213</v>
      </c>
      <c r="AC17" s="2" t="s">
        <v>4214</v>
      </c>
      <c r="AK17" s="8" t="s">
        <v>4201</v>
      </c>
    </row>
    <row r="18" spans="1:37" x14ac:dyDescent="0.3">
      <c r="A18" s="985" t="str">
        <f t="shared" si="0"/>
        <v>Sezóna 21/22</v>
      </c>
      <c r="B18" s="2">
        <v>16</v>
      </c>
      <c r="C18" s="2">
        <v>17</v>
      </c>
      <c r="D18" s="4">
        <v>44493</v>
      </c>
      <c r="E18" s="2" t="s">
        <v>610</v>
      </c>
      <c r="F18" s="2" t="s">
        <v>16</v>
      </c>
      <c r="G18" s="1058" t="s">
        <v>6079</v>
      </c>
      <c r="H18" s="1058" t="s">
        <v>743</v>
      </c>
      <c r="I18" s="259">
        <v>0</v>
      </c>
      <c r="J18" s="259">
        <v>3</v>
      </c>
      <c r="K18" s="1198">
        <v>0</v>
      </c>
      <c r="L18" s="1198">
        <v>3</v>
      </c>
      <c r="M18" s="2">
        <v>13</v>
      </c>
      <c r="N18" s="2">
        <v>-2</v>
      </c>
      <c r="O18" s="2">
        <v>19</v>
      </c>
      <c r="P18" s="168">
        <v>0</v>
      </c>
      <c r="Q18" s="2">
        <v>0</v>
      </c>
      <c r="R18" s="2">
        <v>0</v>
      </c>
      <c r="S18" s="2">
        <v>1</v>
      </c>
      <c r="T18" s="2">
        <v>3</v>
      </c>
      <c r="U18" s="2">
        <v>6</v>
      </c>
      <c r="V18" s="242">
        <v>5151</v>
      </c>
      <c r="W18" s="1058" t="s">
        <v>6171</v>
      </c>
      <c r="X18" s="1058" t="s">
        <v>6189</v>
      </c>
      <c r="Y18" s="1058" t="s">
        <v>6188</v>
      </c>
      <c r="AA18" s="1058" t="s">
        <v>6079</v>
      </c>
      <c r="AB18" s="168" t="s">
        <v>515</v>
      </c>
      <c r="AK18" s="8" t="s">
        <v>4202</v>
      </c>
    </row>
    <row r="19" spans="1:37" x14ac:dyDescent="0.3">
      <c r="A19" s="985" t="str">
        <f t="shared" si="0"/>
        <v>Sezóna 21/22</v>
      </c>
      <c r="B19" s="2">
        <v>17</v>
      </c>
      <c r="C19" s="2">
        <v>18</v>
      </c>
      <c r="D19" s="4">
        <v>44495</v>
      </c>
      <c r="E19" s="2" t="s">
        <v>334</v>
      </c>
      <c r="F19" s="2" t="s">
        <v>17</v>
      </c>
      <c r="G19" s="1058" t="s">
        <v>6104</v>
      </c>
      <c r="H19" s="1058" t="s">
        <v>743</v>
      </c>
      <c r="I19" s="259">
        <v>2</v>
      </c>
      <c r="J19" s="259">
        <v>5</v>
      </c>
      <c r="K19" s="1198">
        <v>2</v>
      </c>
      <c r="L19" s="1198">
        <v>4</v>
      </c>
      <c r="M19" s="2">
        <v>13</v>
      </c>
      <c r="N19" s="2">
        <v>-5</v>
      </c>
      <c r="O19" s="2">
        <v>19</v>
      </c>
      <c r="P19" s="168">
        <v>0</v>
      </c>
      <c r="Q19" s="2">
        <v>0</v>
      </c>
      <c r="R19" s="2">
        <v>0</v>
      </c>
      <c r="S19" s="2">
        <v>2</v>
      </c>
      <c r="T19" s="2">
        <v>4</v>
      </c>
      <c r="U19" s="2">
        <v>3</v>
      </c>
      <c r="V19" s="242">
        <v>2345</v>
      </c>
      <c r="W19" s="1058" t="s">
        <v>6187</v>
      </c>
      <c r="X19" s="1058" t="s">
        <v>6097</v>
      </c>
      <c r="Y19" s="1058" t="s">
        <v>6171</v>
      </c>
      <c r="AA19" s="1058" t="s">
        <v>4206</v>
      </c>
      <c r="AB19" s="168" t="s">
        <v>4215</v>
      </c>
      <c r="AC19" s="2" t="s">
        <v>4216</v>
      </c>
      <c r="AK19" s="8" t="s">
        <v>4203</v>
      </c>
    </row>
    <row r="20" spans="1:37" x14ac:dyDescent="0.3">
      <c r="A20" s="985" t="str">
        <f t="shared" si="0"/>
        <v>Sezóna 21/22</v>
      </c>
      <c r="B20" s="2">
        <v>18</v>
      </c>
      <c r="C20" s="2">
        <v>20</v>
      </c>
      <c r="D20" s="4">
        <v>44500</v>
      </c>
      <c r="E20" s="2" t="s">
        <v>332</v>
      </c>
      <c r="F20" s="2" t="s">
        <v>17</v>
      </c>
      <c r="G20" s="1058" t="s">
        <v>6192</v>
      </c>
      <c r="H20" s="1058" t="s">
        <v>16</v>
      </c>
      <c r="I20" s="259">
        <v>4</v>
      </c>
      <c r="J20" s="259">
        <v>3</v>
      </c>
      <c r="K20" s="1198">
        <v>4</v>
      </c>
      <c r="L20" s="1198">
        <v>3</v>
      </c>
      <c r="M20" s="2">
        <v>12</v>
      </c>
      <c r="N20" s="2">
        <v>-5</v>
      </c>
      <c r="O20" s="2">
        <v>22</v>
      </c>
      <c r="P20" s="168">
        <v>1</v>
      </c>
      <c r="Q20" s="2">
        <v>0</v>
      </c>
      <c r="R20" s="2">
        <v>0</v>
      </c>
      <c r="S20" s="2">
        <v>0</v>
      </c>
      <c r="T20" s="2">
        <v>3</v>
      </c>
      <c r="U20" s="2">
        <v>2</v>
      </c>
      <c r="V20" s="242">
        <v>3570</v>
      </c>
      <c r="W20" s="1058" t="s">
        <v>6100</v>
      </c>
      <c r="X20" s="1058" t="s">
        <v>6171</v>
      </c>
      <c r="Y20" s="1058" t="s">
        <v>6120</v>
      </c>
      <c r="AA20" s="1058" t="s">
        <v>4207</v>
      </c>
      <c r="AB20" s="168" t="s">
        <v>4217</v>
      </c>
      <c r="AC20" s="2" t="s">
        <v>4218</v>
      </c>
      <c r="AD20" s="2" t="s">
        <v>4219</v>
      </c>
      <c r="AE20" s="2" t="s">
        <v>4220</v>
      </c>
      <c r="AJ20" s="8" t="s">
        <v>4208</v>
      </c>
      <c r="AK20" s="8" t="s">
        <v>4204</v>
      </c>
    </row>
    <row r="21" spans="1:37" x14ac:dyDescent="0.3">
      <c r="A21" s="985" t="str">
        <f t="shared" si="0"/>
        <v>Sezóna 21/22</v>
      </c>
      <c r="B21" s="2">
        <v>19</v>
      </c>
      <c r="C21" s="2">
        <v>21</v>
      </c>
      <c r="D21" s="4">
        <v>44502</v>
      </c>
      <c r="E21" s="2" t="s">
        <v>327</v>
      </c>
      <c r="F21" s="2" t="s">
        <v>16</v>
      </c>
      <c r="G21" s="1058" t="s">
        <v>6082</v>
      </c>
      <c r="H21" s="1058" t="s">
        <v>743</v>
      </c>
      <c r="I21" s="259">
        <v>2</v>
      </c>
      <c r="J21" s="259">
        <v>4</v>
      </c>
      <c r="K21" s="1198">
        <v>2</v>
      </c>
      <c r="L21" s="1198">
        <v>4</v>
      </c>
      <c r="M21" s="2">
        <v>12</v>
      </c>
      <c r="N21" s="2">
        <v>-5</v>
      </c>
      <c r="O21" s="2">
        <v>22</v>
      </c>
      <c r="P21" s="168">
        <v>1</v>
      </c>
      <c r="Q21" s="2">
        <v>0</v>
      </c>
      <c r="R21" s="2">
        <v>0</v>
      </c>
      <c r="S21" s="2">
        <v>0</v>
      </c>
      <c r="T21" s="2">
        <v>1</v>
      </c>
      <c r="U21" s="2">
        <v>1</v>
      </c>
      <c r="V21" s="242">
        <v>7045</v>
      </c>
      <c r="W21" s="1058" t="s">
        <v>6187</v>
      </c>
      <c r="X21" s="1058" t="s">
        <v>6102</v>
      </c>
      <c r="Y21" s="1058" t="s">
        <v>6188</v>
      </c>
      <c r="AA21" s="1058" t="s">
        <v>4209</v>
      </c>
      <c r="AB21" s="168" t="s">
        <v>4386</v>
      </c>
      <c r="AC21" s="2" t="s">
        <v>4387</v>
      </c>
      <c r="AK21" s="8" t="s">
        <v>4211</v>
      </c>
    </row>
    <row r="22" spans="1:37" x14ac:dyDescent="0.3">
      <c r="A22" s="985" t="str">
        <f t="shared" si="0"/>
        <v>Sezóna 21/22</v>
      </c>
      <c r="B22" s="2">
        <v>20</v>
      </c>
      <c r="C22" s="2">
        <v>22</v>
      </c>
      <c r="D22" s="4">
        <v>44504</v>
      </c>
      <c r="E22" s="2" t="s">
        <v>325</v>
      </c>
      <c r="F22" s="2" t="s">
        <v>17</v>
      </c>
      <c r="G22" s="1058" t="s">
        <v>6113</v>
      </c>
      <c r="H22" s="1058" t="s">
        <v>16</v>
      </c>
      <c r="I22" s="259">
        <v>3</v>
      </c>
      <c r="J22" s="259">
        <v>2</v>
      </c>
      <c r="K22" s="1198">
        <v>3</v>
      </c>
      <c r="L22" s="1198">
        <v>2</v>
      </c>
      <c r="M22" s="2">
        <v>12</v>
      </c>
      <c r="N22" s="2">
        <v>-5</v>
      </c>
      <c r="O22" s="2">
        <v>25</v>
      </c>
      <c r="P22" s="168">
        <v>1</v>
      </c>
      <c r="Q22" s="2">
        <v>0</v>
      </c>
      <c r="R22" s="2">
        <v>0</v>
      </c>
      <c r="S22" s="2">
        <v>1</v>
      </c>
      <c r="T22" s="2">
        <v>7</v>
      </c>
      <c r="U22" s="2">
        <v>5</v>
      </c>
      <c r="V22" s="242">
        <v>2630</v>
      </c>
      <c r="W22" s="1058" t="s">
        <v>6089</v>
      </c>
      <c r="X22" s="1058" t="s">
        <v>6187</v>
      </c>
      <c r="Y22" s="1058" t="s">
        <v>6189</v>
      </c>
      <c r="AA22" s="1058" t="s">
        <v>4210</v>
      </c>
      <c r="AB22" s="168" t="s">
        <v>4388</v>
      </c>
      <c r="AC22" s="2" t="s">
        <v>4389</v>
      </c>
      <c r="AD22" s="2" t="s">
        <v>4390</v>
      </c>
      <c r="AK22" s="8" t="s">
        <v>4212</v>
      </c>
    </row>
    <row r="23" spans="1:37" x14ac:dyDescent="0.3">
      <c r="A23" s="985" t="str">
        <f t="shared" si="0"/>
        <v>Sezóna 21/22</v>
      </c>
      <c r="B23" s="2">
        <v>21</v>
      </c>
      <c r="C23" s="2">
        <v>23</v>
      </c>
      <c r="D23" s="4">
        <v>44507</v>
      </c>
      <c r="E23" s="2" t="s">
        <v>331</v>
      </c>
      <c r="F23" s="2" t="s">
        <v>16</v>
      </c>
      <c r="G23" s="1058" t="s">
        <v>6192</v>
      </c>
      <c r="H23" s="1058" t="s">
        <v>16</v>
      </c>
      <c r="I23" s="259">
        <v>4</v>
      </c>
      <c r="J23" s="259">
        <v>3</v>
      </c>
      <c r="K23" s="1198">
        <v>4</v>
      </c>
      <c r="L23" s="1198">
        <v>3</v>
      </c>
      <c r="M23" s="2">
        <v>10</v>
      </c>
      <c r="N23" s="2">
        <v>-2</v>
      </c>
      <c r="O23" s="2">
        <v>28</v>
      </c>
      <c r="P23" s="168">
        <v>0</v>
      </c>
      <c r="Q23" s="2">
        <v>0</v>
      </c>
      <c r="R23" s="2">
        <v>0</v>
      </c>
      <c r="S23" s="2">
        <v>0</v>
      </c>
      <c r="T23" s="2">
        <v>2</v>
      </c>
      <c r="U23" s="2">
        <v>4</v>
      </c>
      <c r="V23" s="242">
        <v>3335</v>
      </c>
      <c r="W23" s="1058" t="s">
        <v>6120</v>
      </c>
      <c r="X23" s="1058" t="s">
        <v>6110</v>
      </c>
      <c r="Y23" s="1058" t="s">
        <v>6079</v>
      </c>
      <c r="AA23" s="1058" t="s">
        <v>3313</v>
      </c>
      <c r="AB23" s="168" t="s">
        <v>4391</v>
      </c>
      <c r="AC23" s="2" t="s">
        <v>4392</v>
      </c>
      <c r="AD23" s="2" t="s">
        <v>4393</v>
      </c>
      <c r="AE23" s="2" t="s">
        <v>4394</v>
      </c>
      <c r="AK23" s="8" t="s">
        <v>4221</v>
      </c>
    </row>
    <row r="24" spans="1:37" x14ac:dyDescent="0.3">
      <c r="A24" s="985" t="str">
        <f t="shared" si="0"/>
        <v>Sezóna 21/22</v>
      </c>
      <c r="B24" s="2">
        <v>22</v>
      </c>
      <c r="C24" s="2">
        <v>24</v>
      </c>
      <c r="D24" s="4">
        <v>44519</v>
      </c>
      <c r="E24" s="2" t="s">
        <v>6086</v>
      </c>
      <c r="F24" s="2" t="s">
        <v>17</v>
      </c>
      <c r="G24" s="1058" t="s">
        <v>6175</v>
      </c>
      <c r="H24" s="1058" t="s">
        <v>16</v>
      </c>
      <c r="I24" s="259">
        <v>5</v>
      </c>
      <c r="J24" s="259">
        <v>0</v>
      </c>
      <c r="K24" s="1198">
        <v>5</v>
      </c>
      <c r="L24" s="1198">
        <v>0</v>
      </c>
      <c r="M24" s="2">
        <v>9</v>
      </c>
      <c r="N24" s="2">
        <v>-2</v>
      </c>
      <c r="O24" s="2">
        <v>31</v>
      </c>
      <c r="P24" s="168">
        <v>4</v>
      </c>
      <c r="Q24" s="2">
        <v>0</v>
      </c>
      <c r="R24" s="2">
        <v>0</v>
      </c>
      <c r="S24" s="2">
        <v>0</v>
      </c>
      <c r="T24" s="2">
        <v>8</v>
      </c>
      <c r="U24" s="2">
        <v>3</v>
      </c>
      <c r="V24" s="242">
        <v>4038</v>
      </c>
      <c r="W24" s="1058" t="s">
        <v>6089</v>
      </c>
      <c r="X24" s="1058" t="s">
        <v>6110</v>
      </c>
      <c r="Y24" s="1058" t="s">
        <v>6188</v>
      </c>
      <c r="AA24" s="1058" t="s">
        <v>6175</v>
      </c>
      <c r="AB24" s="168" t="s">
        <v>4420</v>
      </c>
      <c r="AC24" s="2" t="s">
        <v>4421</v>
      </c>
      <c r="AD24" s="2" t="s">
        <v>4422</v>
      </c>
      <c r="AE24" s="2" t="s">
        <v>4423</v>
      </c>
      <c r="AF24" s="2" t="s">
        <v>4424</v>
      </c>
      <c r="AK24" s="8" t="s">
        <v>4399</v>
      </c>
    </row>
    <row r="25" spans="1:37" x14ac:dyDescent="0.3">
      <c r="A25" s="985" t="str">
        <f t="shared" si="0"/>
        <v>Sezóna 21/22</v>
      </c>
      <c r="B25" s="2">
        <v>23</v>
      </c>
      <c r="C25" s="2">
        <v>25</v>
      </c>
      <c r="D25" s="4">
        <v>44521</v>
      </c>
      <c r="E25" s="2" t="s">
        <v>6179</v>
      </c>
      <c r="F25" s="2" t="s">
        <v>16</v>
      </c>
      <c r="G25" s="1058" t="s">
        <v>6082</v>
      </c>
      <c r="H25" s="1058" t="s">
        <v>743</v>
      </c>
      <c r="I25" s="259">
        <v>2</v>
      </c>
      <c r="J25" s="259">
        <v>4</v>
      </c>
      <c r="K25" s="1198">
        <v>2</v>
      </c>
      <c r="L25" s="1198">
        <v>4</v>
      </c>
      <c r="M25" s="2">
        <v>10</v>
      </c>
      <c r="N25" s="2">
        <v>-2</v>
      </c>
      <c r="O25" s="2">
        <v>31</v>
      </c>
      <c r="P25" s="168">
        <v>0</v>
      </c>
      <c r="Q25" s="2">
        <v>0</v>
      </c>
      <c r="R25" s="2">
        <v>0</v>
      </c>
      <c r="S25" s="2">
        <v>0</v>
      </c>
      <c r="T25" s="2">
        <v>0</v>
      </c>
      <c r="U25" s="2">
        <v>2</v>
      </c>
      <c r="V25" s="242">
        <v>5767</v>
      </c>
      <c r="W25" s="1058" t="s">
        <v>6120</v>
      </c>
      <c r="X25" s="1058" t="s">
        <v>6171</v>
      </c>
      <c r="Y25" s="1058" t="s">
        <v>6097</v>
      </c>
      <c r="AA25" s="1058" t="s">
        <v>4401</v>
      </c>
      <c r="AB25" s="168" t="s">
        <v>4425</v>
      </c>
      <c r="AC25" s="2" t="s">
        <v>4426</v>
      </c>
      <c r="AK25" s="8" t="s">
        <v>4400</v>
      </c>
    </row>
    <row r="26" spans="1:37" ht="16.8" x14ac:dyDescent="0.4">
      <c r="A26" s="985" t="str">
        <f t="shared" si="0"/>
        <v>Sezóna 21/22</v>
      </c>
      <c r="B26" s="2">
        <v>24</v>
      </c>
      <c r="C26" s="2">
        <v>26</v>
      </c>
      <c r="D26" s="4">
        <v>44526</v>
      </c>
      <c r="E26" s="2" t="s">
        <v>6091</v>
      </c>
      <c r="F26" s="2" t="s">
        <v>17</v>
      </c>
      <c r="G26" s="1058" t="s">
        <v>6113</v>
      </c>
      <c r="H26" s="1058" t="s">
        <v>16</v>
      </c>
      <c r="I26" s="259">
        <v>3</v>
      </c>
      <c r="J26" s="259">
        <v>2</v>
      </c>
      <c r="K26" s="1198">
        <v>3</v>
      </c>
      <c r="L26" s="1198">
        <v>2</v>
      </c>
      <c r="M26" s="2">
        <v>11</v>
      </c>
      <c r="N26" s="2">
        <v>-2</v>
      </c>
      <c r="O26" s="2">
        <v>34</v>
      </c>
      <c r="P26" s="168">
        <v>1</v>
      </c>
      <c r="Q26" s="2">
        <v>1</v>
      </c>
      <c r="R26" s="2">
        <v>0</v>
      </c>
      <c r="S26" s="2">
        <v>0</v>
      </c>
      <c r="T26" s="2">
        <v>3</v>
      </c>
      <c r="U26" s="2">
        <v>3</v>
      </c>
      <c r="V26" s="242">
        <v>1000</v>
      </c>
      <c r="W26" s="1058" t="s">
        <v>6187</v>
      </c>
      <c r="X26" s="1058" t="s">
        <v>6120</v>
      </c>
      <c r="Y26" s="1058" t="s">
        <v>6187</v>
      </c>
      <c r="AA26" s="1058" t="s">
        <v>3815</v>
      </c>
      <c r="AB26" s="168" t="s">
        <v>4427</v>
      </c>
      <c r="AC26" s="2" t="s">
        <v>4428</v>
      </c>
      <c r="AD26" s="2" t="s">
        <v>4429</v>
      </c>
      <c r="AK26" s="390" t="s">
        <v>4403</v>
      </c>
    </row>
    <row r="27" spans="1:37" ht="15.75" customHeight="1" x14ac:dyDescent="0.3">
      <c r="A27" s="985" t="str">
        <f t="shared" si="0"/>
        <v>Sezóna 21/22</v>
      </c>
      <c r="B27" s="2">
        <v>25</v>
      </c>
      <c r="C27" s="2">
        <v>27</v>
      </c>
      <c r="D27" s="4">
        <v>44528</v>
      </c>
      <c r="E27" s="2" t="s">
        <v>328</v>
      </c>
      <c r="F27" s="2" t="s">
        <v>17</v>
      </c>
      <c r="G27" s="1058" t="s">
        <v>354</v>
      </c>
      <c r="H27" s="1058" t="s">
        <v>794</v>
      </c>
      <c r="I27" s="259">
        <v>3</v>
      </c>
      <c r="J27" s="259">
        <v>4</v>
      </c>
      <c r="K27" s="1198">
        <v>3</v>
      </c>
      <c r="L27" s="1198">
        <v>3</v>
      </c>
      <c r="M27" s="385">
        <v>10</v>
      </c>
      <c r="N27" s="2">
        <v>-4</v>
      </c>
      <c r="O27" s="2">
        <v>35</v>
      </c>
      <c r="P27" s="168">
        <v>0</v>
      </c>
      <c r="Q27" s="2">
        <v>0</v>
      </c>
      <c r="R27" s="2">
        <v>0</v>
      </c>
      <c r="S27" s="2">
        <v>0</v>
      </c>
      <c r="T27" s="2">
        <v>5.5</v>
      </c>
      <c r="U27" s="2">
        <v>0</v>
      </c>
      <c r="V27" s="242">
        <v>1000</v>
      </c>
      <c r="W27" s="1058" t="s">
        <v>6120</v>
      </c>
      <c r="X27" s="1058" t="s">
        <v>6194</v>
      </c>
      <c r="Y27" s="1058" t="s">
        <v>6189</v>
      </c>
      <c r="Z27" s="1058" t="s">
        <v>208</v>
      </c>
      <c r="AA27" s="1058" t="s">
        <v>4404</v>
      </c>
      <c r="AB27" s="168" t="s">
        <v>4430</v>
      </c>
      <c r="AC27" s="2" t="s">
        <v>4431</v>
      </c>
      <c r="AD27" s="2" t="s">
        <v>4432</v>
      </c>
      <c r="AJ27" s="638" t="s">
        <v>4554</v>
      </c>
      <c r="AK27" s="8" t="s">
        <v>4405</v>
      </c>
    </row>
    <row r="28" spans="1:37" x14ac:dyDescent="0.3">
      <c r="A28" s="985" t="str">
        <f t="shared" si="0"/>
        <v>Sezóna 21/22</v>
      </c>
      <c r="B28" s="2">
        <v>26</v>
      </c>
      <c r="C28" s="2">
        <v>28</v>
      </c>
      <c r="D28" s="4">
        <v>44530</v>
      </c>
      <c r="E28" s="2" t="s">
        <v>1274</v>
      </c>
      <c r="F28" s="2" t="s">
        <v>16</v>
      </c>
      <c r="G28" s="1058" t="s">
        <v>6146</v>
      </c>
      <c r="H28" s="1058" t="s">
        <v>743</v>
      </c>
      <c r="I28" s="259">
        <v>2</v>
      </c>
      <c r="J28" s="259">
        <v>3</v>
      </c>
      <c r="K28" s="1198">
        <v>2</v>
      </c>
      <c r="L28" s="1198">
        <v>3</v>
      </c>
      <c r="M28" s="2">
        <v>11</v>
      </c>
      <c r="N28" s="2">
        <v>-4</v>
      </c>
      <c r="O28" s="2">
        <v>35</v>
      </c>
      <c r="P28" s="168">
        <v>0</v>
      </c>
      <c r="Q28" s="2">
        <v>0</v>
      </c>
      <c r="R28" s="2">
        <v>0</v>
      </c>
      <c r="S28" s="2">
        <v>0</v>
      </c>
      <c r="T28" s="2">
        <v>1</v>
      </c>
      <c r="U28" s="2">
        <v>2</v>
      </c>
      <c r="V28" s="242">
        <v>955</v>
      </c>
      <c r="W28" s="1058" t="s">
        <v>6120</v>
      </c>
      <c r="X28" s="1058" t="s">
        <v>6102</v>
      </c>
      <c r="Y28" s="1058" t="s">
        <v>6188</v>
      </c>
      <c r="AA28" s="1058" t="s">
        <v>4408</v>
      </c>
      <c r="AB28" s="168" t="s">
        <v>4433</v>
      </c>
      <c r="AC28" s="2" t="s">
        <v>4434</v>
      </c>
      <c r="AJ28" s="8" t="s">
        <v>4407</v>
      </c>
      <c r="AK28" s="8" t="s">
        <v>4406</v>
      </c>
    </row>
    <row r="29" spans="1:37" x14ac:dyDescent="0.3">
      <c r="A29" s="985" t="str">
        <f t="shared" si="0"/>
        <v>Sezóna 21/22</v>
      </c>
      <c r="B29" s="2">
        <v>27</v>
      </c>
      <c r="C29" s="2">
        <v>29</v>
      </c>
      <c r="D29" s="4">
        <v>44533</v>
      </c>
      <c r="E29" s="2" t="s">
        <v>626</v>
      </c>
      <c r="F29" s="2" t="s">
        <v>17</v>
      </c>
      <c r="G29" s="1058" t="s">
        <v>6211</v>
      </c>
      <c r="H29" s="1058" t="s">
        <v>743</v>
      </c>
      <c r="I29" s="259">
        <v>3</v>
      </c>
      <c r="J29" s="259">
        <v>4</v>
      </c>
      <c r="K29" s="1198">
        <v>3</v>
      </c>
      <c r="L29" s="1198">
        <v>4</v>
      </c>
      <c r="M29" s="2">
        <v>12</v>
      </c>
      <c r="N29" s="2">
        <v>-7</v>
      </c>
      <c r="O29" s="2">
        <v>35</v>
      </c>
      <c r="P29" s="168">
        <v>1</v>
      </c>
      <c r="Q29" s="2">
        <v>0</v>
      </c>
      <c r="R29" s="2">
        <v>0</v>
      </c>
      <c r="S29" s="2">
        <v>2</v>
      </c>
      <c r="T29" s="2">
        <v>4</v>
      </c>
      <c r="U29" s="2">
        <v>4</v>
      </c>
      <c r="V29" s="242">
        <v>1000</v>
      </c>
      <c r="W29" s="1058" t="s">
        <v>6189</v>
      </c>
      <c r="X29" s="1058" t="s">
        <v>6194</v>
      </c>
      <c r="Y29" s="1058" t="s">
        <v>6187</v>
      </c>
      <c r="AA29" s="1058" t="s">
        <v>4415</v>
      </c>
      <c r="AB29" s="168" t="s">
        <v>4435</v>
      </c>
      <c r="AC29" s="2" t="s">
        <v>4436</v>
      </c>
      <c r="AD29" s="2" t="s">
        <v>4437</v>
      </c>
      <c r="AK29" s="8" t="s">
        <v>4414</v>
      </c>
    </row>
    <row r="30" spans="1:37" s="191" customFormat="1" x14ac:dyDescent="0.3">
      <c r="A30" s="985" t="str">
        <f t="shared" si="0"/>
        <v>Sezóna 21/22</v>
      </c>
      <c r="B30" s="170">
        <v>28</v>
      </c>
      <c r="C30" s="170">
        <v>30</v>
      </c>
      <c r="D30" s="189">
        <v>44535</v>
      </c>
      <c r="E30" s="170" t="s">
        <v>6076</v>
      </c>
      <c r="F30" s="170" t="s">
        <v>16</v>
      </c>
      <c r="G30" s="1059" t="s">
        <v>6113</v>
      </c>
      <c r="H30" s="1059" t="s">
        <v>16</v>
      </c>
      <c r="I30" s="1091">
        <v>3</v>
      </c>
      <c r="J30" s="1091">
        <v>2</v>
      </c>
      <c r="K30" s="1199">
        <v>3</v>
      </c>
      <c r="L30" s="1199">
        <v>2</v>
      </c>
      <c r="M30" s="269">
        <v>11</v>
      </c>
      <c r="N30" s="269">
        <v>-4</v>
      </c>
      <c r="O30" s="269">
        <v>38</v>
      </c>
      <c r="P30" s="169">
        <v>0</v>
      </c>
      <c r="Q30" s="170">
        <v>0</v>
      </c>
      <c r="R30" s="170">
        <v>0</v>
      </c>
      <c r="S30" s="170">
        <v>0</v>
      </c>
      <c r="T30" s="170">
        <v>2</v>
      </c>
      <c r="U30" s="170">
        <v>7</v>
      </c>
      <c r="V30" s="171">
        <v>1000</v>
      </c>
      <c r="W30" s="1059" t="s">
        <v>6118</v>
      </c>
      <c r="X30" s="1059" t="s">
        <v>6188</v>
      </c>
      <c r="Y30" s="1059" t="s">
        <v>6187</v>
      </c>
      <c r="Z30" s="1059"/>
      <c r="AA30" s="1059" t="s">
        <v>4210</v>
      </c>
      <c r="AB30" s="169" t="s">
        <v>4438</v>
      </c>
      <c r="AC30" s="170" t="s">
        <v>4439</v>
      </c>
      <c r="AD30" s="170" t="s">
        <v>4440</v>
      </c>
      <c r="AE30" s="170"/>
      <c r="AF30" s="170"/>
      <c r="AG30" s="170"/>
      <c r="AH30" s="170"/>
      <c r="AI30" s="171"/>
      <c r="AJ30" s="268"/>
      <c r="AK30" s="268" t="s">
        <v>4417</v>
      </c>
    </row>
    <row r="31" spans="1:37" x14ac:dyDescent="0.3">
      <c r="A31" s="985" t="str">
        <f t="shared" si="0"/>
        <v>Sezóna 21/22</v>
      </c>
      <c r="B31" s="2">
        <v>29</v>
      </c>
      <c r="C31" s="2">
        <v>31</v>
      </c>
      <c r="D31" s="4">
        <v>44540</v>
      </c>
      <c r="E31" s="2" t="s">
        <v>326</v>
      </c>
      <c r="F31" s="2" t="s">
        <v>16</v>
      </c>
      <c r="G31" s="1058" t="s">
        <v>6128</v>
      </c>
      <c r="H31" s="1058" t="s">
        <v>743</v>
      </c>
      <c r="I31" s="259">
        <v>1</v>
      </c>
      <c r="J31" s="259">
        <v>4</v>
      </c>
      <c r="K31" s="1198">
        <v>1</v>
      </c>
      <c r="L31" s="1198">
        <v>3</v>
      </c>
      <c r="M31" s="2">
        <v>12</v>
      </c>
      <c r="N31" s="2">
        <v>-4</v>
      </c>
      <c r="O31" s="2">
        <v>38</v>
      </c>
      <c r="P31" s="168">
        <v>0</v>
      </c>
      <c r="Q31" s="2">
        <v>0</v>
      </c>
      <c r="R31" s="2">
        <v>0</v>
      </c>
      <c r="S31" s="2">
        <v>1</v>
      </c>
      <c r="T31" s="2">
        <v>0</v>
      </c>
      <c r="U31" s="2">
        <v>2</v>
      </c>
      <c r="V31" s="242">
        <v>1000</v>
      </c>
      <c r="W31" s="1058" t="s">
        <v>6171</v>
      </c>
      <c r="X31" s="1058" t="s">
        <v>6120</v>
      </c>
      <c r="Y31" s="1058" t="s">
        <v>6171</v>
      </c>
      <c r="AA31" s="1058" t="s">
        <v>4444</v>
      </c>
      <c r="AB31" s="168" t="s">
        <v>4443</v>
      </c>
      <c r="AK31" s="8" t="s">
        <v>4442</v>
      </c>
    </row>
    <row r="32" spans="1:37" x14ac:dyDescent="0.3">
      <c r="A32" s="985" t="str">
        <f t="shared" si="0"/>
        <v>Sezóna 21/22</v>
      </c>
      <c r="B32" s="2">
        <v>30</v>
      </c>
      <c r="C32" s="2">
        <v>32</v>
      </c>
      <c r="D32" s="4">
        <v>44542</v>
      </c>
      <c r="E32" s="2" t="s">
        <v>610</v>
      </c>
      <c r="F32" s="2" t="s">
        <v>17</v>
      </c>
      <c r="G32" s="1058" t="s">
        <v>6089</v>
      </c>
      <c r="H32" s="1058" t="s">
        <v>16</v>
      </c>
      <c r="I32" s="259">
        <v>2</v>
      </c>
      <c r="J32" s="259">
        <v>0</v>
      </c>
      <c r="K32" s="1198">
        <v>2</v>
      </c>
      <c r="L32" s="1198">
        <v>0</v>
      </c>
      <c r="M32" s="2">
        <v>11</v>
      </c>
      <c r="N32" s="2">
        <v>-4</v>
      </c>
      <c r="O32" s="2">
        <v>41</v>
      </c>
      <c r="P32" s="168">
        <v>0</v>
      </c>
      <c r="Q32" s="2">
        <v>1</v>
      </c>
      <c r="R32" s="2">
        <v>0</v>
      </c>
      <c r="S32" s="2">
        <v>0</v>
      </c>
      <c r="T32" s="2">
        <v>5</v>
      </c>
      <c r="U32" s="2">
        <v>4</v>
      </c>
      <c r="V32" s="242">
        <v>1000</v>
      </c>
      <c r="W32" s="1058" t="s">
        <v>6120</v>
      </c>
      <c r="X32" s="1058" t="s">
        <v>6188</v>
      </c>
      <c r="Y32" s="1058" t="s">
        <v>6120</v>
      </c>
      <c r="AA32" s="1058" t="s">
        <v>6089</v>
      </c>
      <c r="AB32" s="168" t="s">
        <v>4460</v>
      </c>
      <c r="AC32" s="2" t="s">
        <v>4461</v>
      </c>
      <c r="AJ32" s="8" t="s">
        <v>4445</v>
      </c>
      <c r="AK32" s="8" t="s">
        <v>4441</v>
      </c>
    </row>
    <row r="33" spans="1:37" x14ac:dyDescent="0.3">
      <c r="A33" s="985" t="str">
        <f t="shared" si="0"/>
        <v>Sezóna 21/22</v>
      </c>
      <c r="B33" s="2">
        <v>31</v>
      </c>
      <c r="C33" s="2">
        <v>33</v>
      </c>
      <c r="D33" s="4">
        <v>44551</v>
      </c>
      <c r="E33" s="2" t="s">
        <v>334</v>
      </c>
      <c r="F33" s="2" t="s">
        <v>16</v>
      </c>
      <c r="G33" s="1058" t="s">
        <v>6102</v>
      </c>
      <c r="H33" s="1058" t="s">
        <v>743</v>
      </c>
      <c r="I33" s="259">
        <v>1</v>
      </c>
      <c r="J33" s="259">
        <v>3</v>
      </c>
      <c r="K33" s="1198">
        <v>1</v>
      </c>
      <c r="L33" s="1198">
        <v>2</v>
      </c>
      <c r="M33" s="2">
        <v>12</v>
      </c>
      <c r="N33" s="2">
        <v>-4</v>
      </c>
      <c r="O33" s="2">
        <v>41</v>
      </c>
      <c r="P33" s="168">
        <v>0</v>
      </c>
      <c r="Q33" s="2">
        <v>0</v>
      </c>
      <c r="R33" s="2">
        <v>0</v>
      </c>
      <c r="S33" s="2">
        <v>1</v>
      </c>
      <c r="T33" s="2">
        <v>3</v>
      </c>
      <c r="U33" s="2">
        <v>4</v>
      </c>
      <c r="V33" s="242">
        <v>1000</v>
      </c>
      <c r="W33" s="1058" t="s">
        <v>6120</v>
      </c>
      <c r="X33" s="1058" t="s">
        <v>6189</v>
      </c>
      <c r="Y33" s="1058" t="s">
        <v>6171</v>
      </c>
      <c r="AA33" s="1058" t="s">
        <v>3601</v>
      </c>
      <c r="AB33" s="168" t="s">
        <v>4462</v>
      </c>
      <c r="AK33" s="8" t="s">
        <v>4447</v>
      </c>
    </row>
    <row r="34" spans="1:37" x14ac:dyDescent="0.3">
      <c r="A34" s="985" t="str">
        <f t="shared" si="0"/>
        <v>Sezóna 21/22</v>
      </c>
      <c r="B34" s="2">
        <v>32</v>
      </c>
      <c r="C34" s="2">
        <v>35</v>
      </c>
      <c r="D34" s="4">
        <v>44556</v>
      </c>
      <c r="E34" s="2" t="s">
        <v>332</v>
      </c>
      <c r="F34" s="2" t="s">
        <v>16</v>
      </c>
      <c r="G34" s="1058" t="s">
        <v>171</v>
      </c>
      <c r="H34" s="1058" t="s">
        <v>794</v>
      </c>
      <c r="I34" s="259">
        <v>2</v>
      </c>
      <c r="J34" s="259">
        <v>3</v>
      </c>
      <c r="K34" s="1198">
        <v>2</v>
      </c>
      <c r="L34" s="1198">
        <v>2</v>
      </c>
      <c r="M34" s="2">
        <v>12</v>
      </c>
      <c r="N34" s="2">
        <v>-3</v>
      </c>
      <c r="O34" s="2">
        <v>42</v>
      </c>
      <c r="P34" s="168">
        <v>1</v>
      </c>
      <c r="Q34" s="2">
        <v>0</v>
      </c>
      <c r="R34" s="2">
        <v>0</v>
      </c>
      <c r="S34" s="2">
        <v>1</v>
      </c>
      <c r="T34" s="2">
        <v>6</v>
      </c>
      <c r="U34" s="2">
        <v>5</v>
      </c>
      <c r="V34" s="242">
        <v>1000</v>
      </c>
      <c r="W34" s="1058" t="s">
        <v>6188</v>
      </c>
      <c r="X34" s="1058" t="s">
        <v>6187</v>
      </c>
      <c r="Y34" s="1058" t="s">
        <v>6187</v>
      </c>
      <c r="Z34" s="1058" t="s">
        <v>3213</v>
      </c>
      <c r="AA34" s="1058" t="s">
        <v>4448</v>
      </c>
      <c r="AB34" s="168" t="s">
        <v>4463</v>
      </c>
      <c r="AC34" s="2" t="s">
        <v>4464</v>
      </c>
      <c r="AK34" s="8" t="s">
        <v>4451</v>
      </c>
    </row>
    <row r="35" spans="1:37" x14ac:dyDescent="0.3">
      <c r="A35" s="985" t="str">
        <f t="shared" si="0"/>
        <v>Sezóna 21/22</v>
      </c>
      <c r="B35" s="2">
        <v>33</v>
      </c>
      <c r="C35" s="2">
        <v>36</v>
      </c>
      <c r="D35" s="4">
        <v>44558</v>
      </c>
      <c r="E35" s="2" t="s">
        <v>327</v>
      </c>
      <c r="F35" s="425" t="s">
        <v>17</v>
      </c>
      <c r="G35" s="1058" t="s">
        <v>6084</v>
      </c>
      <c r="H35" s="1058" t="s">
        <v>743</v>
      </c>
      <c r="I35" s="259">
        <v>1</v>
      </c>
      <c r="J35" s="259">
        <v>5</v>
      </c>
      <c r="K35" s="1198">
        <v>1</v>
      </c>
      <c r="L35" s="1198">
        <v>4</v>
      </c>
      <c r="M35" s="2">
        <v>12</v>
      </c>
      <c r="N35" s="2">
        <v>-6</v>
      </c>
      <c r="O35" s="2">
        <v>42</v>
      </c>
      <c r="P35" s="168">
        <v>1</v>
      </c>
      <c r="Q35" s="2">
        <v>0</v>
      </c>
      <c r="R35" s="2">
        <v>0</v>
      </c>
      <c r="S35" s="2">
        <v>2</v>
      </c>
      <c r="T35" s="2">
        <v>3</v>
      </c>
      <c r="U35" s="2">
        <v>5</v>
      </c>
      <c r="V35" s="242">
        <v>1000</v>
      </c>
      <c r="W35" s="1058" t="s">
        <v>6171</v>
      </c>
      <c r="X35" s="1058" t="s">
        <v>6188</v>
      </c>
      <c r="Y35" s="1058" t="s">
        <v>6102</v>
      </c>
      <c r="AA35" s="1058" t="s">
        <v>4449</v>
      </c>
      <c r="AB35" s="168" t="s">
        <v>4465</v>
      </c>
      <c r="AK35" s="8" t="s">
        <v>4451</v>
      </c>
    </row>
    <row r="36" spans="1:37" x14ac:dyDescent="0.3">
      <c r="A36" s="985" t="str">
        <f t="shared" si="0"/>
        <v>Sezóna 21/22</v>
      </c>
      <c r="B36" s="2">
        <v>34</v>
      </c>
      <c r="C36" s="2">
        <v>47</v>
      </c>
      <c r="D36" s="4">
        <v>44560</v>
      </c>
      <c r="E36" s="2" t="s">
        <v>610</v>
      </c>
      <c r="F36" s="2" t="s">
        <v>16</v>
      </c>
      <c r="G36" s="1058" t="s">
        <v>6113</v>
      </c>
      <c r="H36" s="1058" t="s">
        <v>16</v>
      </c>
      <c r="I36" s="259">
        <v>3</v>
      </c>
      <c r="J36" s="259">
        <v>2</v>
      </c>
      <c r="K36" s="1198">
        <v>3</v>
      </c>
      <c r="L36" s="1198">
        <v>2</v>
      </c>
      <c r="M36" s="2">
        <v>12</v>
      </c>
      <c r="N36" s="2">
        <v>-3</v>
      </c>
      <c r="O36" s="2">
        <v>45</v>
      </c>
      <c r="P36" s="168">
        <v>2</v>
      </c>
      <c r="Q36" s="2">
        <v>0</v>
      </c>
      <c r="R36" s="2">
        <v>0</v>
      </c>
      <c r="S36" s="2">
        <v>1</v>
      </c>
      <c r="T36" s="2">
        <v>4</v>
      </c>
      <c r="U36" s="2">
        <v>7</v>
      </c>
      <c r="V36" s="242">
        <v>1000</v>
      </c>
      <c r="W36" s="1058" t="s">
        <v>6089</v>
      </c>
      <c r="X36" s="1058" t="s">
        <v>6097</v>
      </c>
      <c r="Y36" s="1058" t="s">
        <v>6188</v>
      </c>
      <c r="AA36" s="1058" t="s">
        <v>4210</v>
      </c>
      <c r="AB36" s="168" t="s">
        <v>4466</v>
      </c>
      <c r="AC36" s="2" t="s">
        <v>4467</v>
      </c>
      <c r="AD36" s="2" t="s">
        <v>4468</v>
      </c>
      <c r="AK36" s="8" t="s">
        <v>4452</v>
      </c>
    </row>
    <row r="37" spans="1:37" x14ac:dyDescent="0.3">
      <c r="A37" s="985" t="str">
        <f t="shared" si="0"/>
        <v>Sezóna 21/22</v>
      </c>
      <c r="B37" s="2">
        <v>35</v>
      </c>
      <c r="C37" s="2">
        <v>38</v>
      </c>
      <c r="D37" s="4">
        <v>44565</v>
      </c>
      <c r="E37" s="2" t="s">
        <v>331</v>
      </c>
      <c r="F37" s="2" t="s">
        <v>17</v>
      </c>
      <c r="G37" s="1058" t="s">
        <v>164</v>
      </c>
      <c r="H37" s="1058" t="s">
        <v>793</v>
      </c>
      <c r="I37" s="259">
        <v>4</v>
      </c>
      <c r="J37" s="259">
        <v>3</v>
      </c>
      <c r="K37" s="1198">
        <v>3</v>
      </c>
      <c r="L37" s="1198">
        <v>3</v>
      </c>
      <c r="M37" s="2">
        <v>12</v>
      </c>
      <c r="N37" s="2">
        <v>-4</v>
      </c>
      <c r="O37" s="2">
        <v>47</v>
      </c>
      <c r="P37" s="168">
        <v>1</v>
      </c>
      <c r="Q37" s="2">
        <v>0</v>
      </c>
      <c r="R37" s="2">
        <v>0</v>
      </c>
      <c r="S37" s="2">
        <v>0</v>
      </c>
      <c r="T37" s="2">
        <v>5</v>
      </c>
      <c r="U37" s="2">
        <v>3</v>
      </c>
      <c r="V37" s="242">
        <v>1000</v>
      </c>
      <c r="W37" s="1058" t="s">
        <v>6187</v>
      </c>
      <c r="X37" s="1058" t="s">
        <v>6097</v>
      </c>
      <c r="Y37" s="1058" t="s">
        <v>6120</v>
      </c>
      <c r="Z37" s="1058" t="s">
        <v>756</v>
      </c>
      <c r="AA37" s="1058" t="s">
        <v>4450</v>
      </c>
      <c r="AB37" s="168" t="s">
        <v>4469</v>
      </c>
      <c r="AC37" s="2" t="s">
        <v>4470</v>
      </c>
      <c r="AD37" s="2" t="s">
        <v>4471</v>
      </c>
      <c r="AE37" s="2" t="s">
        <v>4472</v>
      </c>
      <c r="AK37" s="8" t="s">
        <v>4453</v>
      </c>
    </row>
    <row r="38" spans="1:37" x14ac:dyDescent="0.3">
      <c r="A38" s="985" t="str">
        <f t="shared" si="0"/>
        <v>Sezóna 21/22</v>
      </c>
      <c r="B38" s="2">
        <v>36</v>
      </c>
      <c r="C38" s="2">
        <v>39</v>
      </c>
      <c r="D38" s="4">
        <v>44568</v>
      </c>
      <c r="E38" s="2" t="s">
        <v>6086</v>
      </c>
      <c r="F38" s="2" t="s">
        <v>16</v>
      </c>
      <c r="G38" s="1058" t="s">
        <v>6211</v>
      </c>
      <c r="H38" s="1058" t="s">
        <v>743</v>
      </c>
      <c r="I38" s="259">
        <v>3</v>
      </c>
      <c r="J38" s="259">
        <v>4</v>
      </c>
      <c r="K38" s="1198">
        <v>3</v>
      </c>
      <c r="L38" s="1198">
        <v>4</v>
      </c>
      <c r="M38" s="2">
        <v>12</v>
      </c>
      <c r="N38" s="2">
        <v>-4</v>
      </c>
      <c r="O38" s="2">
        <v>47</v>
      </c>
      <c r="P38" s="168">
        <v>0</v>
      </c>
      <c r="Q38" s="2">
        <v>2</v>
      </c>
      <c r="R38" s="2">
        <v>0</v>
      </c>
      <c r="S38" s="2">
        <v>0</v>
      </c>
      <c r="T38" s="2">
        <v>2</v>
      </c>
      <c r="U38" s="2">
        <v>5</v>
      </c>
      <c r="V38" s="242">
        <v>1000</v>
      </c>
      <c r="W38" s="1058" t="s">
        <v>6120</v>
      </c>
      <c r="X38" s="1058" t="s">
        <v>6102</v>
      </c>
      <c r="Y38" s="1058" t="s">
        <v>6187</v>
      </c>
      <c r="AA38" s="1058" t="s">
        <v>4454</v>
      </c>
      <c r="AB38" s="168" t="s">
        <v>4473</v>
      </c>
      <c r="AC38" s="2" t="s">
        <v>4474</v>
      </c>
      <c r="AD38" s="2" t="s">
        <v>4475</v>
      </c>
      <c r="AK38" s="8" t="s">
        <v>4455</v>
      </c>
    </row>
    <row r="39" spans="1:37" x14ac:dyDescent="0.3">
      <c r="A39" s="985" t="str">
        <f t="shared" si="0"/>
        <v>Sezóna 21/22</v>
      </c>
      <c r="B39" s="2">
        <v>37</v>
      </c>
      <c r="C39" s="2">
        <v>40</v>
      </c>
      <c r="D39" s="4">
        <v>44570</v>
      </c>
      <c r="E39" s="2" t="s">
        <v>6179</v>
      </c>
      <c r="F39" s="2" t="s">
        <v>17</v>
      </c>
      <c r="G39" s="1058" t="s">
        <v>171</v>
      </c>
      <c r="H39" s="1058" t="s">
        <v>794</v>
      </c>
      <c r="I39" s="259">
        <v>2</v>
      </c>
      <c r="J39" s="259">
        <v>3</v>
      </c>
      <c r="K39" s="1198">
        <v>2</v>
      </c>
      <c r="L39" s="1198">
        <v>2</v>
      </c>
      <c r="M39" s="2">
        <v>12</v>
      </c>
      <c r="N39" s="2">
        <v>-6</v>
      </c>
      <c r="O39" s="2">
        <v>48</v>
      </c>
      <c r="P39" s="168">
        <v>0</v>
      </c>
      <c r="Q39" s="2">
        <v>1</v>
      </c>
      <c r="R39" s="2">
        <v>0</v>
      </c>
      <c r="S39" s="2">
        <v>0</v>
      </c>
      <c r="T39" s="2">
        <v>4</v>
      </c>
      <c r="U39" s="2">
        <v>2</v>
      </c>
      <c r="V39" s="242">
        <v>1000</v>
      </c>
      <c r="W39" s="1058" t="s">
        <v>6089</v>
      </c>
      <c r="X39" s="1058" t="s">
        <v>6189</v>
      </c>
      <c r="Y39" s="1058" t="s">
        <v>6189</v>
      </c>
      <c r="Z39" s="1058" t="s">
        <v>3213</v>
      </c>
      <c r="AA39" s="1058" t="s">
        <v>3465</v>
      </c>
      <c r="AB39" s="168" t="s">
        <v>4476</v>
      </c>
      <c r="AC39" s="2" t="s">
        <v>4477</v>
      </c>
      <c r="AK39" s="8" t="s">
        <v>4456</v>
      </c>
    </row>
    <row r="40" spans="1:37" x14ac:dyDescent="0.3">
      <c r="A40" s="985" t="str">
        <f t="shared" si="0"/>
        <v>Sezóna 21/22</v>
      </c>
      <c r="B40" s="2">
        <v>38</v>
      </c>
      <c r="C40" s="2">
        <v>42</v>
      </c>
      <c r="D40" s="4">
        <v>44577</v>
      </c>
      <c r="E40" s="2" t="s">
        <v>328</v>
      </c>
      <c r="F40" s="2" t="s">
        <v>16</v>
      </c>
      <c r="G40" s="1058" t="s">
        <v>6144</v>
      </c>
      <c r="H40" s="1058" t="s">
        <v>16</v>
      </c>
      <c r="I40" s="259">
        <v>6</v>
      </c>
      <c r="J40" s="259">
        <v>1</v>
      </c>
      <c r="K40" s="1198">
        <v>6</v>
      </c>
      <c r="L40" s="1198">
        <v>1</v>
      </c>
      <c r="M40" s="2">
        <v>12</v>
      </c>
      <c r="N40" s="2">
        <v>-3</v>
      </c>
      <c r="O40" s="2">
        <v>51</v>
      </c>
      <c r="P40" s="168">
        <v>0</v>
      </c>
      <c r="Q40" s="2">
        <v>0</v>
      </c>
      <c r="R40" s="2">
        <v>0</v>
      </c>
      <c r="S40" s="2">
        <v>1</v>
      </c>
      <c r="T40" s="2">
        <v>3</v>
      </c>
      <c r="U40" s="2">
        <v>5</v>
      </c>
      <c r="V40" s="242">
        <v>1000</v>
      </c>
      <c r="W40" s="1058" t="s">
        <v>6120</v>
      </c>
      <c r="X40" s="1058" t="s">
        <v>6120</v>
      </c>
      <c r="Y40" s="1058" t="s">
        <v>6148</v>
      </c>
      <c r="AA40" s="1058" t="s">
        <v>4459</v>
      </c>
      <c r="AB40" s="168" t="s">
        <v>4500</v>
      </c>
      <c r="AC40" s="2" t="s">
        <v>4501</v>
      </c>
      <c r="AD40" s="2" t="s">
        <v>4502</v>
      </c>
      <c r="AE40" s="2" t="s">
        <v>4503</v>
      </c>
      <c r="AF40" s="2" t="s">
        <v>4504</v>
      </c>
      <c r="AG40" s="2" t="s">
        <v>4505</v>
      </c>
      <c r="AK40" s="8" t="s">
        <v>4458</v>
      </c>
    </row>
    <row r="41" spans="1:37" x14ac:dyDescent="0.3">
      <c r="A41" s="985" t="str">
        <f t="shared" si="0"/>
        <v>Sezóna 21/22</v>
      </c>
      <c r="B41" s="2">
        <v>39</v>
      </c>
      <c r="C41" s="2">
        <v>37</v>
      </c>
      <c r="D41" s="4">
        <v>44586</v>
      </c>
      <c r="E41" s="2" t="s">
        <v>325</v>
      </c>
      <c r="F41" s="2" t="s">
        <v>16</v>
      </c>
      <c r="G41" s="1058" t="s">
        <v>6102</v>
      </c>
      <c r="H41" s="1058" t="s">
        <v>743</v>
      </c>
      <c r="I41" s="259">
        <v>1</v>
      </c>
      <c r="J41" s="259">
        <v>3</v>
      </c>
      <c r="K41" s="1198">
        <v>1</v>
      </c>
      <c r="L41" s="1198">
        <v>3</v>
      </c>
      <c r="M41" s="2">
        <v>12</v>
      </c>
      <c r="N41" s="2">
        <v>-3</v>
      </c>
      <c r="O41" s="2">
        <v>51</v>
      </c>
      <c r="P41" s="168">
        <v>0</v>
      </c>
      <c r="Q41" s="2">
        <v>0</v>
      </c>
      <c r="R41" s="2">
        <v>0</v>
      </c>
      <c r="S41" s="2">
        <v>0</v>
      </c>
      <c r="T41" s="2">
        <v>2</v>
      </c>
      <c r="U41" s="2">
        <v>5</v>
      </c>
      <c r="V41" s="242">
        <v>1000</v>
      </c>
      <c r="W41" s="1058" t="s">
        <v>6188</v>
      </c>
      <c r="X41" s="1058" t="s">
        <v>6187</v>
      </c>
      <c r="Y41" s="1058" t="s">
        <v>6171</v>
      </c>
      <c r="AA41" s="1058" t="s">
        <v>3601</v>
      </c>
      <c r="AB41" s="168" t="s">
        <v>4506</v>
      </c>
      <c r="AJ41" s="8" t="s">
        <v>4507</v>
      </c>
      <c r="AK41" s="8" t="s">
        <v>4480</v>
      </c>
    </row>
    <row r="42" spans="1:37" x14ac:dyDescent="0.3">
      <c r="A42" s="985" t="str">
        <f t="shared" si="0"/>
        <v>Sezóna 21/22</v>
      </c>
      <c r="B42" s="2">
        <v>40</v>
      </c>
      <c r="C42" s="2">
        <v>46</v>
      </c>
      <c r="D42" s="4">
        <v>44589</v>
      </c>
      <c r="E42" s="2" t="s">
        <v>326</v>
      </c>
      <c r="F42" s="2" t="s">
        <v>17</v>
      </c>
      <c r="G42" s="1058" t="s">
        <v>163</v>
      </c>
      <c r="H42" s="1058" t="s">
        <v>794</v>
      </c>
      <c r="I42" s="259">
        <v>3</v>
      </c>
      <c r="J42" s="259">
        <v>4</v>
      </c>
      <c r="K42" s="1198">
        <v>3</v>
      </c>
      <c r="L42" s="1198">
        <v>3</v>
      </c>
      <c r="M42" s="2">
        <v>13</v>
      </c>
      <c r="N42" s="2">
        <v>-5</v>
      </c>
      <c r="O42" s="2">
        <v>52</v>
      </c>
      <c r="P42" s="168">
        <v>0</v>
      </c>
      <c r="Q42" s="2">
        <v>0</v>
      </c>
      <c r="R42" s="2">
        <v>0</v>
      </c>
      <c r="S42" s="2">
        <v>0</v>
      </c>
      <c r="T42" s="2">
        <v>3</v>
      </c>
      <c r="U42" s="2">
        <v>1</v>
      </c>
      <c r="V42" s="242">
        <v>1000</v>
      </c>
      <c r="W42" s="1058" t="s">
        <v>6089</v>
      </c>
      <c r="X42" s="1058" t="s">
        <v>6189</v>
      </c>
      <c r="Y42" s="1058" t="s">
        <v>6097</v>
      </c>
      <c r="Z42" s="1058" t="s">
        <v>3213</v>
      </c>
      <c r="AA42" s="1058" t="s">
        <v>4126</v>
      </c>
      <c r="AB42" s="168" t="s">
        <v>4508</v>
      </c>
      <c r="AC42" s="2" t="s">
        <v>4509</v>
      </c>
      <c r="AD42" s="2" t="s">
        <v>4510</v>
      </c>
      <c r="AK42" s="8" t="s">
        <v>4494</v>
      </c>
    </row>
    <row r="43" spans="1:37" x14ac:dyDescent="0.3">
      <c r="A43" s="985" t="str">
        <f t="shared" si="0"/>
        <v>Sezóna 21/22</v>
      </c>
      <c r="B43" s="2">
        <v>41</v>
      </c>
      <c r="C43" s="2">
        <v>50</v>
      </c>
      <c r="D43" s="4">
        <v>44591</v>
      </c>
      <c r="E43" s="2" t="s">
        <v>332</v>
      </c>
      <c r="F43" s="2" t="s">
        <v>17</v>
      </c>
      <c r="G43" s="1058" t="s">
        <v>6104</v>
      </c>
      <c r="H43" s="1058" t="s">
        <v>743</v>
      </c>
      <c r="I43" s="259">
        <v>2</v>
      </c>
      <c r="J43" s="259">
        <v>5</v>
      </c>
      <c r="K43" s="1198">
        <v>2</v>
      </c>
      <c r="L43" s="1198">
        <v>4</v>
      </c>
      <c r="M43" s="2">
        <v>13</v>
      </c>
      <c r="N43" s="2">
        <v>-8</v>
      </c>
      <c r="O43" s="2">
        <v>52</v>
      </c>
      <c r="P43" s="168">
        <v>0</v>
      </c>
      <c r="Q43" s="2">
        <v>0</v>
      </c>
      <c r="R43" s="2">
        <v>0</v>
      </c>
      <c r="S43" s="2">
        <v>1</v>
      </c>
      <c r="T43" s="2">
        <v>4</v>
      </c>
      <c r="U43" s="2">
        <v>4</v>
      </c>
      <c r="V43" s="242">
        <v>1000</v>
      </c>
      <c r="W43" s="1058" t="s">
        <v>6079</v>
      </c>
      <c r="X43" s="1058" t="s">
        <v>6120</v>
      </c>
      <c r="Y43" s="1058" t="s">
        <v>6097</v>
      </c>
      <c r="AA43" s="1058" t="s">
        <v>4493</v>
      </c>
      <c r="AB43" s="168" t="s">
        <v>4496</v>
      </c>
      <c r="AC43" s="2" t="s">
        <v>4497</v>
      </c>
      <c r="AK43" s="8" t="s">
        <v>4495</v>
      </c>
    </row>
    <row r="44" spans="1:37" s="191" customFormat="1" x14ac:dyDescent="0.3">
      <c r="A44" s="985" t="str">
        <f t="shared" si="0"/>
        <v>Sezóna 21/22</v>
      </c>
      <c r="B44" s="170">
        <v>42</v>
      </c>
      <c r="C44" s="170">
        <v>48</v>
      </c>
      <c r="D44" s="189">
        <v>44593</v>
      </c>
      <c r="E44" s="170" t="s">
        <v>334</v>
      </c>
      <c r="F44" s="170" t="s">
        <v>17</v>
      </c>
      <c r="G44" s="1059" t="s">
        <v>6210</v>
      </c>
      <c r="H44" s="1059" t="s">
        <v>743</v>
      </c>
      <c r="I44" s="1091">
        <v>2</v>
      </c>
      <c r="J44" s="1091">
        <v>6</v>
      </c>
      <c r="K44" s="1199">
        <v>2</v>
      </c>
      <c r="L44" s="1199">
        <v>6</v>
      </c>
      <c r="M44" s="269">
        <v>13</v>
      </c>
      <c r="N44" s="269">
        <v>-11</v>
      </c>
      <c r="O44" s="269">
        <v>52</v>
      </c>
      <c r="P44" s="169">
        <v>0</v>
      </c>
      <c r="Q44" s="170">
        <v>0</v>
      </c>
      <c r="R44" s="170">
        <v>0</v>
      </c>
      <c r="S44" s="170">
        <v>1</v>
      </c>
      <c r="T44" s="170">
        <v>4</v>
      </c>
      <c r="U44" s="170">
        <v>2</v>
      </c>
      <c r="V44" s="171">
        <v>1000</v>
      </c>
      <c r="W44" s="1059" t="s">
        <v>6187</v>
      </c>
      <c r="X44" s="1059" t="s">
        <v>6097</v>
      </c>
      <c r="Y44" s="1059" t="s">
        <v>6079</v>
      </c>
      <c r="Z44" s="1059"/>
      <c r="AA44" s="1059" t="s">
        <v>4498</v>
      </c>
      <c r="AB44" s="169" t="s">
        <v>4520</v>
      </c>
      <c r="AC44" s="170" t="s">
        <v>4521</v>
      </c>
      <c r="AD44" s="170"/>
      <c r="AE44" s="170"/>
      <c r="AF44" s="170"/>
      <c r="AG44" s="170"/>
      <c r="AH44" s="170"/>
      <c r="AI44" s="171"/>
      <c r="AJ44" s="268"/>
      <c r="AK44" s="191" t="s">
        <v>4499</v>
      </c>
    </row>
    <row r="45" spans="1:37" x14ac:dyDescent="0.3">
      <c r="A45" s="985" t="str">
        <f t="shared" si="0"/>
        <v>Sezóna 21/22</v>
      </c>
      <c r="B45" s="2">
        <v>43</v>
      </c>
      <c r="C45" s="2">
        <v>51</v>
      </c>
      <c r="D45" s="4">
        <v>44595</v>
      </c>
      <c r="E45" s="2" t="s">
        <v>327</v>
      </c>
      <c r="F45" s="2" t="s">
        <v>16</v>
      </c>
      <c r="G45" s="1058" t="s">
        <v>590</v>
      </c>
      <c r="H45" s="1058" t="s">
        <v>794</v>
      </c>
      <c r="I45" s="259">
        <v>5</v>
      </c>
      <c r="J45" s="259">
        <v>6</v>
      </c>
      <c r="K45" s="1198">
        <v>5</v>
      </c>
      <c r="L45" s="1198">
        <v>5</v>
      </c>
      <c r="M45" s="2">
        <v>13</v>
      </c>
      <c r="N45" s="2">
        <v>-10</v>
      </c>
      <c r="O45" s="2">
        <v>53</v>
      </c>
      <c r="P45" s="168">
        <v>1</v>
      </c>
      <c r="Q45" s="2">
        <v>0</v>
      </c>
      <c r="R45" s="2">
        <v>0</v>
      </c>
      <c r="S45" s="2">
        <v>1</v>
      </c>
      <c r="T45" s="2">
        <v>2</v>
      </c>
      <c r="U45" s="2">
        <v>3</v>
      </c>
      <c r="V45" s="242">
        <v>1000</v>
      </c>
      <c r="W45" s="1058" t="s">
        <v>6118</v>
      </c>
      <c r="X45" s="1058" t="s">
        <v>6194</v>
      </c>
      <c r="Y45" s="1058" t="s">
        <v>6097</v>
      </c>
      <c r="Z45" s="1058" t="s">
        <v>3213</v>
      </c>
      <c r="AA45" s="1058" t="s">
        <v>4512</v>
      </c>
      <c r="AB45" s="168" t="s">
        <v>4522</v>
      </c>
      <c r="AC45" s="2" t="s">
        <v>4523</v>
      </c>
      <c r="AD45" s="2" t="s">
        <v>4524</v>
      </c>
      <c r="AE45" s="2" t="s">
        <v>4525</v>
      </c>
      <c r="AF45" s="2" t="s">
        <v>4526</v>
      </c>
      <c r="AK45" s="636" t="s">
        <v>4511</v>
      </c>
    </row>
    <row r="46" spans="1:37" x14ac:dyDescent="0.3">
      <c r="A46" s="985" t="str">
        <f t="shared" si="0"/>
        <v>Sezóna 21/22</v>
      </c>
      <c r="B46" s="2">
        <v>44</v>
      </c>
      <c r="C46" s="2">
        <v>45</v>
      </c>
      <c r="D46" s="4">
        <v>44598</v>
      </c>
      <c r="E46" s="2" t="s">
        <v>6076</v>
      </c>
      <c r="F46" s="2" t="s">
        <v>17</v>
      </c>
      <c r="G46" s="1058" t="s">
        <v>164</v>
      </c>
      <c r="H46" s="1058" t="s">
        <v>793</v>
      </c>
      <c r="I46" s="259">
        <v>4</v>
      </c>
      <c r="J46" s="259">
        <v>3</v>
      </c>
      <c r="K46" s="1198">
        <v>3</v>
      </c>
      <c r="L46" s="1198">
        <v>3</v>
      </c>
      <c r="M46" s="2">
        <v>13</v>
      </c>
      <c r="N46" s="2">
        <v>-11</v>
      </c>
      <c r="O46" s="2">
        <v>55</v>
      </c>
      <c r="P46" s="168">
        <v>0</v>
      </c>
      <c r="Q46" s="2">
        <v>0</v>
      </c>
      <c r="R46" s="2">
        <v>0</v>
      </c>
      <c r="S46" s="2">
        <v>0</v>
      </c>
      <c r="T46" s="2">
        <v>3</v>
      </c>
      <c r="U46" s="2">
        <v>3</v>
      </c>
      <c r="V46" s="242">
        <v>1000</v>
      </c>
      <c r="W46" s="1058" t="s">
        <v>6171</v>
      </c>
      <c r="X46" s="1058" t="s">
        <v>6089</v>
      </c>
      <c r="Y46" s="1058" t="s">
        <v>6187</v>
      </c>
      <c r="Z46" s="1058" t="s">
        <v>756</v>
      </c>
      <c r="AA46" s="1058" t="s">
        <v>4514</v>
      </c>
      <c r="AB46" s="168" t="s">
        <v>4527</v>
      </c>
      <c r="AC46" s="2" t="s">
        <v>4528</v>
      </c>
      <c r="AD46" s="2" t="s">
        <v>4529</v>
      </c>
      <c r="AE46" s="2" t="s">
        <v>4530</v>
      </c>
      <c r="AK46" s="8" t="s">
        <v>4513</v>
      </c>
    </row>
    <row r="47" spans="1:37" x14ac:dyDescent="0.3">
      <c r="A47" s="985" t="str">
        <f t="shared" si="0"/>
        <v>Sezóna 21/22</v>
      </c>
      <c r="B47" s="2">
        <v>45</v>
      </c>
      <c r="C47" s="2">
        <v>44</v>
      </c>
      <c r="D47" s="4">
        <v>44600</v>
      </c>
      <c r="E47" s="2" t="s">
        <v>626</v>
      </c>
      <c r="F47" s="2" t="s">
        <v>16</v>
      </c>
      <c r="G47" s="1058" t="s">
        <v>6128</v>
      </c>
      <c r="H47" s="1058" t="s">
        <v>743</v>
      </c>
      <c r="I47" s="259">
        <v>1</v>
      </c>
      <c r="J47" s="259">
        <v>4</v>
      </c>
      <c r="K47" s="1198">
        <v>1</v>
      </c>
      <c r="L47" s="1198">
        <v>4</v>
      </c>
      <c r="M47" s="2">
        <v>13</v>
      </c>
      <c r="N47" s="2">
        <v>-11</v>
      </c>
      <c r="O47" s="2">
        <v>55</v>
      </c>
      <c r="P47" s="168">
        <v>0</v>
      </c>
      <c r="Q47" s="2">
        <v>0</v>
      </c>
      <c r="R47" s="2">
        <v>0</v>
      </c>
      <c r="S47" s="2">
        <v>2</v>
      </c>
      <c r="T47" s="2">
        <v>3</v>
      </c>
      <c r="U47" s="2">
        <v>6</v>
      </c>
      <c r="V47" s="242">
        <v>1000</v>
      </c>
      <c r="W47" s="1058" t="s">
        <v>6120</v>
      </c>
      <c r="X47" s="1058" t="s">
        <v>6171</v>
      </c>
      <c r="Y47" s="1058" t="s">
        <v>6171</v>
      </c>
      <c r="AA47" s="1058" t="s">
        <v>4516</v>
      </c>
      <c r="AB47" s="168" t="s">
        <v>4531</v>
      </c>
      <c r="AK47" s="8" t="s">
        <v>4515</v>
      </c>
    </row>
    <row r="48" spans="1:37" x14ac:dyDescent="0.3">
      <c r="A48" s="985" t="str">
        <f t="shared" si="0"/>
        <v>Sezóna 21/22</v>
      </c>
      <c r="B48" s="2">
        <v>46</v>
      </c>
      <c r="C48" s="2">
        <v>41</v>
      </c>
      <c r="D48" s="4">
        <v>44603</v>
      </c>
      <c r="E48" s="2" t="s">
        <v>6091</v>
      </c>
      <c r="F48" s="2" t="s">
        <v>17</v>
      </c>
      <c r="G48" s="1058" t="s">
        <v>6211</v>
      </c>
      <c r="H48" s="1058" t="s">
        <v>743</v>
      </c>
      <c r="I48" s="259">
        <v>3</v>
      </c>
      <c r="J48" s="259">
        <v>4</v>
      </c>
      <c r="K48" s="1198">
        <v>3</v>
      </c>
      <c r="L48" s="1198">
        <v>4</v>
      </c>
      <c r="M48" s="2">
        <v>13</v>
      </c>
      <c r="N48" s="2">
        <v>-14</v>
      </c>
      <c r="O48" s="2">
        <v>55</v>
      </c>
      <c r="P48" s="168">
        <v>1</v>
      </c>
      <c r="Q48" s="2">
        <v>0</v>
      </c>
      <c r="R48" s="2">
        <v>0</v>
      </c>
      <c r="S48" s="2">
        <v>2</v>
      </c>
      <c r="T48" s="2">
        <v>3</v>
      </c>
      <c r="U48" s="2">
        <v>3</v>
      </c>
      <c r="V48" s="242">
        <v>1000</v>
      </c>
      <c r="W48" s="1058" t="s">
        <v>6120</v>
      </c>
      <c r="X48" s="1058" t="s">
        <v>6194</v>
      </c>
      <c r="Y48" s="1058" t="s">
        <v>6171</v>
      </c>
      <c r="AA48" s="1058" t="s">
        <v>4519</v>
      </c>
      <c r="AB48" s="168" t="s">
        <v>4582</v>
      </c>
      <c r="AC48" s="2" t="s">
        <v>4535</v>
      </c>
      <c r="AD48" s="2" t="s">
        <v>4536</v>
      </c>
      <c r="AK48" s="8" t="s">
        <v>4517</v>
      </c>
    </row>
    <row r="49" spans="1:37" x14ac:dyDescent="0.3">
      <c r="A49" s="985" t="str">
        <f t="shared" si="0"/>
        <v>Sezóna 21/22</v>
      </c>
      <c r="B49" s="2">
        <v>47</v>
      </c>
      <c r="C49" s="2">
        <v>52</v>
      </c>
      <c r="D49" s="4">
        <v>44605</v>
      </c>
      <c r="E49" s="2" t="s">
        <v>325</v>
      </c>
      <c r="F49" s="2" t="s">
        <v>17</v>
      </c>
      <c r="G49" s="1058" t="s">
        <v>6206</v>
      </c>
      <c r="H49" s="1058" t="s">
        <v>743</v>
      </c>
      <c r="I49" s="259">
        <v>0</v>
      </c>
      <c r="J49" s="259">
        <v>5</v>
      </c>
      <c r="K49" s="1198">
        <v>0</v>
      </c>
      <c r="L49" s="1198">
        <v>5</v>
      </c>
      <c r="M49" s="2">
        <v>13</v>
      </c>
      <c r="N49" s="2">
        <v>-17</v>
      </c>
      <c r="O49" s="2">
        <v>55</v>
      </c>
      <c r="P49" s="168">
        <v>0</v>
      </c>
      <c r="Q49" s="2">
        <v>0</v>
      </c>
      <c r="R49" s="2">
        <v>0</v>
      </c>
      <c r="S49" s="2">
        <v>0</v>
      </c>
      <c r="T49" s="2">
        <v>5</v>
      </c>
      <c r="U49" s="2">
        <v>3</v>
      </c>
      <c r="V49" s="242">
        <v>1000</v>
      </c>
      <c r="W49" s="1058" t="s">
        <v>6189</v>
      </c>
      <c r="X49" s="1058" t="s">
        <v>6189</v>
      </c>
      <c r="Y49" s="1058" t="s">
        <v>6079</v>
      </c>
      <c r="AA49" s="1058" t="s">
        <v>6206</v>
      </c>
      <c r="AB49" s="168" t="s">
        <v>515</v>
      </c>
      <c r="AK49" s="8" t="s">
        <v>4518</v>
      </c>
    </row>
    <row r="50" spans="1:37" x14ac:dyDescent="0.3">
      <c r="A50" s="985" t="str">
        <f t="shared" si="0"/>
        <v>Sezóna 21/22</v>
      </c>
      <c r="B50" s="2">
        <v>48</v>
      </c>
      <c r="C50" s="2">
        <v>53</v>
      </c>
      <c r="D50" s="4">
        <v>44610</v>
      </c>
      <c r="E50" s="2" t="s">
        <v>331</v>
      </c>
      <c r="F50" s="2" t="s">
        <v>16</v>
      </c>
      <c r="G50" s="1058" t="s">
        <v>163</v>
      </c>
      <c r="H50" s="1058" t="s">
        <v>794</v>
      </c>
      <c r="I50" s="259">
        <v>3</v>
      </c>
      <c r="J50" s="259">
        <v>4</v>
      </c>
      <c r="K50" s="1198">
        <v>3</v>
      </c>
      <c r="L50" s="1198">
        <v>3</v>
      </c>
      <c r="M50" s="2">
        <v>13</v>
      </c>
      <c r="N50" s="2">
        <v>-16</v>
      </c>
      <c r="O50" s="2">
        <v>56</v>
      </c>
      <c r="P50" s="168">
        <v>1</v>
      </c>
      <c r="Q50" s="2">
        <v>0</v>
      </c>
      <c r="R50" s="2">
        <v>0</v>
      </c>
      <c r="S50" s="2">
        <v>1</v>
      </c>
      <c r="T50" s="2">
        <v>4</v>
      </c>
      <c r="U50" s="2">
        <v>3</v>
      </c>
      <c r="V50" s="242">
        <v>1000</v>
      </c>
      <c r="W50" s="1058" t="s">
        <v>6097</v>
      </c>
      <c r="X50" s="1058" t="s">
        <v>6188</v>
      </c>
      <c r="Y50" s="1058" t="s">
        <v>6118</v>
      </c>
      <c r="Z50" s="1058" t="s">
        <v>3213</v>
      </c>
      <c r="AA50" s="1058" t="s">
        <v>4532</v>
      </c>
      <c r="AB50" s="168" t="s">
        <v>4537</v>
      </c>
      <c r="AC50" s="2" t="s">
        <v>4538</v>
      </c>
      <c r="AD50" s="2" t="s">
        <v>4539</v>
      </c>
      <c r="AK50" s="8" t="s">
        <v>4533</v>
      </c>
    </row>
    <row r="51" spans="1:37" x14ac:dyDescent="0.3">
      <c r="A51" s="985" t="str">
        <f t="shared" si="0"/>
        <v>Sezóna 21/22</v>
      </c>
      <c r="B51" s="2">
        <v>49</v>
      </c>
      <c r="C51" s="2">
        <v>54</v>
      </c>
      <c r="D51" s="4">
        <v>44612</v>
      </c>
      <c r="E51" s="2" t="s">
        <v>6086</v>
      </c>
      <c r="F51" s="2" t="s">
        <v>17</v>
      </c>
      <c r="G51" s="1058" t="s">
        <v>6100</v>
      </c>
      <c r="H51" s="1058" t="s">
        <v>16</v>
      </c>
      <c r="I51" s="259">
        <v>3</v>
      </c>
      <c r="J51" s="259">
        <v>1</v>
      </c>
      <c r="K51" s="1198">
        <v>3</v>
      </c>
      <c r="L51" s="1198">
        <v>1</v>
      </c>
      <c r="M51" s="2">
        <v>13</v>
      </c>
      <c r="N51" s="2">
        <v>-16</v>
      </c>
      <c r="O51" s="2">
        <v>59</v>
      </c>
      <c r="P51" s="168">
        <v>2</v>
      </c>
      <c r="Q51" s="2">
        <v>0</v>
      </c>
      <c r="R51" s="2">
        <v>0</v>
      </c>
      <c r="S51" s="2">
        <v>0</v>
      </c>
      <c r="T51" s="2">
        <v>2</v>
      </c>
      <c r="U51" s="2">
        <v>3</v>
      </c>
      <c r="V51" s="242">
        <v>1500</v>
      </c>
      <c r="W51" s="1058" t="s">
        <v>6189</v>
      </c>
      <c r="X51" s="1058" t="s">
        <v>6089</v>
      </c>
      <c r="Y51" s="1058" t="s">
        <v>6120</v>
      </c>
      <c r="AA51" s="1058" t="s">
        <v>3642</v>
      </c>
      <c r="AB51" s="168" t="s">
        <v>4549</v>
      </c>
      <c r="AC51" s="2" t="s">
        <v>4550</v>
      </c>
      <c r="AD51" s="2" t="s">
        <v>4551</v>
      </c>
      <c r="AK51" s="8" t="s">
        <v>4534</v>
      </c>
    </row>
    <row r="52" spans="1:37" ht="16.8" x14ac:dyDescent="0.4">
      <c r="A52" s="985" t="str">
        <f t="shared" si="0"/>
        <v>Sezóna 21/22</v>
      </c>
      <c r="B52" s="2">
        <v>50</v>
      </c>
      <c r="C52" s="2">
        <v>55</v>
      </c>
      <c r="D52" s="4">
        <v>44614</v>
      </c>
      <c r="E52" s="2" t="s">
        <v>6179</v>
      </c>
      <c r="F52" s="2" t="s">
        <v>16</v>
      </c>
      <c r="G52" s="1058" t="s">
        <v>6190</v>
      </c>
      <c r="H52" s="1058" t="s">
        <v>16</v>
      </c>
      <c r="I52" s="259">
        <v>5</v>
      </c>
      <c r="J52" s="259">
        <v>1</v>
      </c>
      <c r="K52" s="1198">
        <v>5</v>
      </c>
      <c r="L52" s="1198">
        <v>1</v>
      </c>
      <c r="M52" s="2">
        <v>13</v>
      </c>
      <c r="N52" s="2">
        <v>-13</v>
      </c>
      <c r="O52" s="2">
        <v>62</v>
      </c>
      <c r="P52" s="168">
        <v>0</v>
      </c>
      <c r="Q52" s="2">
        <v>0</v>
      </c>
      <c r="R52" s="2">
        <v>0</v>
      </c>
      <c r="S52" s="2">
        <v>1</v>
      </c>
      <c r="T52" s="2">
        <v>2</v>
      </c>
      <c r="U52" s="2">
        <v>1</v>
      </c>
      <c r="V52" s="242">
        <v>3500</v>
      </c>
      <c r="W52" s="1058" t="s">
        <v>6188</v>
      </c>
      <c r="X52" s="1058" t="s">
        <v>6089</v>
      </c>
      <c r="Y52" s="1058" t="s">
        <v>6100</v>
      </c>
      <c r="AA52" s="1058" t="s">
        <v>4540</v>
      </c>
      <c r="AB52" s="168" t="s">
        <v>4564</v>
      </c>
      <c r="AC52" s="2" t="s">
        <v>4565</v>
      </c>
      <c r="AD52" s="2" t="s">
        <v>4566</v>
      </c>
      <c r="AE52" s="2" t="s">
        <v>4567</v>
      </c>
      <c r="AF52" s="2" t="s">
        <v>4568</v>
      </c>
      <c r="AK52" s="390" t="s">
        <v>4541</v>
      </c>
    </row>
    <row r="53" spans="1:37" x14ac:dyDescent="0.3">
      <c r="A53" s="985" t="str">
        <f t="shared" si="0"/>
        <v>Sezóna 21/22</v>
      </c>
      <c r="B53" s="2">
        <v>51</v>
      </c>
      <c r="C53" s="2">
        <v>56</v>
      </c>
      <c r="D53" s="4">
        <v>44617</v>
      </c>
      <c r="E53" s="2" t="s">
        <v>6091</v>
      </c>
      <c r="F53" s="2" t="s">
        <v>16</v>
      </c>
      <c r="G53" s="1058" t="s">
        <v>6144</v>
      </c>
      <c r="H53" s="1058" t="s">
        <v>16</v>
      </c>
      <c r="I53" s="259">
        <v>6</v>
      </c>
      <c r="J53" s="259">
        <v>1</v>
      </c>
      <c r="K53" s="1198">
        <v>6</v>
      </c>
      <c r="L53" s="1198">
        <v>1</v>
      </c>
      <c r="M53" s="2">
        <v>13</v>
      </c>
      <c r="N53" s="2">
        <v>-10</v>
      </c>
      <c r="O53" s="2">
        <v>65</v>
      </c>
      <c r="P53" s="168">
        <v>2</v>
      </c>
      <c r="Q53" s="2">
        <v>0</v>
      </c>
      <c r="R53" s="2">
        <v>0</v>
      </c>
      <c r="S53" s="2">
        <v>1</v>
      </c>
      <c r="T53" s="2">
        <v>6.5</v>
      </c>
      <c r="U53" s="2">
        <v>6.5</v>
      </c>
      <c r="V53" s="242">
        <v>3435</v>
      </c>
      <c r="W53" s="1058" t="s">
        <v>6118</v>
      </c>
      <c r="X53" s="1058" t="s">
        <v>6089</v>
      </c>
      <c r="Y53" s="1058" t="s">
        <v>6089</v>
      </c>
      <c r="AA53" s="1058" t="s">
        <v>4545</v>
      </c>
      <c r="AB53" s="168" t="s">
        <v>4569</v>
      </c>
      <c r="AC53" s="2" t="s">
        <v>4570</v>
      </c>
      <c r="AD53" s="2" t="s">
        <v>4571</v>
      </c>
      <c r="AE53" s="2" t="s">
        <v>4572</v>
      </c>
      <c r="AF53" s="2" t="s">
        <v>4573</v>
      </c>
      <c r="AG53" s="2" t="s">
        <v>4574</v>
      </c>
      <c r="AJ53" s="8" t="s">
        <v>4446</v>
      </c>
      <c r="AK53" s="8" t="s">
        <v>4547</v>
      </c>
    </row>
    <row r="54" spans="1:37" x14ac:dyDescent="0.3">
      <c r="A54" s="985" t="str">
        <f t="shared" si="0"/>
        <v>Sezóna 21/22</v>
      </c>
      <c r="B54" s="2">
        <v>52</v>
      </c>
      <c r="C54" s="2">
        <v>57</v>
      </c>
      <c r="D54" s="4">
        <v>44619</v>
      </c>
      <c r="E54" s="2" t="s">
        <v>328</v>
      </c>
      <c r="F54" s="2" t="s">
        <v>17</v>
      </c>
      <c r="G54" s="1058" t="s">
        <v>6073</v>
      </c>
      <c r="H54" s="1058" t="s">
        <v>16</v>
      </c>
      <c r="I54" s="259">
        <v>4</v>
      </c>
      <c r="J54" s="259">
        <v>2</v>
      </c>
      <c r="K54" s="1198">
        <v>4</v>
      </c>
      <c r="L54" s="1198">
        <v>2</v>
      </c>
      <c r="M54" s="2">
        <v>12</v>
      </c>
      <c r="N54" s="2">
        <v>-10</v>
      </c>
      <c r="O54" s="2">
        <v>68</v>
      </c>
      <c r="P54" s="168">
        <v>0</v>
      </c>
      <c r="Q54" s="2">
        <v>0</v>
      </c>
      <c r="R54" s="2">
        <v>0</v>
      </c>
      <c r="S54" s="2">
        <v>1</v>
      </c>
      <c r="T54" s="2">
        <v>4</v>
      </c>
      <c r="U54" s="2">
        <v>2</v>
      </c>
      <c r="V54" s="242">
        <v>1500</v>
      </c>
      <c r="W54" s="1058" t="s">
        <v>6187</v>
      </c>
      <c r="X54" s="1058" t="s">
        <v>6118</v>
      </c>
      <c r="Y54" s="1058" t="s">
        <v>6120</v>
      </c>
      <c r="AA54" s="1058" t="s">
        <v>4546</v>
      </c>
      <c r="AB54" s="168" t="s">
        <v>4575</v>
      </c>
      <c r="AC54" s="2" t="s">
        <v>4576</v>
      </c>
      <c r="AD54" s="2" t="s">
        <v>4577</v>
      </c>
      <c r="AE54" s="2" t="s">
        <v>4578</v>
      </c>
      <c r="AJ54" s="8" t="s">
        <v>4544</v>
      </c>
      <c r="AK54" s="8" t="s">
        <v>4548</v>
      </c>
    </row>
    <row r="55" spans="1:37" x14ac:dyDescent="0.3">
      <c r="A55" s="985" t="str">
        <f t="shared" si="0"/>
        <v>Sezóna 21/22</v>
      </c>
      <c r="B55" s="2">
        <v>53</v>
      </c>
      <c r="C55" s="2">
        <v>43</v>
      </c>
      <c r="D55" s="4">
        <v>44621</v>
      </c>
      <c r="E55" s="2" t="s">
        <v>1274</v>
      </c>
      <c r="F55" s="2" t="s">
        <v>17</v>
      </c>
      <c r="G55" s="1058" t="s">
        <v>352</v>
      </c>
      <c r="H55" s="1058" t="s">
        <v>793</v>
      </c>
      <c r="I55" s="259">
        <v>3</v>
      </c>
      <c r="J55" s="259">
        <v>2</v>
      </c>
      <c r="K55" s="1198">
        <v>2</v>
      </c>
      <c r="L55" s="1198">
        <v>2</v>
      </c>
      <c r="M55" s="2">
        <v>11</v>
      </c>
      <c r="N55" s="2">
        <v>-11</v>
      </c>
      <c r="O55" s="2">
        <v>70</v>
      </c>
      <c r="P55" s="168">
        <v>2</v>
      </c>
      <c r="Q55" s="2">
        <v>0</v>
      </c>
      <c r="R55" s="2">
        <v>0</v>
      </c>
      <c r="S55" s="2">
        <v>0</v>
      </c>
      <c r="T55" s="2">
        <v>2</v>
      </c>
      <c r="U55" s="2">
        <v>2</v>
      </c>
      <c r="V55" s="242">
        <v>2489</v>
      </c>
      <c r="W55" s="1058" t="s">
        <v>6188</v>
      </c>
      <c r="X55" s="1058" t="s">
        <v>6097</v>
      </c>
      <c r="Y55" s="1058" t="s">
        <v>6120</v>
      </c>
      <c r="Z55" s="1058" t="s">
        <v>4555</v>
      </c>
      <c r="AA55" s="1058" t="s">
        <v>4556</v>
      </c>
      <c r="AB55" s="168" t="s">
        <v>4579</v>
      </c>
      <c r="AC55" s="2" t="s">
        <v>4580</v>
      </c>
      <c r="AJ55" s="8" t="s">
        <v>4553</v>
      </c>
      <c r="AK55" s="8" t="s">
        <v>4552</v>
      </c>
    </row>
    <row r="56" spans="1:37" x14ac:dyDescent="0.3">
      <c r="A56" s="985" t="str">
        <f t="shared" si="0"/>
        <v>Sezóna 21/22</v>
      </c>
      <c r="B56" s="2">
        <v>54</v>
      </c>
      <c r="C56" s="2">
        <v>58</v>
      </c>
      <c r="D56" s="4">
        <v>44624</v>
      </c>
      <c r="E56" s="2" t="s">
        <v>1274</v>
      </c>
      <c r="F56" s="2" t="s">
        <v>16</v>
      </c>
      <c r="G56" s="1058" t="s">
        <v>6079</v>
      </c>
      <c r="H56" s="1058" t="s">
        <v>743</v>
      </c>
      <c r="I56" s="259">
        <v>0</v>
      </c>
      <c r="J56" s="259">
        <v>3</v>
      </c>
      <c r="K56" s="1198">
        <v>0</v>
      </c>
      <c r="L56" s="1198">
        <v>3</v>
      </c>
      <c r="M56" s="2">
        <v>12</v>
      </c>
      <c r="N56" s="2">
        <v>-11</v>
      </c>
      <c r="O56" s="2">
        <v>70</v>
      </c>
      <c r="P56" s="168">
        <v>0</v>
      </c>
      <c r="Q56" s="2">
        <v>0</v>
      </c>
      <c r="R56" s="2">
        <v>0</v>
      </c>
      <c r="S56" s="2">
        <v>0</v>
      </c>
      <c r="T56" s="2">
        <v>2</v>
      </c>
      <c r="U56" s="2">
        <v>2</v>
      </c>
      <c r="V56" s="242">
        <v>5536</v>
      </c>
      <c r="W56" s="1058" t="s">
        <v>6171</v>
      </c>
      <c r="X56" s="1058" t="s">
        <v>6188</v>
      </c>
      <c r="Y56" s="1058" t="s">
        <v>6189</v>
      </c>
      <c r="AA56" s="1058" t="s">
        <v>6079</v>
      </c>
      <c r="AB56" s="168" t="s">
        <v>515</v>
      </c>
      <c r="AK56" s="8" t="s">
        <v>4558</v>
      </c>
    </row>
    <row r="57" spans="1:37" x14ac:dyDescent="0.3">
      <c r="A57" s="985" t="str">
        <f t="shared" si="0"/>
        <v>Sezóna 21/22</v>
      </c>
      <c r="B57" s="2">
        <v>55</v>
      </c>
      <c r="C57" s="2">
        <v>59</v>
      </c>
      <c r="D57" s="4">
        <v>44626</v>
      </c>
      <c r="E57" s="2" t="s">
        <v>626</v>
      </c>
      <c r="F57" s="2" t="s">
        <v>17</v>
      </c>
      <c r="G57" s="1058" t="s">
        <v>6146</v>
      </c>
      <c r="H57" s="1058" t="s">
        <v>743</v>
      </c>
      <c r="I57" s="259">
        <v>2</v>
      </c>
      <c r="J57" s="259">
        <v>3</v>
      </c>
      <c r="K57" s="1198">
        <v>2</v>
      </c>
      <c r="L57" s="1198">
        <v>3</v>
      </c>
      <c r="M57" s="2">
        <v>12</v>
      </c>
      <c r="N57" s="2">
        <v>-14</v>
      </c>
      <c r="O57" s="2">
        <v>70</v>
      </c>
      <c r="P57" s="168">
        <v>1</v>
      </c>
      <c r="Q57" s="2">
        <v>0</v>
      </c>
      <c r="R57" s="2">
        <v>1</v>
      </c>
      <c r="S57" s="2">
        <v>0</v>
      </c>
      <c r="T57" s="2">
        <v>6</v>
      </c>
      <c r="U57" s="2">
        <v>5.5</v>
      </c>
      <c r="V57" s="242">
        <v>3127</v>
      </c>
      <c r="W57" s="1058" t="s">
        <v>6187</v>
      </c>
      <c r="X57" s="1058" t="s">
        <v>6189</v>
      </c>
      <c r="Y57" s="1058" t="s">
        <v>6187</v>
      </c>
      <c r="AA57" s="1058" t="s">
        <v>4130</v>
      </c>
      <c r="AB57" s="168" t="s">
        <v>4581</v>
      </c>
      <c r="AC57" s="2" t="s">
        <v>4583</v>
      </c>
      <c r="AJ57" s="8" t="s">
        <v>4208</v>
      </c>
      <c r="AK57" s="8" t="s">
        <v>4559</v>
      </c>
    </row>
    <row r="58" spans="1:37" s="191" customFormat="1" x14ac:dyDescent="0.3">
      <c r="A58" s="985" t="str">
        <f t="shared" si="0"/>
        <v>Sezóna 21/22</v>
      </c>
      <c r="B58" s="170">
        <v>56</v>
      </c>
      <c r="C58" s="170">
        <v>60</v>
      </c>
      <c r="D58" s="189">
        <v>44628</v>
      </c>
      <c r="E58" s="170" t="s">
        <v>6076</v>
      </c>
      <c r="F58" s="170" t="s">
        <v>16</v>
      </c>
      <c r="G58" s="1059" t="s">
        <v>6102</v>
      </c>
      <c r="H58" s="1059" t="s">
        <v>743</v>
      </c>
      <c r="I58" s="1091">
        <v>1</v>
      </c>
      <c r="J58" s="1091">
        <v>3</v>
      </c>
      <c r="K58" s="1199">
        <v>1</v>
      </c>
      <c r="L58" s="1199">
        <v>3</v>
      </c>
      <c r="M58" s="170">
        <v>13</v>
      </c>
      <c r="N58" s="170">
        <v>-14</v>
      </c>
      <c r="O58" s="170">
        <v>70</v>
      </c>
      <c r="P58" s="169">
        <v>0</v>
      </c>
      <c r="Q58" s="170">
        <v>0</v>
      </c>
      <c r="R58" s="170">
        <v>0</v>
      </c>
      <c r="S58" s="170">
        <v>2</v>
      </c>
      <c r="T58" s="170">
        <v>4</v>
      </c>
      <c r="U58" s="170">
        <v>3</v>
      </c>
      <c r="V58" s="171">
        <v>3911</v>
      </c>
      <c r="W58" s="1059" t="s">
        <v>6120</v>
      </c>
      <c r="X58" s="1059" t="s">
        <v>6171</v>
      </c>
      <c r="Y58" s="1059" t="s">
        <v>6189</v>
      </c>
      <c r="Z58" s="1059"/>
      <c r="AA58" s="1059" t="s">
        <v>3601</v>
      </c>
      <c r="AB58" s="169" t="s">
        <v>4584</v>
      </c>
      <c r="AC58" s="170"/>
      <c r="AD58" s="170"/>
      <c r="AE58" s="170"/>
      <c r="AF58" s="170"/>
      <c r="AG58" s="170"/>
      <c r="AH58" s="170"/>
      <c r="AI58" s="171"/>
      <c r="AJ58" s="268"/>
      <c r="AK58" s="268" t="s">
        <v>4562</v>
      </c>
    </row>
    <row r="59" spans="1:37" x14ac:dyDescent="0.3">
      <c r="A59" s="1087" t="s">
        <v>817</v>
      </c>
      <c r="B59" s="2"/>
      <c r="G59" s="2"/>
      <c r="H59" s="2"/>
      <c r="K59" s="2"/>
      <c r="L59" s="2"/>
      <c r="M59" s="120">
        <f>SUBTOTAL(101,Zapasy20212022[Umístění LIT])</f>
        <v>11.517857142857142</v>
      </c>
      <c r="W59" s="2" t="s">
        <v>6331</v>
      </c>
      <c r="X59" s="2" t="s">
        <v>6332</v>
      </c>
      <c r="Y59" s="2" t="s">
        <v>6333</v>
      </c>
      <c r="Z59" s="2" t="s">
        <v>6334</v>
      </c>
      <c r="AA59" s="2"/>
      <c r="AK59" s="8">
        <f>SUBTOTAL(103,Zapasy20212022[Sestava])</f>
        <v>56</v>
      </c>
    </row>
    <row r="60" spans="1:37" x14ac:dyDescent="0.3">
      <c r="B60" s="2"/>
      <c r="AA60" s="1058"/>
      <c r="AK60" s="8"/>
    </row>
    <row r="61" spans="1:37" s="168" customFormat="1" x14ac:dyDescent="0.3">
      <c r="A61"/>
      <c r="B61"/>
      <c r="C61" s="2"/>
      <c r="D61" s="2"/>
      <c r="E61" s="2"/>
      <c r="F61" s="2"/>
      <c r="G61" s="1058"/>
      <c r="H61" s="1058"/>
      <c r="I61" s="259"/>
      <c r="J61" s="259"/>
      <c r="K61" s="1058"/>
      <c r="L61" s="1058"/>
      <c r="M61" s="60"/>
      <c r="N61" s="60"/>
      <c r="O61" s="60"/>
      <c r="Q61" s="2"/>
      <c r="R61" s="2"/>
      <c r="S61" s="2"/>
      <c r="T61" s="2"/>
      <c r="U61" s="2"/>
      <c r="V61" s="242"/>
      <c r="W61" s="1058"/>
      <c r="X61" s="1058"/>
      <c r="Y61" s="1058"/>
      <c r="Z61" s="1058"/>
      <c r="AA61" s="1061"/>
      <c r="AC61" s="2"/>
      <c r="AD61" s="2"/>
      <c r="AE61" s="2"/>
      <c r="AF61" s="2"/>
      <c r="AG61" s="2"/>
      <c r="AH61" s="2"/>
      <c r="AI61" s="242"/>
      <c r="AJ61" s="8"/>
      <c r="AK61"/>
    </row>
    <row r="62" spans="1:37" s="168" customFormat="1" x14ac:dyDescent="0.3">
      <c r="A62"/>
      <c r="B62"/>
      <c r="C62" s="2"/>
      <c r="D62" s="2"/>
      <c r="E62" s="2"/>
      <c r="F62" s="2"/>
      <c r="G62" s="1058"/>
      <c r="H62" s="1058"/>
      <c r="I62" s="259"/>
      <c r="J62" s="259"/>
      <c r="K62" s="1058"/>
      <c r="L62" s="1058"/>
      <c r="M62" s="60"/>
      <c r="N62" s="60"/>
      <c r="O62" s="60"/>
      <c r="Q62" s="2"/>
      <c r="R62" s="2"/>
      <c r="S62" s="2"/>
      <c r="T62" s="2"/>
      <c r="U62" s="2"/>
      <c r="V62" s="242"/>
      <c r="W62" s="1058"/>
      <c r="X62" s="1058"/>
      <c r="Y62" s="1058"/>
      <c r="Z62" s="1058"/>
      <c r="AA62" s="1061"/>
      <c r="AC62" s="2"/>
      <c r="AD62" s="2"/>
      <c r="AE62" s="2"/>
      <c r="AF62" s="2"/>
      <c r="AG62" s="2"/>
      <c r="AH62" s="2"/>
      <c r="AI62" s="242"/>
      <c r="AJ62" s="8"/>
      <c r="AK62" s="2"/>
    </row>
    <row r="63" spans="1:37" x14ac:dyDescent="0.3">
      <c r="M63" s="60"/>
      <c r="N63" s="60"/>
      <c r="O63" s="60"/>
      <c r="AK63" s="2"/>
    </row>
    <row r="64" spans="1:37" s="168" customFormat="1" x14ac:dyDescent="0.3">
      <c r="A64"/>
      <c r="B64"/>
      <c r="C64" s="2"/>
      <c r="D64" s="2"/>
      <c r="E64" s="2"/>
      <c r="F64" s="2"/>
      <c r="G64" s="1058"/>
      <c r="H64" s="1058"/>
      <c r="I64" s="259"/>
      <c r="J64" s="259"/>
      <c r="K64" s="1058"/>
      <c r="L64" s="1058"/>
      <c r="M64" s="2"/>
      <c r="N64" s="2"/>
      <c r="O64" s="2"/>
      <c r="Q64" s="2"/>
      <c r="R64" s="2"/>
      <c r="S64" s="2"/>
      <c r="T64" s="2"/>
      <c r="U64" s="2"/>
      <c r="V64" s="242"/>
      <c r="W64" s="1058"/>
      <c r="X64" s="1058"/>
      <c r="Y64" s="1058"/>
      <c r="Z64" s="1058"/>
      <c r="AA64" s="1061"/>
      <c r="AC64" s="2"/>
      <c r="AD64" s="2"/>
      <c r="AE64" s="2"/>
      <c r="AF64" s="2"/>
      <c r="AG64" s="2"/>
      <c r="AH64" s="2"/>
      <c r="AI64" s="242"/>
      <c r="AJ64" s="8"/>
      <c r="AK64"/>
    </row>
    <row r="65" spans="1:37" s="168" customFormat="1" x14ac:dyDescent="0.3">
      <c r="A65"/>
      <c r="B65"/>
      <c r="C65" s="2"/>
      <c r="D65" s="2"/>
      <c r="E65" s="2"/>
      <c r="F65" s="2"/>
      <c r="G65" s="1058"/>
      <c r="H65" s="1058"/>
      <c r="I65" s="259"/>
      <c r="J65" s="259"/>
      <c r="K65" s="1058"/>
      <c r="L65" s="1058"/>
      <c r="M65" s="60"/>
      <c r="N65" s="60"/>
      <c r="O65" s="60"/>
      <c r="Q65" s="2"/>
      <c r="R65" s="2"/>
      <c r="S65" s="2"/>
      <c r="T65" s="2"/>
      <c r="U65" s="2"/>
      <c r="V65" s="242"/>
      <c r="W65" s="1058"/>
      <c r="X65" s="1058"/>
      <c r="Y65" s="1058"/>
      <c r="Z65" s="1058"/>
      <c r="AA65" s="1061"/>
      <c r="AC65" s="2"/>
      <c r="AD65" s="2"/>
      <c r="AE65" s="2"/>
      <c r="AF65" s="2"/>
      <c r="AG65" s="2"/>
      <c r="AH65" s="2"/>
      <c r="AI65" s="242"/>
      <c r="AJ65" s="8"/>
      <c r="AK65" s="2"/>
    </row>
    <row r="66" spans="1:37" s="168" customFormat="1" x14ac:dyDescent="0.3">
      <c r="A66"/>
      <c r="B66"/>
      <c r="C66" s="2"/>
      <c r="D66" s="2"/>
      <c r="E66" s="2"/>
      <c r="F66" s="2"/>
      <c r="G66" s="1058"/>
      <c r="H66" s="1058"/>
      <c r="I66" s="259"/>
      <c r="J66" s="259"/>
      <c r="K66" s="1058"/>
      <c r="L66" s="1058"/>
      <c r="M66" s="60"/>
      <c r="N66" s="60"/>
      <c r="O66" s="60"/>
      <c r="Q66" s="2"/>
      <c r="R66" s="2"/>
      <c r="S66" s="2"/>
      <c r="T66" s="2"/>
      <c r="U66" s="2"/>
      <c r="V66" s="242"/>
      <c r="W66" s="1058"/>
      <c r="X66" s="1058"/>
      <c r="Y66" s="1058"/>
      <c r="Z66" s="1058"/>
      <c r="AA66" s="1061"/>
      <c r="AC66" s="2"/>
      <c r="AD66" s="2"/>
      <c r="AE66" s="2"/>
      <c r="AF66" s="2"/>
      <c r="AG66" s="2"/>
      <c r="AH66" s="2"/>
      <c r="AI66" s="242"/>
      <c r="AJ66" s="8"/>
      <c r="AK66" s="2"/>
    </row>
    <row r="67" spans="1:37" x14ac:dyDescent="0.3">
      <c r="M67" s="60"/>
      <c r="N67" s="60"/>
      <c r="O67" s="60"/>
      <c r="AK67" s="2"/>
    </row>
    <row r="68" spans="1:37" s="168" customFormat="1" x14ac:dyDescent="0.3">
      <c r="A68"/>
      <c r="B68"/>
      <c r="C68" s="2"/>
      <c r="D68" s="2"/>
      <c r="E68" s="2"/>
      <c r="F68" s="2"/>
      <c r="G68" s="1058"/>
      <c r="H68" s="1058"/>
      <c r="I68" s="259"/>
      <c r="J68" s="259"/>
      <c r="K68" s="1058"/>
      <c r="L68" s="1058"/>
      <c r="M68" s="2"/>
      <c r="N68" s="2"/>
      <c r="O68" s="2"/>
      <c r="Q68" s="2"/>
      <c r="R68" s="2"/>
      <c r="S68" s="2"/>
      <c r="T68" s="2"/>
      <c r="U68" s="2"/>
      <c r="V68" s="242"/>
      <c r="W68" s="1058"/>
      <c r="X68" s="1058"/>
      <c r="Y68" s="1058"/>
      <c r="Z68" s="1058"/>
      <c r="AA68" s="1061"/>
      <c r="AC68" s="2"/>
      <c r="AD68" s="2"/>
      <c r="AE68" s="2"/>
      <c r="AF68" s="2"/>
      <c r="AG68" s="2"/>
      <c r="AH68" s="2"/>
      <c r="AI68" s="242"/>
      <c r="AJ68" s="8"/>
      <c r="AK68"/>
    </row>
    <row r="69" spans="1:37" x14ac:dyDescent="0.3">
      <c r="M69" s="60"/>
      <c r="N69" s="60"/>
      <c r="O69" s="60"/>
      <c r="AK69" s="2"/>
    </row>
    <row r="70" spans="1:37" s="168" customFormat="1" x14ac:dyDescent="0.3">
      <c r="A70"/>
      <c r="B70"/>
      <c r="C70" s="2"/>
      <c r="D70" s="2"/>
      <c r="E70" s="2"/>
      <c r="F70" s="2"/>
      <c r="G70" s="1058"/>
      <c r="H70" s="1058"/>
      <c r="I70" s="259"/>
      <c r="J70" s="259"/>
      <c r="K70" s="1058"/>
      <c r="L70" s="1058"/>
      <c r="M70" s="2"/>
      <c r="N70" s="2"/>
      <c r="O70" s="2"/>
      <c r="Q70" s="2"/>
      <c r="R70" s="2"/>
      <c r="S70" s="2"/>
      <c r="T70" s="2"/>
      <c r="U70" s="2"/>
      <c r="V70" s="242"/>
      <c r="W70" s="1058"/>
      <c r="X70" s="1058"/>
      <c r="Y70" s="1058"/>
      <c r="Z70" s="1058"/>
      <c r="AA70" s="1061"/>
      <c r="AC70" s="2"/>
      <c r="AD70" s="2"/>
      <c r="AE70" s="2"/>
      <c r="AF70" s="2"/>
      <c r="AG70" s="2"/>
      <c r="AH70" s="2"/>
      <c r="AI70" s="242"/>
      <c r="AJ70" s="8"/>
      <c r="AK70"/>
    </row>
    <row r="71" spans="1:37" x14ac:dyDescent="0.3">
      <c r="M71" s="60"/>
      <c r="N71" s="60"/>
      <c r="O71" s="60"/>
      <c r="AK71" s="2"/>
    </row>
    <row r="102" spans="1:1" ht="15" thickBot="1" x14ac:dyDescent="0.35">
      <c r="A102" s="201"/>
    </row>
    <row r="103" spans="1:1" x14ac:dyDescent="0.3">
      <c r="A103" s="204" t="s">
        <v>792</v>
      </c>
    </row>
    <row r="104" spans="1:1" x14ac:dyDescent="0.3">
      <c r="A104" s="198" t="s">
        <v>797</v>
      </c>
    </row>
    <row r="105" spans="1:1" ht="15" thickBot="1" x14ac:dyDescent="0.35">
      <c r="A105" s="199" t="s">
        <v>798</v>
      </c>
    </row>
    <row r="106" spans="1:1" x14ac:dyDescent="0.3">
      <c r="A106" s="594" t="s">
        <v>799</v>
      </c>
    </row>
    <row r="107" spans="1:1" x14ac:dyDescent="0.3">
      <c r="A107" s="198" t="s">
        <v>797</v>
      </c>
    </row>
    <row r="108" spans="1:1" ht="15" thickBot="1" x14ac:dyDescent="0.35">
      <c r="A108" s="199" t="s">
        <v>798</v>
      </c>
    </row>
    <row r="109" spans="1:1" x14ac:dyDescent="0.3">
      <c r="A109" s="594" t="s">
        <v>800</v>
      </c>
    </row>
    <row r="110" spans="1:1" x14ac:dyDescent="0.3">
      <c r="A110" s="198" t="s">
        <v>797</v>
      </c>
    </row>
    <row r="111" spans="1:1" ht="15" thickBot="1" x14ac:dyDescent="0.35">
      <c r="A111" s="199" t="s">
        <v>798</v>
      </c>
    </row>
    <row r="112" spans="1:1" x14ac:dyDescent="0.3">
      <c r="A112" s="204" t="s">
        <v>801</v>
      </c>
    </row>
    <row r="113" spans="1:1" x14ac:dyDescent="0.3">
      <c r="A113" s="198" t="s">
        <v>797</v>
      </c>
    </row>
    <row r="114" spans="1:1" ht="15" thickBot="1" x14ac:dyDescent="0.35">
      <c r="A114" s="592" t="s">
        <v>798</v>
      </c>
    </row>
    <row r="115" spans="1:1" x14ac:dyDescent="0.3">
      <c r="A115" s="220" t="s">
        <v>804</v>
      </c>
    </row>
    <row r="116" spans="1:1" x14ac:dyDescent="0.3">
      <c r="A116" s="223" t="s">
        <v>797</v>
      </c>
    </row>
    <row r="117" spans="1:1" ht="15" thickBot="1" x14ac:dyDescent="0.35">
      <c r="A117" s="226" t="s">
        <v>798</v>
      </c>
    </row>
  </sheetData>
  <mergeCells count="5">
    <mergeCell ref="AB1:AI1"/>
    <mergeCell ref="P1:Q1"/>
    <mergeCell ref="R1:S1"/>
    <mergeCell ref="T1:V1"/>
    <mergeCell ref="W1:AA1"/>
  </mergeCells>
  <phoneticPr fontId="79" type="noConversion"/>
  <conditionalFormatting sqref="D53:D54 D56:D58">
    <cfRule type="cellIs" dxfId="185" priority="1" operator="equal">
      <formula>"D"</formula>
    </cfRule>
  </conditionalFormatting>
  <conditionalFormatting sqref="F3:F46">
    <cfRule type="cellIs" dxfId="184" priority="2" operator="equal">
      <formula>"D"</formula>
    </cfRule>
  </conditionalFormatting>
  <conditionalFormatting sqref="F48:F58">
    <cfRule type="cellIs" dxfId="183" priority="3" operator="equal">
      <formula>"D"</formula>
    </cfRule>
  </conditionalFormatting>
  <conditionalFormatting sqref="F61:F206">
    <cfRule type="cellIs" dxfId="182" priority="18" operator="equal">
      <formula>"D"</formula>
    </cfRule>
  </conditionalFormatting>
  <pageMargins left="0.7" right="0.7" top="0.78740157499999996" bottom="0.78740157499999996" header="0.3" footer="0.3"/>
  <pageSetup orientation="portrait" r:id="rId1"/>
  <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D1:BE167"/>
  <sheetViews>
    <sheetView topLeftCell="A142" workbookViewId="0">
      <selection activeCell="L12" sqref="L12"/>
    </sheetView>
  </sheetViews>
  <sheetFormatPr defaultRowHeight="14.4" x14ac:dyDescent="0.3"/>
  <cols>
    <col min="3" max="3" width="18.5546875" customWidth="1"/>
    <col min="4" max="4" width="18.6640625" customWidth="1"/>
    <col min="5" max="5" width="16.6640625" customWidth="1"/>
    <col min="6" max="6" width="15.44140625" customWidth="1"/>
    <col min="7" max="7" width="13.109375" customWidth="1"/>
    <col min="8" max="8" width="13.5546875" customWidth="1"/>
    <col min="9" max="9" width="15.33203125" customWidth="1"/>
    <col min="10" max="10" width="22.5546875" customWidth="1"/>
    <col min="11" max="11" width="14.33203125" customWidth="1"/>
    <col min="12" max="12" width="15.5546875" customWidth="1"/>
    <col min="13" max="13" width="20.44140625" customWidth="1"/>
    <col min="14" max="14" width="15.6640625" customWidth="1"/>
    <col min="15" max="15" width="14.33203125" customWidth="1"/>
    <col min="16" max="16" width="18.109375" customWidth="1"/>
    <col min="19" max="19" width="13.44140625" customWidth="1"/>
    <col min="20" max="20" width="13" customWidth="1"/>
    <col min="21" max="21" width="14" customWidth="1"/>
    <col min="22" max="22" width="25" customWidth="1"/>
    <col min="23" max="23" width="19.44140625" customWidth="1"/>
    <col min="24" max="24" width="18.44140625" customWidth="1"/>
    <col min="25" max="25" width="28.109375" customWidth="1"/>
    <col min="26" max="26" width="17.5546875" customWidth="1"/>
    <col min="27" max="27" width="14.44140625" customWidth="1"/>
    <col min="28" max="28" width="13.5546875" customWidth="1"/>
    <col min="41" max="41" width="16.44140625" customWidth="1"/>
    <col min="42" max="42" width="35.33203125" customWidth="1"/>
    <col min="46" max="46" width="31.109375" customWidth="1"/>
    <col min="51" max="51" width="38" customWidth="1"/>
    <col min="54" max="54" width="31.44140625" customWidth="1"/>
    <col min="57" max="57" width="39.44140625" customWidth="1"/>
  </cols>
  <sheetData>
    <row r="1" spans="4:57" ht="15" thickBot="1" x14ac:dyDescent="0.35"/>
    <row r="2" spans="4:57" x14ac:dyDescent="0.3">
      <c r="D2" s="303"/>
      <c r="E2" s="1142" t="s">
        <v>4168</v>
      </c>
      <c r="F2" s="1143"/>
      <c r="G2" s="1144"/>
      <c r="H2" s="1145" t="s">
        <v>4416</v>
      </c>
      <c r="I2" s="1143"/>
      <c r="J2" s="1144"/>
      <c r="K2" s="1142" t="s">
        <v>4478</v>
      </c>
      <c r="L2" s="1143"/>
      <c r="M2" s="1144"/>
      <c r="N2" s="1145" t="s">
        <v>3663</v>
      </c>
      <c r="O2" s="1143"/>
      <c r="P2" s="1144"/>
    </row>
    <row r="3" spans="4:57" ht="15" thickBot="1" x14ac:dyDescent="0.35">
      <c r="D3" s="304"/>
      <c r="E3" s="199" t="s">
        <v>999</v>
      </c>
      <c r="F3" s="200" t="s">
        <v>796</v>
      </c>
      <c r="G3" s="230" t="s">
        <v>1000</v>
      </c>
      <c r="H3" s="235" t="s">
        <v>999</v>
      </c>
      <c r="I3" s="200" t="s">
        <v>796</v>
      </c>
      <c r="J3" s="230" t="s">
        <v>1000</v>
      </c>
      <c r="K3" s="235" t="s">
        <v>999</v>
      </c>
      <c r="L3" s="200" t="s">
        <v>796</v>
      </c>
      <c r="M3" s="230" t="s">
        <v>1000</v>
      </c>
      <c r="N3" s="235" t="s">
        <v>999</v>
      </c>
      <c r="O3" s="200" t="s">
        <v>796</v>
      </c>
      <c r="P3" s="230" t="s">
        <v>1000</v>
      </c>
      <c r="AJ3" s="2"/>
      <c r="AK3" s="2"/>
    </row>
    <row r="4" spans="4:57" x14ac:dyDescent="0.3">
      <c r="D4" s="280" t="s">
        <v>610</v>
      </c>
      <c r="E4" s="277">
        <v>14</v>
      </c>
      <c r="F4" s="278">
        <v>16</v>
      </c>
      <c r="G4" s="279">
        <f t="shared" ref="G4:G18" si="0">F4/E4</f>
        <v>1.1428571428571428</v>
      </c>
      <c r="H4" s="171">
        <v>27</v>
      </c>
      <c r="I4" s="278">
        <v>36</v>
      </c>
      <c r="J4" s="279">
        <f t="shared" ref="J4:J18" si="1">I4/H4</f>
        <v>1.3333333333333333</v>
      </c>
      <c r="K4" s="171">
        <v>40</v>
      </c>
      <c r="L4" s="278">
        <v>62</v>
      </c>
      <c r="M4" s="279">
        <f t="shared" ref="M4:M18" si="2">L4/K4</f>
        <v>1.55</v>
      </c>
      <c r="N4" s="171">
        <v>56</v>
      </c>
      <c r="O4" s="278">
        <v>89</v>
      </c>
      <c r="P4" s="279">
        <f t="shared" ref="P4:P18" si="3">O4/N4</f>
        <v>1.5892857142857142</v>
      </c>
      <c r="AI4" s="2"/>
      <c r="AJ4" s="2"/>
      <c r="AK4" s="60"/>
      <c r="AL4" s="60"/>
      <c r="AM4" s="60"/>
      <c r="AN4" s="60"/>
      <c r="AO4" s="2"/>
      <c r="AP4" s="8"/>
      <c r="AQ4" s="2"/>
      <c r="AT4" s="178"/>
      <c r="AY4" s="178"/>
      <c r="BB4" s="178"/>
      <c r="BE4" s="178"/>
    </row>
    <row r="5" spans="4:57" x14ac:dyDescent="0.3">
      <c r="D5" s="281" t="s">
        <v>334</v>
      </c>
      <c r="E5" s="198">
        <v>13</v>
      </c>
      <c r="F5" s="183">
        <v>28</v>
      </c>
      <c r="G5" s="275">
        <f t="shared" si="0"/>
        <v>2.1538461538461537</v>
      </c>
      <c r="H5" s="184">
        <v>28</v>
      </c>
      <c r="I5" s="183">
        <v>65</v>
      </c>
      <c r="J5" s="275">
        <f t="shared" si="1"/>
        <v>2.3214285714285716</v>
      </c>
      <c r="K5" s="184">
        <v>40</v>
      </c>
      <c r="L5" s="183">
        <v>87</v>
      </c>
      <c r="M5" s="275">
        <f t="shared" si="2"/>
        <v>2.1749999999999998</v>
      </c>
      <c r="N5" s="184">
        <v>56</v>
      </c>
      <c r="O5" s="183">
        <v>112</v>
      </c>
      <c r="P5" s="275">
        <f t="shared" si="3"/>
        <v>2</v>
      </c>
      <c r="AI5" s="2"/>
      <c r="AJ5" s="2"/>
      <c r="AK5" s="60"/>
      <c r="AL5" s="60"/>
      <c r="AM5" s="60"/>
      <c r="AN5" s="60"/>
      <c r="AO5" s="2"/>
      <c r="AP5" s="8"/>
      <c r="AQ5" s="2"/>
      <c r="AT5" s="178"/>
      <c r="AY5" s="178"/>
      <c r="BB5" s="8"/>
      <c r="BE5" s="178"/>
    </row>
    <row r="6" spans="4:57" x14ac:dyDescent="0.3">
      <c r="D6" s="281" t="s">
        <v>331</v>
      </c>
      <c r="E6" s="198">
        <v>13</v>
      </c>
      <c r="F6" s="183">
        <v>22</v>
      </c>
      <c r="G6" s="275">
        <f t="shared" si="0"/>
        <v>1.6923076923076923</v>
      </c>
      <c r="H6" s="184">
        <v>29</v>
      </c>
      <c r="I6" s="183">
        <v>50</v>
      </c>
      <c r="J6" s="275">
        <f t="shared" si="1"/>
        <v>1.7241379310344827</v>
      </c>
      <c r="K6" s="184">
        <v>42</v>
      </c>
      <c r="L6" s="183">
        <v>68</v>
      </c>
      <c r="M6" s="275">
        <f t="shared" si="2"/>
        <v>1.6190476190476191</v>
      </c>
      <c r="N6" s="171">
        <v>56</v>
      </c>
      <c r="O6" s="183">
        <v>91</v>
      </c>
      <c r="P6" s="275">
        <f t="shared" si="3"/>
        <v>1.625</v>
      </c>
      <c r="AI6" s="2"/>
      <c r="AJ6" s="2"/>
      <c r="AK6" s="60"/>
      <c r="AL6" s="60"/>
      <c r="AM6" s="60"/>
      <c r="AN6" s="60"/>
      <c r="AO6" s="2"/>
      <c r="AP6" s="182"/>
      <c r="AQ6" s="2"/>
      <c r="AT6" s="178"/>
      <c r="AY6" s="178"/>
      <c r="BB6" s="8"/>
      <c r="BE6" s="8"/>
    </row>
    <row r="7" spans="4:57" x14ac:dyDescent="0.3">
      <c r="D7" s="281" t="s">
        <v>1274</v>
      </c>
      <c r="E7" s="198">
        <v>14</v>
      </c>
      <c r="F7" s="183">
        <v>28</v>
      </c>
      <c r="G7" s="275">
        <f t="shared" si="0"/>
        <v>2</v>
      </c>
      <c r="H7" s="184">
        <v>28</v>
      </c>
      <c r="I7" s="183">
        <v>61</v>
      </c>
      <c r="J7" s="275">
        <f t="shared" si="1"/>
        <v>2.1785714285714284</v>
      </c>
      <c r="K7" s="184">
        <v>41</v>
      </c>
      <c r="L7" s="183">
        <v>82</v>
      </c>
      <c r="M7" s="275">
        <f t="shared" si="2"/>
        <v>2</v>
      </c>
      <c r="N7" s="184">
        <v>56</v>
      </c>
      <c r="O7" s="183">
        <v>116</v>
      </c>
      <c r="P7" s="275">
        <f t="shared" si="3"/>
        <v>2.0714285714285716</v>
      </c>
      <c r="AI7" s="2"/>
      <c r="AJ7" s="2"/>
      <c r="AK7" s="60"/>
      <c r="AL7" s="60"/>
      <c r="AM7" s="60"/>
      <c r="AN7" s="60"/>
      <c r="AO7" s="2"/>
      <c r="AP7" s="8"/>
      <c r="AQ7" s="2"/>
      <c r="AT7" s="178"/>
      <c r="AY7" s="8"/>
      <c r="BB7" s="8"/>
      <c r="BE7" s="8"/>
    </row>
    <row r="8" spans="4:57" x14ac:dyDescent="0.3">
      <c r="D8" s="281" t="s">
        <v>6179</v>
      </c>
      <c r="E8" s="198">
        <v>14</v>
      </c>
      <c r="F8" s="183">
        <v>21</v>
      </c>
      <c r="G8" s="275">
        <f t="shared" si="0"/>
        <v>1.5</v>
      </c>
      <c r="H8" s="184">
        <v>28</v>
      </c>
      <c r="I8" s="183">
        <v>42</v>
      </c>
      <c r="J8" s="275">
        <f t="shared" si="1"/>
        <v>1.5</v>
      </c>
      <c r="K8" s="184">
        <v>40</v>
      </c>
      <c r="L8" s="183">
        <v>59</v>
      </c>
      <c r="M8" s="275">
        <f t="shared" si="2"/>
        <v>1.4750000000000001</v>
      </c>
      <c r="N8" s="171">
        <v>56</v>
      </c>
      <c r="O8" s="183">
        <v>76</v>
      </c>
      <c r="P8" s="275">
        <f t="shared" si="3"/>
        <v>1.3571428571428572</v>
      </c>
      <c r="AI8" s="2"/>
      <c r="AJ8" s="2"/>
      <c r="AK8" s="60"/>
      <c r="AL8" s="60"/>
      <c r="AM8" s="60"/>
      <c r="AN8" s="60"/>
      <c r="AO8" s="2"/>
      <c r="AP8" s="8"/>
      <c r="AQ8" s="2"/>
      <c r="AT8" s="178"/>
      <c r="AY8" s="8"/>
      <c r="BB8" s="8"/>
      <c r="BE8" s="8"/>
    </row>
    <row r="9" spans="4:57" x14ac:dyDescent="0.3">
      <c r="D9" s="281" t="s">
        <v>626</v>
      </c>
      <c r="E9" s="198">
        <v>12</v>
      </c>
      <c r="F9" s="183">
        <v>21</v>
      </c>
      <c r="G9" s="275">
        <f t="shared" si="0"/>
        <v>1.75</v>
      </c>
      <c r="H9" s="184">
        <v>27</v>
      </c>
      <c r="I9" s="183">
        <v>39</v>
      </c>
      <c r="J9" s="275">
        <f t="shared" si="1"/>
        <v>1.4444444444444444</v>
      </c>
      <c r="K9" s="184">
        <v>39</v>
      </c>
      <c r="L9" s="183">
        <v>52</v>
      </c>
      <c r="M9" s="275">
        <f t="shared" si="2"/>
        <v>1.3333333333333333</v>
      </c>
      <c r="N9" s="184">
        <v>56</v>
      </c>
      <c r="O9" s="183">
        <v>80</v>
      </c>
      <c r="P9" s="275">
        <f t="shared" si="3"/>
        <v>1.4285714285714286</v>
      </c>
      <c r="AI9" s="2"/>
      <c r="AJ9" s="2"/>
      <c r="AK9" s="60"/>
      <c r="AL9" s="60"/>
      <c r="AM9" s="60"/>
      <c r="AN9" s="60"/>
      <c r="AO9" s="2"/>
      <c r="AP9" s="8"/>
      <c r="AQ9" s="2"/>
      <c r="AT9" s="178"/>
      <c r="AY9" s="8"/>
      <c r="BB9" s="272"/>
      <c r="BE9" s="8"/>
    </row>
    <row r="10" spans="4:57" x14ac:dyDescent="0.3">
      <c r="D10" s="281" t="s">
        <v>328</v>
      </c>
      <c r="E10" s="198">
        <v>11</v>
      </c>
      <c r="F10" s="183">
        <v>13</v>
      </c>
      <c r="G10" s="275">
        <f t="shared" si="0"/>
        <v>1.1818181818181819</v>
      </c>
      <c r="H10" s="184">
        <v>28</v>
      </c>
      <c r="I10" s="183">
        <v>42</v>
      </c>
      <c r="J10" s="275">
        <f t="shared" si="1"/>
        <v>1.5</v>
      </c>
      <c r="K10" s="184">
        <v>39</v>
      </c>
      <c r="L10" s="183">
        <v>63</v>
      </c>
      <c r="M10" s="275">
        <f t="shared" si="2"/>
        <v>1.6153846153846154</v>
      </c>
      <c r="N10" s="171">
        <v>56</v>
      </c>
      <c r="O10" s="183">
        <v>87</v>
      </c>
      <c r="P10" s="275">
        <f t="shared" si="3"/>
        <v>1.5535714285714286</v>
      </c>
      <c r="AI10" s="2"/>
      <c r="AJ10" s="2"/>
      <c r="AK10" s="60"/>
      <c r="AL10" s="60"/>
      <c r="AM10" s="60"/>
      <c r="AN10" s="60"/>
      <c r="AO10" s="2"/>
      <c r="AP10" s="178"/>
      <c r="AQ10" s="2"/>
      <c r="AT10" s="178"/>
      <c r="AY10" s="8"/>
      <c r="BB10" s="8"/>
      <c r="BE10" s="8"/>
    </row>
    <row r="11" spans="4:57" x14ac:dyDescent="0.3">
      <c r="D11" s="281" t="s">
        <v>6086</v>
      </c>
      <c r="E11" s="198">
        <v>14</v>
      </c>
      <c r="F11" s="183">
        <v>27</v>
      </c>
      <c r="G11" s="275">
        <f t="shared" si="0"/>
        <v>1.9285714285714286</v>
      </c>
      <c r="H11" s="184">
        <v>28</v>
      </c>
      <c r="I11" s="183">
        <v>44</v>
      </c>
      <c r="J11" s="275">
        <f t="shared" si="1"/>
        <v>1.5714285714285714</v>
      </c>
      <c r="K11" s="184">
        <v>40</v>
      </c>
      <c r="L11" s="183">
        <v>60</v>
      </c>
      <c r="M11" s="275">
        <f t="shared" si="2"/>
        <v>1.5</v>
      </c>
      <c r="N11" s="184">
        <v>56</v>
      </c>
      <c r="O11" s="183">
        <v>76</v>
      </c>
      <c r="P11" s="275">
        <f t="shared" si="3"/>
        <v>1.3571428571428572</v>
      </c>
      <c r="AI11" s="2"/>
      <c r="AJ11" s="2"/>
      <c r="AK11" s="60"/>
      <c r="AL11" s="60"/>
      <c r="AM11" s="60"/>
      <c r="AN11" s="60"/>
      <c r="AO11" s="2"/>
      <c r="AP11" s="8"/>
      <c r="AQ11" s="2"/>
      <c r="AT11" s="178"/>
      <c r="AY11" s="8"/>
      <c r="BB11" s="8"/>
      <c r="BE11" s="8"/>
    </row>
    <row r="12" spans="4:57" x14ac:dyDescent="0.3">
      <c r="D12" s="281" t="s">
        <v>326</v>
      </c>
      <c r="E12" s="198">
        <v>14</v>
      </c>
      <c r="F12" s="183">
        <v>5</v>
      </c>
      <c r="G12" s="275">
        <f t="shared" si="0"/>
        <v>0.35714285714285715</v>
      </c>
      <c r="H12" s="184">
        <v>28</v>
      </c>
      <c r="I12" s="183">
        <v>16</v>
      </c>
      <c r="J12" s="275">
        <f t="shared" si="1"/>
        <v>0.5714285714285714</v>
      </c>
      <c r="K12" s="184">
        <v>40</v>
      </c>
      <c r="L12" s="183">
        <v>25</v>
      </c>
      <c r="M12" s="275">
        <f t="shared" si="2"/>
        <v>0.625</v>
      </c>
      <c r="N12" s="171">
        <v>56</v>
      </c>
      <c r="O12" s="183">
        <v>44</v>
      </c>
      <c r="P12" s="275">
        <f t="shared" si="3"/>
        <v>0.7857142857142857</v>
      </c>
      <c r="AI12" s="2"/>
      <c r="AJ12" s="2"/>
      <c r="AK12" s="60"/>
      <c r="AL12" s="60"/>
      <c r="AM12" s="60"/>
      <c r="AN12" s="60"/>
      <c r="AO12" s="2"/>
      <c r="AP12" s="8"/>
      <c r="AQ12" s="2"/>
      <c r="AT12" s="8"/>
      <c r="AY12" s="8"/>
      <c r="BB12" s="8"/>
    </row>
    <row r="13" spans="4:57" x14ac:dyDescent="0.3">
      <c r="D13" s="281" t="s">
        <v>325</v>
      </c>
      <c r="E13" s="198">
        <v>13</v>
      </c>
      <c r="F13" s="183">
        <v>26</v>
      </c>
      <c r="G13" s="275">
        <f t="shared" si="0"/>
        <v>2</v>
      </c>
      <c r="H13" s="184">
        <v>28</v>
      </c>
      <c r="I13" s="183">
        <v>42</v>
      </c>
      <c r="J13" s="275">
        <f t="shared" si="1"/>
        <v>1.5</v>
      </c>
      <c r="K13" s="184">
        <v>40</v>
      </c>
      <c r="L13" s="183">
        <v>59</v>
      </c>
      <c r="M13" s="275">
        <f t="shared" si="2"/>
        <v>1.4750000000000001</v>
      </c>
      <c r="N13" s="184">
        <v>56</v>
      </c>
      <c r="O13" s="183">
        <v>99</v>
      </c>
      <c r="P13" s="275">
        <f t="shared" si="3"/>
        <v>1.7678571428571428</v>
      </c>
      <c r="AI13" s="2"/>
      <c r="AJ13" s="2"/>
      <c r="AK13" s="60"/>
      <c r="AL13" s="60"/>
      <c r="AM13" s="60"/>
      <c r="AN13" s="60"/>
      <c r="AO13" s="2"/>
      <c r="AP13" s="178"/>
      <c r="AQ13" s="2"/>
      <c r="AT13" s="8"/>
      <c r="BB13" s="8"/>
      <c r="BE13" s="8"/>
    </row>
    <row r="14" spans="4:57" x14ac:dyDescent="0.3">
      <c r="D14" s="282" t="s">
        <v>818</v>
      </c>
      <c r="E14" s="287">
        <v>14</v>
      </c>
      <c r="F14" s="288">
        <v>16</v>
      </c>
      <c r="G14" s="289">
        <f t="shared" si="0"/>
        <v>1.1428571428571428</v>
      </c>
      <c r="H14" s="237">
        <v>28</v>
      </c>
      <c r="I14" s="288">
        <v>38</v>
      </c>
      <c r="J14" s="289">
        <f t="shared" si="1"/>
        <v>1.3571428571428572</v>
      </c>
      <c r="K14" s="237">
        <v>39</v>
      </c>
      <c r="L14" s="288">
        <v>51</v>
      </c>
      <c r="M14" s="289">
        <f t="shared" si="2"/>
        <v>1.3076923076923077</v>
      </c>
      <c r="N14" s="403">
        <v>56</v>
      </c>
      <c r="O14" s="288">
        <v>70</v>
      </c>
      <c r="P14" s="289">
        <f t="shared" si="3"/>
        <v>1.25</v>
      </c>
      <c r="AI14" s="2"/>
      <c r="AJ14" s="2"/>
      <c r="AK14" s="60"/>
      <c r="AL14" s="60"/>
      <c r="AM14" s="60"/>
      <c r="AN14" s="60"/>
      <c r="AO14" s="2"/>
      <c r="AP14" s="178"/>
      <c r="AQ14" s="2"/>
      <c r="AT14" s="8"/>
      <c r="AY14" s="182"/>
      <c r="BE14" s="8"/>
    </row>
    <row r="15" spans="4:57" x14ac:dyDescent="0.3">
      <c r="D15" s="281" t="s">
        <v>6076</v>
      </c>
      <c r="E15" s="198">
        <v>14</v>
      </c>
      <c r="F15" s="183">
        <v>17</v>
      </c>
      <c r="G15" s="275">
        <f t="shared" si="0"/>
        <v>1.2142857142857142</v>
      </c>
      <c r="H15" s="184">
        <v>28</v>
      </c>
      <c r="I15" s="183">
        <v>35</v>
      </c>
      <c r="J15" s="275">
        <f t="shared" si="1"/>
        <v>1.25</v>
      </c>
      <c r="K15" s="184">
        <v>38</v>
      </c>
      <c r="L15" s="183">
        <v>50</v>
      </c>
      <c r="M15" s="275">
        <f t="shared" si="2"/>
        <v>1.3157894736842106</v>
      </c>
      <c r="N15" s="184">
        <v>56</v>
      </c>
      <c r="O15" s="183">
        <v>72</v>
      </c>
      <c r="P15" s="275">
        <f t="shared" si="3"/>
        <v>1.2857142857142858</v>
      </c>
      <c r="AI15" s="2"/>
      <c r="AJ15" s="2"/>
      <c r="AK15" s="60"/>
      <c r="AL15" s="60"/>
      <c r="AM15" s="60"/>
      <c r="AN15" s="60"/>
      <c r="AO15" s="2"/>
      <c r="AP15" s="182"/>
      <c r="AQ15" s="2"/>
      <c r="AT15" s="8"/>
      <c r="AY15" s="8"/>
      <c r="BB15" s="178"/>
      <c r="BE15" s="8"/>
    </row>
    <row r="16" spans="4:57" x14ac:dyDescent="0.3">
      <c r="D16" s="281" t="s">
        <v>332</v>
      </c>
      <c r="E16" s="198">
        <v>14</v>
      </c>
      <c r="F16" s="183">
        <v>11</v>
      </c>
      <c r="G16" s="275">
        <f t="shared" si="0"/>
        <v>0.7857142857142857</v>
      </c>
      <c r="H16" s="184">
        <v>27</v>
      </c>
      <c r="I16" s="183">
        <v>24</v>
      </c>
      <c r="J16" s="275">
        <f t="shared" si="1"/>
        <v>0.88888888888888884</v>
      </c>
      <c r="K16" s="184">
        <v>40</v>
      </c>
      <c r="L16" s="183">
        <v>39</v>
      </c>
      <c r="M16" s="275">
        <f t="shared" si="2"/>
        <v>0.97499999999999998</v>
      </c>
      <c r="N16" s="171">
        <v>56</v>
      </c>
      <c r="O16" s="183">
        <v>62</v>
      </c>
      <c r="P16" s="275">
        <f t="shared" si="3"/>
        <v>1.1071428571428572</v>
      </c>
      <c r="AI16" s="2"/>
      <c r="AJ16" s="2"/>
      <c r="AK16" s="60"/>
      <c r="AL16" s="60"/>
      <c r="AM16" s="60"/>
      <c r="AN16" s="60"/>
      <c r="AO16" s="2"/>
      <c r="AP16" s="8"/>
      <c r="AQ16" s="2"/>
      <c r="AT16" s="8"/>
      <c r="AY16" s="8"/>
      <c r="BB16" s="8"/>
      <c r="BE16" s="8"/>
    </row>
    <row r="17" spans="4:57" x14ac:dyDescent="0.3">
      <c r="D17" s="281" t="s">
        <v>6091</v>
      </c>
      <c r="E17" s="198">
        <v>14</v>
      </c>
      <c r="F17" s="183">
        <v>23</v>
      </c>
      <c r="G17" s="275">
        <f t="shared" si="0"/>
        <v>1.6428571428571428</v>
      </c>
      <c r="H17" s="184">
        <v>27</v>
      </c>
      <c r="I17" s="183">
        <v>38</v>
      </c>
      <c r="J17" s="275">
        <f t="shared" si="1"/>
        <v>1.4074074074074074</v>
      </c>
      <c r="K17" s="184">
        <v>40</v>
      </c>
      <c r="L17" s="183">
        <v>61</v>
      </c>
      <c r="M17" s="275">
        <f t="shared" si="2"/>
        <v>1.5249999999999999</v>
      </c>
      <c r="N17" s="171">
        <v>56</v>
      </c>
      <c r="O17" s="183">
        <v>93</v>
      </c>
      <c r="P17" s="275">
        <f t="shared" si="3"/>
        <v>1.6607142857142858</v>
      </c>
      <c r="AI17" s="2"/>
      <c r="AJ17" s="2"/>
      <c r="AK17" s="60"/>
      <c r="AL17" s="60"/>
      <c r="AM17" s="60"/>
      <c r="AN17" s="60"/>
      <c r="AO17" s="2"/>
      <c r="AP17" s="178"/>
      <c r="AQ17" s="2"/>
      <c r="AT17" s="8"/>
      <c r="AY17" s="182"/>
      <c r="BB17" s="8"/>
      <c r="BE17" s="8"/>
    </row>
    <row r="18" spans="4:57" ht="15" thickBot="1" x14ac:dyDescent="0.35">
      <c r="D18" s="283" t="s">
        <v>327</v>
      </c>
      <c r="E18" s="199">
        <v>14</v>
      </c>
      <c r="F18" s="200">
        <v>29</v>
      </c>
      <c r="G18" s="276">
        <f t="shared" si="0"/>
        <v>2.0714285714285716</v>
      </c>
      <c r="H18" s="235">
        <v>27</v>
      </c>
      <c r="I18" s="200">
        <v>52</v>
      </c>
      <c r="J18" s="276">
        <f t="shared" si="1"/>
        <v>1.9259259259259258</v>
      </c>
      <c r="K18" s="235">
        <v>40</v>
      </c>
      <c r="L18" s="200">
        <v>79</v>
      </c>
      <c r="M18" s="276">
        <f t="shared" si="2"/>
        <v>1.9750000000000001</v>
      </c>
      <c r="N18" s="235">
        <v>56</v>
      </c>
      <c r="O18" s="200">
        <v>93</v>
      </c>
      <c r="P18" s="276">
        <f t="shared" si="3"/>
        <v>1.6607142857142858</v>
      </c>
      <c r="AI18" s="2"/>
      <c r="AJ18" s="2"/>
      <c r="AK18" s="60"/>
      <c r="AL18" s="60"/>
      <c r="AM18" s="60"/>
      <c r="AN18" s="60"/>
      <c r="AO18" s="2"/>
      <c r="AP18" s="178"/>
      <c r="AQ18" s="2"/>
      <c r="AT18" s="8"/>
      <c r="AY18" s="178"/>
      <c r="BB18" s="8"/>
      <c r="BE18" s="8"/>
    </row>
    <row r="19" spans="4:57" ht="15" thickBot="1" x14ac:dyDescent="0.35">
      <c r="AI19" s="2"/>
      <c r="AJ19" s="2"/>
      <c r="AK19" s="60"/>
      <c r="AL19" s="60"/>
      <c r="AM19" s="60"/>
      <c r="AN19" s="60"/>
      <c r="AO19" s="2"/>
      <c r="AP19" s="8"/>
      <c r="AQ19" s="2"/>
      <c r="AT19" s="8"/>
    </row>
    <row r="20" spans="4:57" ht="15" thickBot="1" x14ac:dyDescent="0.35">
      <c r="D20" s="291"/>
      <c r="E20" s="292"/>
      <c r="F20" s="292"/>
      <c r="G20" s="292"/>
      <c r="H20" s="292"/>
      <c r="I20" s="292"/>
      <c r="J20" s="292"/>
      <c r="K20" s="292"/>
      <c r="L20" s="292"/>
      <c r="M20" s="292"/>
      <c r="N20" s="292"/>
      <c r="O20" s="292"/>
      <c r="P20" s="293"/>
      <c r="AI20" s="2"/>
      <c r="AJ20" s="2"/>
      <c r="AK20" s="60"/>
      <c r="AL20" s="60"/>
      <c r="AM20" s="60"/>
      <c r="AN20" s="60"/>
      <c r="AO20" s="2"/>
      <c r="AP20" s="8"/>
      <c r="AQ20" s="2"/>
      <c r="AT20" s="8"/>
    </row>
    <row r="21" spans="4:57" ht="15" thickBot="1" x14ac:dyDescent="0.35">
      <c r="AI21" s="2"/>
      <c r="AJ21" s="2"/>
      <c r="AK21" s="60"/>
      <c r="AL21" s="60"/>
      <c r="AM21" s="60"/>
      <c r="AN21" s="60"/>
      <c r="AO21" s="2"/>
      <c r="AP21" s="8"/>
      <c r="AQ21" s="2"/>
      <c r="AT21" s="8"/>
    </row>
    <row r="22" spans="4:57" x14ac:dyDescent="0.3">
      <c r="D22" s="303"/>
      <c r="E22" s="1142" t="s">
        <v>4168</v>
      </c>
      <c r="F22" s="1143"/>
      <c r="G22" s="1144"/>
      <c r="H22" s="1145" t="s">
        <v>4418</v>
      </c>
      <c r="I22" s="1143"/>
      <c r="J22" s="1144"/>
      <c r="K22" s="1142" t="s">
        <v>4478</v>
      </c>
      <c r="L22" s="1143"/>
      <c r="M22" s="1144"/>
      <c r="N22" s="1142" t="s">
        <v>4479</v>
      </c>
      <c r="O22" s="1143"/>
      <c r="P22" s="1144"/>
      <c r="AI22" s="2"/>
      <c r="AJ22" s="2"/>
      <c r="AK22" s="60"/>
      <c r="AL22" s="60"/>
      <c r="AM22" s="60"/>
      <c r="AN22" s="60"/>
      <c r="AO22" s="2"/>
      <c r="AP22" s="8"/>
      <c r="AQ22" s="2"/>
      <c r="AT22" s="272"/>
    </row>
    <row r="23" spans="4:57" ht="15" thickBot="1" x14ac:dyDescent="0.35">
      <c r="D23" s="304"/>
      <c r="E23" s="199" t="s">
        <v>999</v>
      </c>
      <c r="F23" s="200" t="s">
        <v>796</v>
      </c>
      <c r="G23" s="404" t="s">
        <v>1000</v>
      </c>
      <c r="H23" s="199" t="s">
        <v>999</v>
      </c>
      <c r="I23" s="200" t="s">
        <v>796</v>
      </c>
      <c r="J23" s="404" t="s">
        <v>1000</v>
      </c>
      <c r="K23" s="199" t="s">
        <v>999</v>
      </c>
      <c r="L23" s="200" t="s">
        <v>796</v>
      </c>
      <c r="M23" s="408" t="s">
        <v>1000</v>
      </c>
      <c r="N23" s="199" t="s">
        <v>999</v>
      </c>
      <c r="O23" s="200" t="s">
        <v>796</v>
      </c>
      <c r="P23" s="408" t="s">
        <v>1000</v>
      </c>
      <c r="AI23" s="2"/>
      <c r="AJ23" s="2"/>
      <c r="AK23" s="60"/>
      <c r="AL23" s="60"/>
      <c r="AM23" s="60"/>
      <c r="AN23" s="60"/>
      <c r="AO23" s="2"/>
      <c r="AP23" s="8"/>
      <c r="AQ23" s="2"/>
      <c r="AT23" s="8"/>
    </row>
    <row r="24" spans="4:57" x14ac:dyDescent="0.3">
      <c r="D24" s="280" t="s">
        <v>610</v>
      </c>
      <c r="E24" s="277">
        <v>14</v>
      </c>
      <c r="F24" s="278">
        <v>16</v>
      </c>
      <c r="G24" s="405">
        <f t="shared" ref="G24:G38" si="4">F24/E24</f>
        <v>1.1428571428571428</v>
      </c>
      <c r="H24" s="277">
        <f t="shared" ref="H24:H35" si="5">H4-E4</f>
        <v>13</v>
      </c>
      <c r="I24" s="278">
        <f t="shared" ref="I24:I35" si="6">I4-F4</f>
        <v>20</v>
      </c>
      <c r="J24" s="405">
        <f t="shared" ref="J24:J38" si="7">I24/H24</f>
        <v>1.5384615384615385</v>
      </c>
      <c r="K24" s="277">
        <f t="shared" ref="K24:K35" si="8">K4-H4</f>
        <v>13</v>
      </c>
      <c r="L24" s="278">
        <f t="shared" ref="L24:L35" si="9">L4-I4</f>
        <v>26</v>
      </c>
      <c r="M24" s="405">
        <f t="shared" ref="M24:M38" si="10">L24/K24</f>
        <v>2</v>
      </c>
      <c r="N24" s="277">
        <f t="shared" ref="N24:N33" si="11">N4-K4</f>
        <v>16</v>
      </c>
      <c r="O24" s="278">
        <f t="shared" ref="O24:O33" si="12">O4-L4</f>
        <v>27</v>
      </c>
      <c r="P24" s="405">
        <f t="shared" ref="P24:P38" si="13">O24/N24</f>
        <v>1.6875</v>
      </c>
      <c r="AI24" s="2"/>
      <c r="AJ24" s="2"/>
      <c r="AK24" s="60"/>
      <c r="AL24" s="60"/>
      <c r="AM24" s="60"/>
      <c r="AN24" s="60"/>
      <c r="AO24" s="2"/>
      <c r="AP24" s="8"/>
      <c r="AQ24" s="2"/>
      <c r="AT24" s="8"/>
    </row>
    <row r="25" spans="4:57" x14ac:dyDescent="0.3">
      <c r="D25" s="281" t="s">
        <v>334</v>
      </c>
      <c r="E25" s="198">
        <v>13</v>
      </c>
      <c r="F25" s="183">
        <v>28</v>
      </c>
      <c r="G25" s="406">
        <f t="shared" si="4"/>
        <v>2.1538461538461537</v>
      </c>
      <c r="H25" s="277">
        <f t="shared" si="5"/>
        <v>15</v>
      </c>
      <c r="I25" s="278">
        <f t="shared" si="6"/>
        <v>37</v>
      </c>
      <c r="J25" s="406">
        <f t="shared" si="7"/>
        <v>2.4666666666666668</v>
      </c>
      <c r="K25" s="277">
        <f t="shared" si="8"/>
        <v>12</v>
      </c>
      <c r="L25" s="278">
        <f t="shared" si="9"/>
        <v>22</v>
      </c>
      <c r="M25" s="406">
        <f t="shared" si="10"/>
        <v>1.8333333333333333</v>
      </c>
      <c r="N25" s="277">
        <f t="shared" si="11"/>
        <v>16</v>
      </c>
      <c r="O25" s="278">
        <f t="shared" si="12"/>
        <v>25</v>
      </c>
      <c r="P25" s="406">
        <f t="shared" si="13"/>
        <v>1.5625</v>
      </c>
      <c r="AI25" s="2"/>
      <c r="AJ25" s="2"/>
      <c r="AK25" s="60"/>
      <c r="AL25" s="60"/>
      <c r="AM25" s="60"/>
      <c r="AN25" s="60"/>
      <c r="AO25" s="2"/>
      <c r="AP25" s="8"/>
      <c r="AQ25" s="2"/>
      <c r="AT25" s="8"/>
    </row>
    <row r="26" spans="4:57" x14ac:dyDescent="0.3">
      <c r="D26" s="281" t="s">
        <v>331</v>
      </c>
      <c r="E26" s="198">
        <v>13</v>
      </c>
      <c r="F26" s="183">
        <v>22</v>
      </c>
      <c r="G26" s="406">
        <f t="shared" si="4"/>
        <v>1.6923076923076923</v>
      </c>
      <c r="H26" s="277">
        <f t="shared" si="5"/>
        <v>16</v>
      </c>
      <c r="I26" s="278">
        <f t="shared" si="6"/>
        <v>28</v>
      </c>
      <c r="J26" s="406">
        <f t="shared" si="7"/>
        <v>1.75</v>
      </c>
      <c r="K26" s="277">
        <f t="shared" si="8"/>
        <v>13</v>
      </c>
      <c r="L26" s="278">
        <f t="shared" si="9"/>
        <v>18</v>
      </c>
      <c r="M26" s="406">
        <f t="shared" si="10"/>
        <v>1.3846153846153846</v>
      </c>
      <c r="N26" s="277">
        <f t="shared" si="11"/>
        <v>14</v>
      </c>
      <c r="O26" s="278">
        <f t="shared" si="12"/>
        <v>23</v>
      </c>
      <c r="P26" s="406">
        <f t="shared" si="13"/>
        <v>1.6428571428571428</v>
      </c>
      <c r="AI26" s="2"/>
      <c r="AJ26" s="2"/>
      <c r="AK26" s="60"/>
      <c r="AL26" s="60"/>
      <c r="AM26" s="60"/>
      <c r="AN26" s="60"/>
      <c r="AO26" s="2"/>
      <c r="AP26" s="272"/>
      <c r="AQ26" s="2"/>
      <c r="AT26" s="8"/>
    </row>
    <row r="27" spans="4:57" x14ac:dyDescent="0.3">
      <c r="D27" s="281" t="s">
        <v>1274</v>
      </c>
      <c r="E27" s="198">
        <v>14</v>
      </c>
      <c r="F27" s="183">
        <v>28</v>
      </c>
      <c r="G27" s="406">
        <f t="shared" si="4"/>
        <v>2</v>
      </c>
      <c r="H27" s="277">
        <f t="shared" si="5"/>
        <v>14</v>
      </c>
      <c r="I27" s="278">
        <f t="shared" si="6"/>
        <v>33</v>
      </c>
      <c r="J27" s="406">
        <f t="shared" si="7"/>
        <v>2.3571428571428572</v>
      </c>
      <c r="K27" s="277">
        <f t="shared" si="8"/>
        <v>13</v>
      </c>
      <c r="L27" s="278">
        <f t="shared" si="9"/>
        <v>21</v>
      </c>
      <c r="M27" s="406">
        <f t="shared" si="10"/>
        <v>1.6153846153846154</v>
      </c>
      <c r="N27" s="277">
        <f t="shared" si="11"/>
        <v>15</v>
      </c>
      <c r="O27" s="278">
        <f t="shared" si="12"/>
        <v>34</v>
      </c>
      <c r="P27" s="406">
        <f t="shared" si="13"/>
        <v>2.2666666666666666</v>
      </c>
      <c r="AI27" s="2"/>
      <c r="AJ27" s="2"/>
      <c r="AK27" s="60"/>
      <c r="AL27" s="60"/>
      <c r="AM27" s="60"/>
      <c r="AN27" s="60"/>
      <c r="AO27" s="2"/>
      <c r="AP27" s="8"/>
      <c r="AQ27" s="2"/>
      <c r="AT27" s="8"/>
    </row>
    <row r="28" spans="4:57" x14ac:dyDescent="0.3">
      <c r="D28" s="281" t="s">
        <v>6179</v>
      </c>
      <c r="E28" s="198">
        <v>14</v>
      </c>
      <c r="F28" s="183">
        <v>21</v>
      </c>
      <c r="G28" s="406">
        <f t="shared" si="4"/>
        <v>1.5</v>
      </c>
      <c r="H28" s="277">
        <f t="shared" si="5"/>
        <v>14</v>
      </c>
      <c r="I28" s="278">
        <f t="shared" si="6"/>
        <v>21</v>
      </c>
      <c r="J28" s="406">
        <f t="shared" si="7"/>
        <v>1.5</v>
      </c>
      <c r="K28" s="277">
        <f t="shared" si="8"/>
        <v>12</v>
      </c>
      <c r="L28" s="278">
        <f t="shared" si="9"/>
        <v>17</v>
      </c>
      <c r="M28" s="406">
        <f t="shared" si="10"/>
        <v>1.4166666666666667</v>
      </c>
      <c r="N28" s="277">
        <f t="shared" si="11"/>
        <v>16</v>
      </c>
      <c r="O28" s="278">
        <f t="shared" si="12"/>
        <v>17</v>
      </c>
      <c r="P28" s="406">
        <f t="shared" si="13"/>
        <v>1.0625</v>
      </c>
      <c r="AI28" s="2"/>
      <c r="AJ28" s="2"/>
      <c r="AK28" s="2"/>
      <c r="AL28" s="60"/>
      <c r="AM28" s="60"/>
      <c r="AN28" s="60"/>
      <c r="AO28" s="2"/>
      <c r="AP28" s="8"/>
      <c r="AQ28" s="2"/>
      <c r="AT28" s="8"/>
    </row>
    <row r="29" spans="4:57" x14ac:dyDescent="0.3">
      <c r="D29" s="281" t="s">
        <v>626</v>
      </c>
      <c r="E29" s="198">
        <v>12</v>
      </c>
      <c r="F29" s="183">
        <v>21</v>
      </c>
      <c r="G29" s="406">
        <f t="shared" si="4"/>
        <v>1.75</v>
      </c>
      <c r="H29" s="277">
        <f t="shared" si="5"/>
        <v>15</v>
      </c>
      <c r="I29" s="278">
        <f t="shared" si="6"/>
        <v>18</v>
      </c>
      <c r="J29" s="406">
        <f t="shared" si="7"/>
        <v>1.2</v>
      </c>
      <c r="K29" s="277">
        <f>K9-H9</f>
        <v>12</v>
      </c>
      <c r="L29" s="278">
        <f>L9-I9</f>
        <v>13</v>
      </c>
      <c r="M29" s="406">
        <f>L29/K29</f>
        <v>1.0833333333333333</v>
      </c>
      <c r="N29" s="277">
        <f t="shared" si="11"/>
        <v>17</v>
      </c>
      <c r="O29" s="278">
        <f t="shared" si="12"/>
        <v>28</v>
      </c>
      <c r="P29" s="406">
        <f t="shared" si="13"/>
        <v>1.6470588235294117</v>
      </c>
      <c r="AI29" s="2"/>
      <c r="AJ29" s="2"/>
      <c r="AK29" s="60"/>
      <c r="AL29" s="60"/>
      <c r="AM29" s="60"/>
      <c r="AN29" s="60"/>
      <c r="AO29" s="2"/>
      <c r="AP29" s="178"/>
      <c r="AQ29" s="2"/>
      <c r="AT29" s="8"/>
    </row>
    <row r="30" spans="4:57" x14ac:dyDescent="0.3">
      <c r="D30" s="281" t="s">
        <v>328</v>
      </c>
      <c r="E30" s="198">
        <v>11</v>
      </c>
      <c r="F30" s="183">
        <v>13</v>
      </c>
      <c r="G30" s="406">
        <f t="shared" si="4"/>
        <v>1.1818181818181819</v>
      </c>
      <c r="H30" s="277">
        <f t="shared" si="5"/>
        <v>17</v>
      </c>
      <c r="I30" s="278">
        <f t="shared" si="6"/>
        <v>29</v>
      </c>
      <c r="J30" s="406">
        <f t="shared" si="7"/>
        <v>1.7058823529411764</v>
      </c>
      <c r="K30" s="277">
        <f>K10-H10</f>
        <v>11</v>
      </c>
      <c r="L30" s="278">
        <f>L10-I10</f>
        <v>21</v>
      </c>
      <c r="M30" s="406">
        <f t="shared" si="10"/>
        <v>1.9090909090909092</v>
      </c>
      <c r="N30" s="277">
        <f t="shared" si="11"/>
        <v>17</v>
      </c>
      <c r="O30" s="278">
        <f t="shared" si="12"/>
        <v>24</v>
      </c>
      <c r="P30" s="406">
        <f t="shared" si="13"/>
        <v>1.411764705882353</v>
      </c>
      <c r="AI30" s="2"/>
      <c r="AJ30" s="2"/>
      <c r="AK30" s="60"/>
      <c r="AL30" s="60"/>
      <c r="AM30" s="60"/>
      <c r="AN30" s="60"/>
      <c r="AO30" s="2"/>
      <c r="AP30" s="8"/>
      <c r="AQ30" s="2"/>
      <c r="AT30" s="8"/>
    </row>
    <row r="31" spans="4:57" x14ac:dyDescent="0.3">
      <c r="D31" s="281" t="s">
        <v>6086</v>
      </c>
      <c r="E31" s="198">
        <v>14</v>
      </c>
      <c r="F31" s="183">
        <v>27</v>
      </c>
      <c r="G31" s="406">
        <f t="shared" si="4"/>
        <v>1.9285714285714286</v>
      </c>
      <c r="H31" s="277">
        <f t="shared" si="5"/>
        <v>14</v>
      </c>
      <c r="I31" s="278">
        <f t="shared" si="6"/>
        <v>17</v>
      </c>
      <c r="J31" s="406">
        <f t="shared" si="7"/>
        <v>1.2142857142857142</v>
      </c>
      <c r="K31" s="277">
        <f t="shared" si="8"/>
        <v>12</v>
      </c>
      <c r="L31" s="278">
        <f t="shared" si="9"/>
        <v>16</v>
      </c>
      <c r="M31" s="406">
        <f t="shared" si="10"/>
        <v>1.3333333333333333</v>
      </c>
      <c r="N31" s="277">
        <f t="shared" si="11"/>
        <v>16</v>
      </c>
      <c r="O31" s="278">
        <f t="shared" si="12"/>
        <v>16</v>
      </c>
      <c r="P31" s="406">
        <f t="shared" si="13"/>
        <v>1</v>
      </c>
      <c r="AI31" s="2"/>
      <c r="AJ31" s="2"/>
      <c r="AK31" s="60"/>
      <c r="AL31" s="60"/>
      <c r="AM31" s="60"/>
      <c r="AN31" s="60"/>
      <c r="AO31" s="2"/>
      <c r="AP31" s="8"/>
      <c r="AQ31" s="2"/>
      <c r="AT31" s="8"/>
    </row>
    <row r="32" spans="4:57" x14ac:dyDescent="0.3">
      <c r="D32" s="281" t="s">
        <v>326</v>
      </c>
      <c r="E32" s="198">
        <v>14</v>
      </c>
      <c r="F32" s="183">
        <v>5</v>
      </c>
      <c r="G32" s="406">
        <f t="shared" si="4"/>
        <v>0.35714285714285715</v>
      </c>
      <c r="H32" s="277">
        <f t="shared" si="5"/>
        <v>14</v>
      </c>
      <c r="I32" s="278">
        <f t="shared" si="6"/>
        <v>11</v>
      </c>
      <c r="J32" s="406">
        <f t="shared" si="7"/>
        <v>0.7857142857142857</v>
      </c>
      <c r="K32" s="277">
        <f t="shared" si="8"/>
        <v>12</v>
      </c>
      <c r="L32" s="278">
        <f t="shared" si="9"/>
        <v>9</v>
      </c>
      <c r="M32" s="406">
        <f>L32/K32</f>
        <v>0.75</v>
      </c>
      <c r="N32" s="277">
        <f t="shared" si="11"/>
        <v>16</v>
      </c>
      <c r="O32" s="278">
        <f t="shared" si="12"/>
        <v>19</v>
      </c>
      <c r="P32" s="406">
        <f>O32/N32</f>
        <v>1.1875</v>
      </c>
      <c r="AI32" s="2"/>
      <c r="AJ32" s="2"/>
      <c r="AK32" s="60"/>
      <c r="AL32" s="60"/>
      <c r="AM32" s="60"/>
      <c r="AN32" s="60"/>
      <c r="AO32" s="2"/>
      <c r="AP32" s="8"/>
      <c r="AQ32" s="2"/>
      <c r="AT32" s="8"/>
    </row>
    <row r="33" spans="4:46" x14ac:dyDescent="0.3">
      <c r="D33" s="281" t="s">
        <v>325</v>
      </c>
      <c r="E33" s="198">
        <v>13</v>
      </c>
      <c r="F33" s="183">
        <v>26</v>
      </c>
      <c r="G33" s="406">
        <f t="shared" si="4"/>
        <v>2</v>
      </c>
      <c r="H33" s="277">
        <f t="shared" si="5"/>
        <v>15</v>
      </c>
      <c r="I33" s="278">
        <f t="shared" si="6"/>
        <v>16</v>
      </c>
      <c r="J33" s="406">
        <f t="shared" si="7"/>
        <v>1.0666666666666667</v>
      </c>
      <c r="K33" s="277">
        <f>K13-H13</f>
        <v>12</v>
      </c>
      <c r="L33" s="278">
        <f>L13-I13</f>
        <v>17</v>
      </c>
      <c r="M33" s="406">
        <f t="shared" si="10"/>
        <v>1.4166666666666667</v>
      </c>
      <c r="N33" s="277">
        <f t="shared" si="11"/>
        <v>16</v>
      </c>
      <c r="O33" s="278">
        <f t="shared" si="12"/>
        <v>40</v>
      </c>
      <c r="P33" s="406">
        <f>O33/N33</f>
        <v>2.5</v>
      </c>
      <c r="AI33" s="2"/>
      <c r="AJ33" s="2"/>
      <c r="AK33" s="60"/>
      <c r="AL33" s="60"/>
      <c r="AM33" s="60"/>
      <c r="AN33" s="60"/>
      <c r="AO33" s="2"/>
      <c r="AP33" s="178"/>
      <c r="AQ33" s="2"/>
      <c r="AT33" s="8"/>
    </row>
    <row r="34" spans="4:46" x14ac:dyDescent="0.3">
      <c r="D34" s="282" t="s">
        <v>818</v>
      </c>
      <c r="E34" s="287">
        <v>14</v>
      </c>
      <c r="F34" s="288">
        <v>16</v>
      </c>
      <c r="G34" s="289">
        <f t="shared" si="4"/>
        <v>1.1428571428571428</v>
      </c>
      <c r="H34" s="401">
        <f t="shared" si="5"/>
        <v>14</v>
      </c>
      <c r="I34" s="402">
        <f t="shared" si="6"/>
        <v>22</v>
      </c>
      <c r="J34" s="289">
        <f t="shared" si="7"/>
        <v>1.5714285714285714</v>
      </c>
      <c r="K34" s="401">
        <f>K14-H14</f>
        <v>11</v>
      </c>
      <c r="L34" s="402">
        <f>L14-I14</f>
        <v>13</v>
      </c>
      <c r="M34" s="289">
        <f t="shared" si="10"/>
        <v>1.1818181818181819</v>
      </c>
      <c r="N34" s="401">
        <f t="shared" ref="N34:O38" si="14">N14-K14</f>
        <v>17</v>
      </c>
      <c r="O34" s="402">
        <f t="shared" si="14"/>
        <v>19</v>
      </c>
      <c r="P34" s="289">
        <f t="shared" si="13"/>
        <v>1.1176470588235294</v>
      </c>
      <c r="AI34" s="2"/>
      <c r="AJ34" s="2"/>
      <c r="AK34" s="60"/>
      <c r="AL34" s="60"/>
      <c r="AM34" s="60"/>
      <c r="AN34" s="60"/>
      <c r="AO34" s="2"/>
      <c r="AP34" s="8"/>
      <c r="AQ34" s="2"/>
      <c r="AT34" s="8"/>
    </row>
    <row r="35" spans="4:46" x14ac:dyDescent="0.3">
      <c r="D35" s="281" t="s">
        <v>6076</v>
      </c>
      <c r="E35" s="198">
        <v>14</v>
      </c>
      <c r="F35" s="183">
        <v>17</v>
      </c>
      <c r="G35" s="406">
        <f t="shared" si="4"/>
        <v>1.2142857142857142</v>
      </c>
      <c r="H35" s="277">
        <f t="shared" si="5"/>
        <v>14</v>
      </c>
      <c r="I35" s="278">
        <f t="shared" si="6"/>
        <v>18</v>
      </c>
      <c r="J35" s="406">
        <f t="shared" si="7"/>
        <v>1.2857142857142858</v>
      </c>
      <c r="K35" s="277">
        <f t="shared" si="8"/>
        <v>10</v>
      </c>
      <c r="L35" s="278">
        <f t="shared" si="9"/>
        <v>15</v>
      </c>
      <c r="M35" s="406">
        <f t="shared" si="10"/>
        <v>1.5</v>
      </c>
      <c r="N35" s="277">
        <f t="shared" si="14"/>
        <v>18</v>
      </c>
      <c r="O35" s="278">
        <f t="shared" si="14"/>
        <v>22</v>
      </c>
      <c r="P35" s="406">
        <f t="shared" si="13"/>
        <v>1.2222222222222223</v>
      </c>
      <c r="AI35" s="2"/>
      <c r="AJ35" s="2"/>
      <c r="AK35" s="60"/>
      <c r="AL35" s="60"/>
      <c r="AM35" s="60"/>
      <c r="AN35" s="60"/>
      <c r="AO35" s="2"/>
      <c r="AP35" s="8"/>
      <c r="AQ35" s="2"/>
      <c r="AT35" s="8"/>
    </row>
    <row r="36" spans="4:46" x14ac:dyDescent="0.3">
      <c r="D36" s="281" t="s">
        <v>332</v>
      </c>
      <c r="E36" s="198">
        <v>14</v>
      </c>
      <c r="F36" s="183">
        <v>11</v>
      </c>
      <c r="G36" s="406">
        <f t="shared" si="4"/>
        <v>0.7857142857142857</v>
      </c>
      <c r="H36" s="277">
        <f t="shared" ref="H36" si="15">H16-E16</f>
        <v>13</v>
      </c>
      <c r="I36" s="278">
        <f t="shared" ref="I36" si="16">I16-F16</f>
        <v>13</v>
      </c>
      <c r="J36" s="406">
        <f t="shared" si="7"/>
        <v>1</v>
      </c>
      <c r="K36" s="277">
        <f t="shared" ref="K36:L38" si="17">K16-H16</f>
        <v>13</v>
      </c>
      <c r="L36" s="278">
        <f t="shared" si="17"/>
        <v>15</v>
      </c>
      <c r="M36" s="406">
        <f t="shared" si="10"/>
        <v>1.1538461538461537</v>
      </c>
      <c r="N36" s="277">
        <f t="shared" si="14"/>
        <v>16</v>
      </c>
      <c r="O36" s="278">
        <f t="shared" si="14"/>
        <v>23</v>
      </c>
      <c r="P36" s="406">
        <f>O36/N36</f>
        <v>1.4375</v>
      </c>
      <c r="AI36" s="2"/>
      <c r="AJ36" s="2"/>
      <c r="AK36" s="60"/>
      <c r="AL36" s="60"/>
      <c r="AM36" s="60"/>
      <c r="AN36" s="60"/>
      <c r="AO36" s="2"/>
      <c r="AP36" s="8"/>
      <c r="AQ36" s="2"/>
      <c r="AT36" s="8"/>
    </row>
    <row r="37" spans="4:46" x14ac:dyDescent="0.3">
      <c r="D37" s="281" t="s">
        <v>6091</v>
      </c>
      <c r="E37" s="198">
        <v>14</v>
      </c>
      <c r="F37" s="183">
        <v>23</v>
      </c>
      <c r="G37" s="406">
        <f t="shared" si="4"/>
        <v>1.6428571428571428</v>
      </c>
      <c r="H37" s="277">
        <f t="shared" ref="H37:I37" si="18">H17-E17</f>
        <v>13</v>
      </c>
      <c r="I37" s="278">
        <f t="shared" si="18"/>
        <v>15</v>
      </c>
      <c r="J37" s="406">
        <f t="shared" si="7"/>
        <v>1.1538461538461537</v>
      </c>
      <c r="K37" s="277">
        <f t="shared" si="17"/>
        <v>13</v>
      </c>
      <c r="L37" s="278">
        <f t="shared" si="17"/>
        <v>23</v>
      </c>
      <c r="M37" s="406">
        <f t="shared" si="10"/>
        <v>1.7692307692307692</v>
      </c>
      <c r="N37" s="277">
        <f t="shared" si="14"/>
        <v>16</v>
      </c>
      <c r="O37" s="278">
        <f t="shared" si="14"/>
        <v>32</v>
      </c>
      <c r="P37" s="406">
        <f t="shared" si="13"/>
        <v>2</v>
      </c>
      <c r="Z37" s="129"/>
      <c r="AA37" s="130"/>
      <c r="AB37" s="130"/>
      <c r="AI37" s="2"/>
      <c r="AJ37" s="2"/>
      <c r="AK37" s="60"/>
      <c r="AL37" s="60"/>
      <c r="AM37" s="60"/>
      <c r="AN37" s="60"/>
      <c r="AO37" s="2"/>
      <c r="AP37" s="8"/>
      <c r="AQ37" s="2"/>
      <c r="AT37" s="182"/>
    </row>
    <row r="38" spans="4:46" ht="15" thickBot="1" x14ac:dyDescent="0.35">
      <c r="D38" s="283" t="s">
        <v>327</v>
      </c>
      <c r="E38" s="199">
        <v>14</v>
      </c>
      <c r="F38" s="200">
        <v>29</v>
      </c>
      <c r="G38" s="407">
        <f t="shared" si="4"/>
        <v>2.0714285714285716</v>
      </c>
      <c r="H38" s="199">
        <f>H18-E18</f>
        <v>13</v>
      </c>
      <c r="I38" s="200">
        <f>I18-F18</f>
        <v>23</v>
      </c>
      <c r="J38" s="407">
        <f t="shared" si="7"/>
        <v>1.7692307692307692</v>
      </c>
      <c r="K38" s="199">
        <f t="shared" si="17"/>
        <v>13</v>
      </c>
      <c r="L38" s="200">
        <f t="shared" si="17"/>
        <v>27</v>
      </c>
      <c r="M38" s="407">
        <f t="shared" si="10"/>
        <v>2.0769230769230771</v>
      </c>
      <c r="N38" s="199">
        <f t="shared" si="14"/>
        <v>16</v>
      </c>
      <c r="O38" s="200">
        <f t="shared" si="14"/>
        <v>14</v>
      </c>
      <c r="P38" s="407">
        <f t="shared" si="13"/>
        <v>0.875</v>
      </c>
      <c r="X38" s="130"/>
      <c r="Y38" s="130"/>
      <c r="AI38" s="2"/>
      <c r="AJ38" s="2"/>
      <c r="AK38" s="60"/>
      <c r="AL38" s="60"/>
      <c r="AM38" s="60"/>
      <c r="AN38" s="60"/>
      <c r="AO38" s="2"/>
      <c r="AP38" s="8"/>
      <c r="AQ38" s="2"/>
      <c r="AT38" s="8"/>
    </row>
    <row r="39" spans="4:46" x14ac:dyDescent="0.3">
      <c r="X39" s="130"/>
      <c r="Y39" s="130"/>
      <c r="AI39" s="2"/>
      <c r="AJ39" s="2"/>
      <c r="AK39" s="60"/>
      <c r="AL39" s="60"/>
      <c r="AM39" s="60"/>
      <c r="AN39" s="60"/>
      <c r="AO39" s="2"/>
      <c r="AP39" s="8"/>
      <c r="AQ39" s="2"/>
      <c r="AT39" s="8"/>
    </row>
    <row r="40" spans="4:46" ht="8.25" customHeight="1" x14ac:dyDescent="0.3">
      <c r="AI40" s="2"/>
      <c r="AJ40" s="2"/>
      <c r="AK40" s="60"/>
      <c r="AL40" s="60"/>
      <c r="AM40" s="60"/>
      <c r="AN40" s="60"/>
      <c r="AO40" s="2"/>
      <c r="AP40" s="8"/>
      <c r="AQ40" s="2"/>
      <c r="AT40" s="8"/>
    </row>
    <row r="41" spans="4:46" s="583" customFormat="1" ht="8.25" customHeight="1" x14ac:dyDescent="0.3">
      <c r="AI41" s="584"/>
      <c r="AJ41" s="584"/>
      <c r="AK41" s="585"/>
      <c r="AL41" s="585"/>
      <c r="AM41" s="585"/>
      <c r="AN41" s="585"/>
      <c r="AO41" s="584"/>
      <c r="AP41" s="586"/>
      <c r="AQ41" s="584"/>
      <c r="AT41" s="586"/>
    </row>
    <row r="42" spans="4:46" ht="7.5" customHeight="1" x14ac:dyDescent="0.3">
      <c r="AI42" s="2"/>
      <c r="AJ42" s="2"/>
      <c r="AK42" s="60"/>
      <c r="AL42" s="60"/>
      <c r="AM42" s="60"/>
      <c r="AN42" s="60"/>
      <c r="AO42" s="2"/>
      <c r="AP42" s="8"/>
      <c r="AQ42" s="2"/>
      <c r="AT42" s="8"/>
    </row>
    <row r="43" spans="4:46" x14ac:dyDescent="0.3">
      <c r="AI43" s="2"/>
      <c r="AJ43" s="2"/>
      <c r="AK43" s="60"/>
      <c r="AL43" s="60"/>
      <c r="AM43" s="60"/>
      <c r="AN43" s="60"/>
      <c r="AO43" s="2"/>
      <c r="AP43" s="8"/>
      <c r="AQ43" s="2"/>
      <c r="AT43" s="8"/>
    </row>
    <row r="44" spans="4:46" ht="18" x14ac:dyDescent="0.35">
      <c r="D44" s="575" t="s">
        <v>4385</v>
      </c>
      <c r="E44" s="576"/>
      <c r="F44" s="576"/>
      <c r="G44" s="576"/>
      <c r="H44" s="576"/>
      <c r="AI44" s="2"/>
      <c r="AJ44" s="2"/>
      <c r="AK44" s="60"/>
      <c r="AL44" s="60"/>
      <c r="AM44" s="60"/>
      <c r="AN44" s="60"/>
      <c r="AO44" s="2"/>
      <c r="AP44" s="178"/>
      <c r="AQ44" s="2"/>
      <c r="AT44" s="8"/>
    </row>
    <row r="45" spans="4:46" ht="15" thickBot="1" x14ac:dyDescent="0.35">
      <c r="D45" s="357" t="s">
        <v>1254</v>
      </c>
      <c r="E45" s="357" t="s">
        <v>813</v>
      </c>
      <c r="F45" s="357" t="s">
        <v>1255</v>
      </c>
      <c r="G45" s="357" t="s">
        <v>16</v>
      </c>
      <c r="H45" s="357" t="s">
        <v>793</v>
      </c>
      <c r="I45" s="357" t="s">
        <v>794</v>
      </c>
      <c r="J45" s="357" t="s">
        <v>743</v>
      </c>
      <c r="K45" s="357" t="s">
        <v>795</v>
      </c>
      <c r="L45" s="565" t="s">
        <v>1256</v>
      </c>
      <c r="M45" s="357" t="s">
        <v>4225</v>
      </c>
      <c r="N45" s="357" t="s">
        <v>4226</v>
      </c>
      <c r="O45" s="357" t="s">
        <v>4227</v>
      </c>
      <c r="P45" s="357" t="s">
        <v>4228</v>
      </c>
      <c r="Q45" s="357" t="s">
        <v>1257</v>
      </c>
      <c r="R45" s="357" t="s">
        <v>1258</v>
      </c>
      <c r="S45" s="357" t="s">
        <v>4229</v>
      </c>
      <c r="T45" s="357" t="s">
        <v>1259</v>
      </c>
      <c r="U45" s="357" t="s">
        <v>1260</v>
      </c>
      <c r="V45" s="357" t="s">
        <v>1261</v>
      </c>
      <c r="W45" s="357" t="s">
        <v>4230</v>
      </c>
      <c r="X45" s="357" t="s">
        <v>4231</v>
      </c>
      <c r="Y45" s="357" t="s">
        <v>4232</v>
      </c>
      <c r="AI45" s="2"/>
      <c r="AJ45" s="2"/>
      <c r="AK45" s="60"/>
      <c r="AL45" s="60"/>
      <c r="AM45" s="60"/>
      <c r="AN45" s="60"/>
      <c r="AO45" s="2"/>
      <c r="AP45" s="8"/>
      <c r="AQ45" s="2"/>
      <c r="AT45" s="8"/>
    </row>
    <row r="46" spans="4:46" ht="15" thickBot="1" x14ac:dyDescent="0.35">
      <c r="D46" s="566">
        <v>1</v>
      </c>
      <c r="E46" s="566" t="s">
        <v>1266</v>
      </c>
      <c r="F46" s="566">
        <v>22</v>
      </c>
      <c r="G46" s="566">
        <v>15</v>
      </c>
      <c r="H46" s="566">
        <v>2</v>
      </c>
      <c r="I46" s="566">
        <v>3</v>
      </c>
      <c r="J46" s="566">
        <v>2</v>
      </c>
      <c r="K46" s="352">
        <v>2.9020833333333336</v>
      </c>
      <c r="L46" s="567">
        <v>52</v>
      </c>
      <c r="M46" s="566">
        <v>79</v>
      </c>
      <c r="N46" s="568">
        <v>44467</v>
      </c>
      <c r="O46" s="566" t="s">
        <v>4233</v>
      </c>
      <c r="P46" s="566">
        <v>74</v>
      </c>
      <c r="Q46" s="566">
        <v>21</v>
      </c>
      <c r="R46" s="566" t="s">
        <v>4234</v>
      </c>
      <c r="S46" s="566">
        <v>77</v>
      </c>
      <c r="T46" s="566">
        <v>13</v>
      </c>
      <c r="U46" s="566" t="s">
        <v>4235</v>
      </c>
      <c r="V46" s="566">
        <v>1</v>
      </c>
      <c r="W46" s="566" t="s">
        <v>4236</v>
      </c>
      <c r="X46" s="566">
        <v>157</v>
      </c>
      <c r="Y46" s="566">
        <v>188</v>
      </c>
      <c r="AI46" s="2"/>
      <c r="AJ46" s="2"/>
      <c r="AK46" s="60"/>
      <c r="AL46" s="60"/>
      <c r="AM46" s="60"/>
      <c r="AN46" s="60"/>
      <c r="AO46" s="2"/>
      <c r="AP46" s="8"/>
      <c r="AQ46" s="2"/>
      <c r="AT46" s="182"/>
    </row>
    <row r="47" spans="4:46" ht="15" thickBot="1" x14ac:dyDescent="0.35">
      <c r="D47" s="566">
        <v>2</v>
      </c>
      <c r="E47" s="566" t="s">
        <v>1274</v>
      </c>
      <c r="F47" s="566">
        <v>21</v>
      </c>
      <c r="G47" s="566">
        <v>13</v>
      </c>
      <c r="H47" s="566">
        <v>4</v>
      </c>
      <c r="I47" s="566">
        <v>0</v>
      </c>
      <c r="J47" s="566">
        <v>4</v>
      </c>
      <c r="K47" s="352">
        <v>2.817361111111111</v>
      </c>
      <c r="L47" s="567">
        <v>47</v>
      </c>
      <c r="M47" s="566">
        <v>75</v>
      </c>
      <c r="N47" s="566" t="s">
        <v>4237</v>
      </c>
      <c r="O47" s="566" t="s">
        <v>4238</v>
      </c>
      <c r="P47" s="566">
        <v>75</v>
      </c>
      <c r="Q47" s="566">
        <v>18</v>
      </c>
      <c r="R47" s="566" t="s">
        <v>4239</v>
      </c>
      <c r="S47" s="566">
        <v>79</v>
      </c>
      <c r="T47" s="566">
        <v>13</v>
      </c>
      <c r="U47" s="566" t="s">
        <v>2906</v>
      </c>
      <c r="V47" s="566">
        <v>4</v>
      </c>
      <c r="W47" s="566" t="s">
        <v>4240</v>
      </c>
      <c r="X47" s="566">
        <v>127</v>
      </c>
      <c r="Y47" s="566">
        <v>195</v>
      </c>
    </row>
    <row r="48" spans="4:46" ht="28.2" thickBot="1" x14ac:dyDescent="0.35">
      <c r="D48" s="566">
        <v>3</v>
      </c>
      <c r="E48" s="566" t="s">
        <v>1311</v>
      </c>
      <c r="F48" s="566">
        <v>22</v>
      </c>
      <c r="G48" s="566">
        <v>10</v>
      </c>
      <c r="H48" s="566">
        <v>5</v>
      </c>
      <c r="I48" s="566">
        <v>2</v>
      </c>
      <c r="J48" s="566">
        <v>5</v>
      </c>
      <c r="K48" s="352">
        <v>2.9541666666666671</v>
      </c>
      <c r="L48" s="567">
        <v>42</v>
      </c>
      <c r="M48" s="566">
        <v>64</v>
      </c>
      <c r="N48" s="566" t="s">
        <v>4241</v>
      </c>
      <c r="O48" s="566" t="s">
        <v>4242</v>
      </c>
      <c r="P48" s="566">
        <v>68</v>
      </c>
      <c r="Q48" s="566">
        <v>17</v>
      </c>
      <c r="R48" s="566" t="s">
        <v>1391</v>
      </c>
      <c r="S48" s="566">
        <v>89</v>
      </c>
      <c r="T48" s="566">
        <v>13</v>
      </c>
      <c r="U48" s="566" t="s">
        <v>4243</v>
      </c>
      <c r="V48" s="566">
        <v>3</v>
      </c>
      <c r="W48" s="566" t="s">
        <v>4240</v>
      </c>
      <c r="X48" s="566">
        <v>131</v>
      </c>
      <c r="Y48" s="566">
        <v>240</v>
      </c>
    </row>
    <row r="49" spans="4:25" ht="15" thickBot="1" x14ac:dyDescent="0.35">
      <c r="D49" s="566">
        <v>4</v>
      </c>
      <c r="E49" s="566" t="s">
        <v>1290</v>
      </c>
      <c r="F49" s="566">
        <v>22</v>
      </c>
      <c r="G49" s="566">
        <v>11</v>
      </c>
      <c r="H49" s="566">
        <v>2</v>
      </c>
      <c r="I49" s="566">
        <v>2</v>
      </c>
      <c r="J49" s="566">
        <v>7</v>
      </c>
      <c r="K49" s="352">
        <v>2.3249999999999997</v>
      </c>
      <c r="L49" s="567">
        <v>39</v>
      </c>
      <c r="M49" s="566">
        <v>59</v>
      </c>
      <c r="N49" s="566" t="s">
        <v>4244</v>
      </c>
      <c r="O49" s="566" t="s">
        <v>4245</v>
      </c>
      <c r="P49" s="566">
        <v>88</v>
      </c>
      <c r="Q49" s="566">
        <v>14</v>
      </c>
      <c r="R49" s="566" t="s">
        <v>1870</v>
      </c>
      <c r="S49" s="566">
        <v>70</v>
      </c>
      <c r="T49" s="566">
        <v>12</v>
      </c>
      <c r="U49" s="566" t="s">
        <v>4246</v>
      </c>
      <c r="V49" s="566">
        <v>1</v>
      </c>
      <c r="W49" s="566" t="s">
        <v>4247</v>
      </c>
      <c r="X49" s="566">
        <v>157</v>
      </c>
      <c r="Y49" s="566">
        <v>191</v>
      </c>
    </row>
    <row r="50" spans="4:25" ht="15" thickBot="1" x14ac:dyDescent="0.35">
      <c r="D50" s="566">
        <v>5</v>
      </c>
      <c r="E50" s="566" t="s">
        <v>1270</v>
      </c>
      <c r="F50" s="566">
        <v>22</v>
      </c>
      <c r="G50" s="566">
        <v>10</v>
      </c>
      <c r="H50" s="566">
        <v>1</v>
      </c>
      <c r="I50" s="566">
        <v>4</v>
      </c>
      <c r="J50" s="566">
        <v>7</v>
      </c>
      <c r="K50" s="339" t="s">
        <v>1477</v>
      </c>
      <c r="L50" s="567">
        <v>36</v>
      </c>
      <c r="M50" s="566">
        <v>55</v>
      </c>
      <c r="N50" s="566" t="s">
        <v>4248</v>
      </c>
      <c r="O50" s="566" t="s">
        <v>4249</v>
      </c>
      <c r="P50" s="566">
        <v>100</v>
      </c>
      <c r="Q50" s="566">
        <v>23</v>
      </c>
      <c r="R50" s="566" t="s">
        <v>4250</v>
      </c>
      <c r="S50" s="566">
        <v>77</v>
      </c>
      <c r="T50" s="566">
        <v>10</v>
      </c>
      <c r="U50" s="566" t="s">
        <v>2505</v>
      </c>
      <c r="V50" s="566">
        <v>1</v>
      </c>
      <c r="W50" s="566" t="s">
        <v>4251</v>
      </c>
      <c r="X50" s="566">
        <v>110</v>
      </c>
      <c r="Y50" s="566">
        <v>201</v>
      </c>
    </row>
    <row r="51" spans="4:25" ht="28.2" thickBot="1" x14ac:dyDescent="0.35">
      <c r="D51" s="566">
        <v>6</v>
      </c>
      <c r="E51" s="566" t="s">
        <v>4252</v>
      </c>
      <c r="F51" s="566">
        <v>21</v>
      </c>
      <c r="G51" s="566">
        <v>10</v>
      </c>
      <c r="H51" s="566">
        <v>1</v>
      </c>
      <c r="I51" s="566">
        <v>2</v>
      </c>
      <c r="J51" s="566">
        <v>8</v>
      </c>
      <c r="K51" s="339" t="s">
        <v>1438</v>
      </c>
      <c r="L51" s="567">
        <v>34</v>
      </c>
      <c r="M51" s="566">
        <v>54</v>
      </c>
      <c r="N51" s="566" t="s">
        <v>4253</v>
      </c>
      <c r="O51" s="566" t="s">
        <v>4254</v>
      </c>
      <c r="P51" s="566">
        <v>88</v>
      </c>
      <c r="Q51" s="566">
        <v>18</v>
      </c>
      <c r="R51" s="566" t="s">
        <v>1730</v>
      </c>
      <c r="S51" s="566">
        <v>75</v>
      </c>
      <c r="T51" s="566">
        <v>17</v>
      </c>
      <c r="U51" s="566" t="s">
        <v>4255</v>
      </c>
      <c r="V51" s="566">
        <v>2</v>
      </c>
      <c r="W51" s="566" t="s">
        <v>4256</v>
      </c>
      <c r="X51" s="566">
        <v>133</v>
      </c>
      <c r="Y51" s="566">
        <v>158</v>
      </c>
    </row>
    <row r="52" spans="4:25" ht="15" thickBot="1" x14ac:dyDescent="0.35">
      <c r="D52" s="566">
        <v>7</v>
      </c>
      <c r="E52" s="566" t="s">
        <v>1282</v>
      </c>
      <c r="F52" s="566">
        <v>20</v>
      </c>
      <c r="G52" s="566">
        <v>8</v>
      </c>
      <c r="H52" s="566">
        <v>4</v>
      </c>
      <c r="I52" s="566">
        <v>1</v>
      </c>
      <c r="J52" s="566">
        <v>7</v>
      </c>
      <c r="K52" s="352">
        <v>2.0347222222222223</v>
      </c>
      <c r="L52" s="567">
        <v>33</v>
      </c>
      <c r="M52" s="566">
        <v>55</v>
      </c>
      <c r="N52" s="566" t="s">
        <v>4257</v>
      </c>
      <c r="O52" s="566" t="s">
        <v>4258</v>
      </c>
      <c r="P52" s="566">
        <v>72</v>
      </c>
      <c r="Q52" s="566">
        <v>15</v>
      </c>
      <c r="R52" s="566" t="s">
        <v>2741</v>
      </c>
      <c r="S52" s="566">
        <v>69</v>
      </c>
      <c r="T52" s="566">
        <v>13</v>
      </c>
      <c r="U52" s="566" t="s">
        <v>1433</v>
      </c>
      <c r="V52" s="566">
        <v>1</v>
      </c>
      <c r="W52" s="566" t="s">
        <v>4259</v>
      </c>
      <c r="X52" s="566">
        <v>116</v>
      </c>
      <c r="Y52" s="566">
        <v>181</v>
      </c>
    </row>
    <row r="53" spans="4:25" ht="15" thickBot="1" x14ac:dyDescent="0.35">
      <c r="D53" s="566">
        <v>8</v>
      </c>
      <c r="E53" s="566" t="s">
        <v>1297</v>
      </c>
      <c r="F53" s="566">
        <v>21</v>
      </c>
      <c r="G53" s="566">
        <v>7</v>
      </c>
      <c r="H53" s="566">
        <v>3</v>
      </c>
      <c r="I53" s="566">
        <v>4</v>
      </c>
      <c r="J53" s="566">
        <v>7</v>
      </c>
      <c r="K53" s="339" t="s">
        <v>2536</v>
      </c>
      <c r="L53" s="567">
        <v>31</v>
      </c>
      <c r="M53" s="566">
        <v>49</v>
      </c>
      <c r="N53" s="566" t="s">
        <v>4260</v>
      </c>
      <c r="O53" s="566" t="s">
        <v>4261</v>
      </c>
      <c r="P53" s="566">
        <v>80</v>
      </c>
      <c r="Q53" s="566">
        <v>15</v>
      </c>
      <c r="R53" s="566" t="s">
        <v>4262</v>
      </c>
      <c r="S53" s="566">
        <v>79</v>
      </c>
      <c r="T53" s="566">
        <v>19</v>
      </c>
      <c r="U53" s="566" t="s">
        <v>4263</v>
      </c>
      <c r="V53" s="566">
        <v>2</v>
      </c>
      <c r="W53" s="566" t="s">
        <v>4264</v>
      </c>
      <c r="X53" s="566">
        <v>107</v>
      </c>
      <c r="Y53" s="566">
        <v>234</v>
      </c>
    </row>
    <row r="54" spans="4:25" ht="15" thickBot="1" x14ac:dyDescent="0.35">
      <c r="D54" s="566">
        <v>9</v>
      </c>
      <c r="E54" s="566" t="s">
        <v>1262</v>
      </c>
      <c r="F54" s="566">
        <v>21</v>
      </c>
      <c r="G54" s="566">
        <v>8</v>
      </c>
      <c r="H54" s="566">
        <v>0</v>
      </c>
      <c r="I54" s="566">
        <v>5</v>
      </c>
      <c r="J54" s="566">
        <v>8</v>
      </c>
      <c r="K54" s="352">
        <v>1.9145833333333335</v>
      </c>
      <c r="L54" s="567">
        <v>29</v>
      </c>
      <c r="M54" s="566">
        <v>46</v>
      </c>
      <c r="N54" s="566" t="s">
        <v>4265</v>
      </c>
      <c r="O54" s="566" t="s">
        <v>4266</v>
      </c>
      <c r="P54" s="566">
        <v>76</v>
      </c>
      <c r="Q54" s="566">
        <v>9</v>
      </c>
      <c r="R54" s="569">
        <v>30987</v>
      </c>
      <c r="S54" s="566">
        <v>85</v>
      </c>
      <c r="T54" s="566">
        <v>17</v>
      </c>
      <c r="U54" s="566" t="s">
        <v>1310</v>
      </c>
      <c r="V54" s="566">
        <v>3</v>
      </c>
      <c r="W54" s="566" t="s">
        <v>4267</v>
      </c>
      <c r="X54" s="566">
        <v>137</v>
      </c>
      <c r="Y54" s="566">
        <v>205</v>
      </c>
    </row>
    <row r="55" spans="4:25" ht="15" thickBot="1" x14ac:dyDescent="0.35">
      <c r="D55" s="571">
        <v>10</v>
      </c>
      <c r="E55" s="571" t="s">
        <v>80</v>
      </c>
      <c r="F55" s="571">
        <v>21</v>
      </c>
      <c r="G55" s="571">
        <v>8</v>
      </c>
      <c r="H55" s="571">
        <v>1</v>
      </c>
      <c r="I55" s="571">
        <v>2</v>
      </c>
      <c r="J55" s="571">
        <v>10</v>
      </c>
      <c r="K55" s="573" t="s">
        <v>4223</v>
      </c>
      <c r="L55" s="572">
        <v>28</v>
      </c>
      <c r="M55" s="571">
        <v>44</v>
      </c>
      <c r="N55" s="571" t="s">
        <v>4265</v>
      </c>
      <c r="O55" s="571" t="s">
        <v>4268</v>
      </c>
      <c r="P55" s="571">
        <v>72</v>
      </c>
      <c r="Q55" s="571">
        <v>12</v>
      </c>
      <c r="R55" s="571" t="s">
        <v>1367</v>
      </c>
      <c r="S55" s="571">
        <v>78</v>
      </c>
      <c r="T55" s="571">
        <v>15</v>
      </c>
      <c r="U55" s="571" t="s">
        <v>1753</v>
      </c>
      <c r="V55" s="571">
        <v>1</v>
      </c>
      <c r="W55" s="571" t="s">
        <v>4269</v>
      </c>
      <c r="X55" s="571">
        <v>152</v>
      </c>
      <c r="Y55" s="571">
        <v>191</v>
      </c>
    </row>
    <row r="56" spans="4:25" ht="15" thickBot="1" x14ac:dyDescent="0.35">
      <c r="D56" s="566">
        <v>11</v>
      </c>
      <c r="E56" s="566" t="s">
        <v>1278</v>
      </c>
      <c r="F56" s="566">
        <v>21</v>
      </c>
      <c r="G56" s="566">
        <v>5</v>
      </c>
      <c r="H56" s="566">
        <v>5</v>
      </c>
      <c r="I56" s="566">
        <v>2</v>
      </c>
      <c r="J56" s="566">
        <v>9</v>
      </c>
      <c r="K56" s="339" t="s">
        <v>4270</v>
      </c>
      <c r="L56" s="567">
        <v>27</v>
      </c>
      <c r="M56" s="566">
        <v>43</v>
      </c>
      <c r="N56" s="566" t="s">
        <v>4271</v>
      </c>
      <c r="O56" s="566" t="s">
        <v>4272</v>
      </c>
      <c r="P56" s="566">
        <v>67</v>
      </c>
      <c r="Q56" s="566">
        <v>12</v>
      </c>
      <c r="R56" s="566" t="s">
        <v>1525</v>
      </c>
      <c r="S56" s="566">
        <v>63</v>
      </c>
      <c r="T56" s="566">
        <v>16</v>
      </c>
      <c r="U56" s="566" t="s">
        <v>4273</v>
      </c>
      <c r="V56" s="566">
        <v>2</v>
      </c>
      <c r="W56" s="566" t="s">
        <v>4274</v>
      </c>
      <c r="X56" s="566">
        <v>157</v>
      </c>
      <c r="Y56" s="566">
        <v>137</v>
      </c>
    </row>
    <row r="57" spans="4:25" ht="28.2" thickBot="1" x14ac:dyDescent="0.35">
      <c r="D57" s="566">
        <v>12</v>
      </c>
      <c r="E57" s="566" t="s">
        <v>1303</v>
      </c>
      <c r="F57" s="566">
        <v>20</v>
      </c>
      <c r="G57" s="566">
        <v>7</v>
      </c>
      <c r="H57" s="566">
        <v>1</v>
      </c>
      <c r="I57" s="566">
        <v>2</v>
      </c>
      <c r="J57" s="566">
        <v>10</v>
      </c>
      <c r="K57" s="352">
        <v>2.4569444444444444</v>
      </c>
      <c r="L57" s="567">
        <v>25</v>
      </c>
      <c r="M57" s="566">
        <v>42</v>
      </c>
      <c r="N57" s="566" t="s">
        <v>4258</v>
      </c>
      <c r="O57" s="566" t="s">
        <v>4275</v>
      </c>
      <c r="P57" s="566">
        <v>67</v>
      </c>
      <c r="Q57" s="566">
        <v>14</v>
      </c>
      <c r="R57" s="566" t="s">
        <v>2681</v>
      </c>
      <c r="S57" s="566">
        <v>65</v>
      </c>
      <c r="T57" s="566">
        <v>15</v>
      </c>
      <c r="U57" s="566" t="s">
        <v>4276</v>
      </c>
      <c r="V57" s="566">
        <v>3</v>
      </c>
      <c r="W57" s="566" t="s">
        <v>4277</v>
      </c>
      <c r="X57" s="566">
        <v>97</v>
      </c>
      <c r="Y57" s="566">
        <v>193</v>
      </c>
    </row>
    <row r="58" spans="4:25" ht="28.2" thickBot="1" x14ac:dyDescent="0.35">
      <c r="D58" s="566">
        <v>13</v>
      </c>
      <c r="E58" s="566" t="s">
        <v>1286</v>
      </c>
      <c r="F58" s="566">
        <v>19</v>
      </c>
      <c r="G58" s="566">
        <v>7</v>
      </c>
      <c r="H58" s="566">
        <v>2</v>
      </c>
      <c r="I58" s="566">
        <v>0</v>
      </c>
      <c r="J58" s="566">
        <v>10</v>
      </c>
      <c r="K58" s="352">
        <v>1.4069444444444443</v>
      </c>
      <c r="L58" s="567">
        <v>25</v>
      </c>
      <c r="M58" s="566">
        <v>44</v>
      </c>
      <c r="N58" s="566" t="s">
        <v>4278</v>
      </c>
      <c r="O58" s="566" t="s">
        <v>4279</v>
      </c>
      <c r="P58" s="566">
        <v>57</v>
      </c>
      <c r="Q58" s="566">
        <v>8</v>
      </c>
      <c r="R58" s="568">
        <v>44300</v>
      </c>
      <c r="S58" s="566">
        <v>70</v>
      </c>
      <c r="T58" s="566">
        <v>9</v>
      </c>
      <c r="U58" s="566" t="s">
        <v>4280</v>
      </c>
      <c r="V58" s="566">
        <v>0</v>
      </c>
      <c r="W58" s="566" t="s">
        <v>4281</v>
      </c>
      <c r="X58" s="566">
        <v>167</v>
      </c>
      <c r="Y58" s="566">
        <v>211</v>
      </c>
    </row>
    <row r="59" spans="4:25" ht="15" thickBot="1" x14ac:dyDescent="0.35">
      <c r="D59" s="566">
        <v>14</v>
      </c>
      <c r="E59" s="566" t="s">
        <v>332</v>
      </c>
      <c r="F59" s="566">
        <v>21</v>
      </c>
      <c r="G59" s="566">
        <v>3</v>
      </c>
      <c r="H59" s="566">
        <v>3</v>
      </c>
      <c r="I59" s="566">
        <v>3</v>
      </c>
      <c r="J59" s="566">
        <v>12</v>
      </c>
      <c r="K59" s="339" t="s">
        <v>4282</v>
      </c>
      <c r="L59" s="567">
        <v>18</v>
      </c>
      <c r="M59" s="566">
        <v>29</v>
      </c>
      <c r="N59" s="566" t="s">
        <v>4253</v>
      </c>
      <c r="O59" s="566" t="s">
        <v>4283</v>
      </c>
      <c r="P59" s="566">
        <v>83</v>
      </c>
      <c r="Q59" s="566">
        <v>13</v>
      </c>
      <c r="R59" s="566" t="s">
        <v>4284</v>
      </c>
      <c r="S59" s="566">
        <v>91</v>
      </c>
      <c r="T59" s="566">
        <v>24</v>
      </c>
      <c r="U59" s="566" t="s">
        <v>4285</v>
      </c>
      <c r="V59" s="566">
        <v>2</v>
      </c>
      <c r="W59" s="566" t="s">
        <v>4286</v>
      </c>
      <c r="X59" s="566">
        <v>168</v>
      </c>
      <c r="Y59" s="566">
        <v>239</v>
      </c>
    </row>
    <row r="60" spans="4:25" ht="15" thickBot="1" x14ac:dyDescent="0.35">
      <c r="D60" s="566">
        <v>15</v>
      </c>
      <c r="E60" s="566" t="s">
        <v>1293</v>
      </c>
      <c r="F60" s="566">
        <v>22</v>
      </c>
      <c r="G60" s="566">
        <v>1</v>
      </c>
      <c r="H60" s="566">
        <v>1</v>
      </c>
      <c r="I60" s="566">
        <v>3</v>
      </c>
      <c r="J60" s="566">
        <v>17</v>
      </c>
      <c r="K60" s="339" t="s">
        <v>4287</v>
      </c>
      <c r="L60" s="567">
        <v>8</v>
      </c>
      <c r="M60" s="566">
        <v>12</v>
      </c>
      <c r="N60" s="566" t="s">
        <v>4288</v>
      </c>
      <c r="O60" s="566" t="s">
        <v>4289</v>
      </c>
      <c r="P60" s="566">
        <v>74</v>
      </c>
      <c r="Q60" s="566">
        <v>9</v>
      </c>
      <c r="R60" s="569">
        <v>42705</v>
      </c>
      <c r="S60" s="566">
        <v>74</v>
      </c>
      <c r="T60" s="566">
        <v>12</v>
      </c>
      <c r="U60" s="566" t="s">
        <v>2592</v>
      </c>
      <c r="V60" s="566">
        <v>0</v>
      </c>
      <c r="W60" s="566" t="s">
        <v>4290</v>
      </c>
      <c r="X60" s="566">
        <v>148</v>
      </c>
      <c r="Y60" s="566">
        <v>230</v>
      </c>
    </row>
    <row r="61" spans="4:25" ht="19.2" thickBot="1" x14ac:dyDescent="0.35">
      <c r="D61" s="570" t="s">
        <v>1314</v>
      </c>
      <c r="K61" s="2"/>
    </row>
    <row r="62" spans="4:25" ht="15.6" thickTop="1" thickBot="1" x14ac:dyDescent="0.35">
      <c r="D62" s="357" t="s">
        <v>1254</v>
      </c>
      <c r="E62" s="357" t="s">
        <v>813</v>
      </c>
      <c r="F62" s="357" t="s">
        <v>1255</v>
      </c>
      <c r="G62" s="357" t="s">
        <v>16</v>
      </c>
      <c r="H62" s="357" t="s">
        <v>793</v>
      </c>
      <c r="I62" s="357" t="s">
        <v>794</v>
      </c>
      <c r="J62" s="357" t="s">
        <v>743</v>
      </c>
      <c r="K62" s="357" t="s">
        <v>795</v>
      </c>
      <c r="L62" s="565" t="s">
        <v>1256</v>
      </c>
      <c r="M62" s="357" t="s">
        <v>4225</v>
      </c>
      <c r="N62" s="357" t="s">
        <v>4226</v>
      </c>
      <c r="O62" s="357" t="s">
        <v>4227</v>
      </c>
      <c r="P62" s="357" t="s">
        <v>4228</v>
      </c>
      <c r="Q62" s="357" t="s">
        <v>1257</v>
      </c>
      <c r="R62" s="357" t="s">
        <v>1258</v>
      </c>
      <c r="S62" s="357" t="s">
        <v>4229</v>
      </c>
      <c r="T62" s="357" t="s">
        <v>1259</v>
      </c>
      <c r="U62" s="357" t="s">
        <v>1260</v>
      </c>
      <c r="V62" s="357" t="s">
        <v>1261</v>
      </c>
      <c r="W62" s="357" t="s">
        <v>4230</v>
      </c>
      <c r="X62" s="357" t="s">
        <v>4231</v>
      </c>
      <c r="Y62" s="357" t="s">
        <v>4232</v>
      </c>
    </row>
    <row r="63" spans="4:25" ht="15" thickBot="1" x14ac:dyDescent="0.35">
      <c r="D63" s="566">
        <v>1</v>
      </c>
      <c r="E63" s="566" t="s">
        <v>1266</v>
      </c>
      <c r="F63" s="566">
        <v>10</v>
      </c>
      <c r="G63" s="566">
        <v>8</v>
      </c>
      <c r="H63" s="566">
        <v>0</v>
      </c>
      <c r="I63" s="566">
        <v>1</v>
      </c>
      <c r="J63" s="566">
        <v>1</v>
      </c>
      <c r="K63" s="352">
        <v>1.3472222222222223</v>
      </c>
      <c r="L63" s="567">
        <v>25</v>
      </c>
      <c r="M63" s="566">
        <v>83</v>
      </c>
      <c r="N63" s="566" t="s">
        <v>4291</v>
      </c>
      <c r="O63" s="566" t="s">
        <v>4292</v>
      </c>
      <c r="P63" s="566">
        <v>31</v>
      </c>
      <c r="Q63" s="566">
        <v>9</v>
      </c>
      <c r="R63" s="568">
        <v>44284</v>
      </c>
      <c r="S63" s="566">
        <v>44</v>
      </c>
      <c r="T63" s="566">
        <v>8</v>
      </c>
      <c r="U63" s="566" t="s">
        <v>1965</v>
      </c>
      <c r="V63" s="566">
        <v>0</v>
      </c>
      <c r="W63" s="566" t="s">
        <v>4293</v>
      </c>
      <c r="X63" s="566">
        <v>59</v>
      </c>
      <c r="Y63" s="566">
        <v>116</v>
      </c>
    </row>
    <row r="64" spans="4:25" ht="15" thickBot="1" x14ac:dyDescent="0.35">
      <c r="D64" s="566">
        <v>2</v>
      </c>
      <c r="E64" s="566" t="s">
        <v>1274</v>
      </c>
      <c r="F64" s="566">
        <v>11</v>
      </c>
      <c r="G64" s="566">
        <v>5</v>
      </c>
      <c r="H64" s="566">
        <v>3</v>
      </c>
      <c r="I64" s="566">
        <v>0</v>
      </c>
      <c r="J64" s="566">
        <v>3</v>
      </c>
      <c r="K64" s="352">
        <v>1.3069444444444445</v>
      </c>
      <c r="L64" s="567">
        <v>21</v>
      </c>
      <c r="M64" s="566">
        <v>64</v>
      </c>
      <c r="N64" s="566" t="s">
        <v>4294</v>
      </c>
      <c r="O64" s="566" t="s">
        <v>4295</v>
      </c>
      <c r="P64" s="566">
        <v>38</v>
      </c>
      <c r="Q64" s="566">
        <v>9</v>
      </c>
      <c r="R64" s="566" t="s">
        <v>2127</v>
      </c>
      <c r="S64" s="566">
        <v>47</v>
      </c>
      <c r="T64" s="566">
        <v>9</v>
      </c>
      <c r="U64" s="566" t="s">
        <v>4296</v>
      </c>
      <c r="V64" s="566">
        <v>2</v>
      </c>
      <c r="W64" s="566" t="s">
        <v>4297</v>
      </c>
      <c r="X64" s="566">
        <v>61</v>
      </c>
      <c r="Y64" s="566">
        <v>117</v>
      </c>
    </row>
    <row r="65" spans="4:25" ht="28.2" thickBot="1" x14ac:dyDescent="0.35">
      <c r="D65" s="566">
        <v>3</v>
      </c>
      <c r="E65" s="566" t="s">
        <v>4252</v>
      </c>
      <c r="F65" s="566">
        <v>10</v>
      </c>
      <c r="G65" s="566">
        <v>5</v>
      </c>
      <c r="H65" s="566">
        <v>1</v>
      </c>
      <c r="I65" s="566">
        <v>0</v>
      </c>
      <c r="J65" s="566">
        <v>4</v>
      </c>
      <c r="K65" s="352">
        <v>1.39375</v>
      </c>
      <c r="L65" s="567">
        <v>17</v>
      </c>
      <c r="M65" s="566">
        <v>57</v>
      </c>
      <c r="N65" s="566" t="s">
        <v>4298</v>
      </c>
      <c r="O65" s="566" t="s">
        <v>4299</v>
      </c>
      <c r="P65" s="566">
        <v>37</v>
      </c>
      <c r="Q65" s="566">
        <v>8</v>
      </c>
      <c r="R65" s="566" t="s">
        <v>1358</v>
      </c>
      <c r="S65" s="566">
        <v>36</v>
      </c>
      <c r="T65" s="566">
        <v>9</v>
      </c>
      <c r="U65" s="566" t="s">
        <v>1341</v>
      </c>
      <c r="V65" s="566">
        <v>2</v>
      </c>
      <c r="W65" s="566" t="s">
        <v>4300</v>
      </c>
      <c r="X65" s="566">
        <v>74</v>
      </c>
      <c r="Y65" s="566">
        <v>76</v>
      </c>
    </row>
    <row r="66" spans="4:25" ht="28.2" thickBot="1" x14ac:dyDescent="0.35">
      <c r="D66" s="566">
        <v>4</v>
      </c>
      <c r="E66" s="566" t="s">
        <v>1311</v>
      </c>
      <c r="F66" s="566">
        <v>10</v>
      </c>
      <c r="G66" s="566">
        <v>4</v>
      </c>
      <c r="H66" s="566">
        <v>2</v>
      </c>
      <c r="I66" s="566">
        <v>0</v>
      </c>
      <c r="J66" s="566">
        <v>4</v>
      </c>
      <c r="K66" s="352">
        <v>1.2708333333333333</v>
      </c>
      <c r="L66" s="567">
        <v>16</v>
      </c>
      <c r="M66" s="566">
        <v>53</v>
      </c>
      <c r="N66" s="566" t="s">
        <v>4301</v>
      </c>
      <c r="O66" s="566" t="s">
        <v>4302</v>
      </c>
      <c r="P66" s="566">
        <v>31</v>
      </c>
      <c r="Q66" s="566">
        <v>5</v>
      </c>
      <c r="R66" s="566" t="s">
        <v>1340</v>
      </c>
      <c r="S66" s="566">
        <v>43</v>
      </c>
      <c r="T66" s="566">
        <v>9</v>
      </c>
      <c r="U66" s="566" t="s">
        <v>1925</v>
      </c>
      <c r="V66" s="566">
        <v>0</v>
      </c>
      <c r="W66" s="566" t="s">
        <v>4303</v>
      </c>
      <c r="X66" s="566">
        <v>57</v>
      </c>
      <c r="Y66" s="566">
        <v>114</v>
      </c>
    </row>
    <row r="67" spans="4:25" ht="15" thickBot="1" x14ac:dyDescent="0.35">
      <c r="D67" s="566">
        <v>5</v>
      </c>
      <c r="E67" s="566" t="s">
        <v>1290</v>
      </c>
      <c r="F67" s="566">
        <v>11</v>
      </c>
      <c r="G67" s="566">
        <v>4</v>
      </c>
      <c r="H67" s="566">
        <v>1</v>
      </c>
      <c r="I67" s="566">
        <v>2</v>
      </c>
      <c r="J67" s="566">
        <v>4</v>
      </c>
      <c r="K67" s="352">
        <v>1.1034722222222222</v>
      </c>
      <c r="L67" s="567">
        <v>16</v>
      </c>
      <c r="M67" s="566">
        <v>48</v>
      </c>
      <c r="N67" s="566" t="s">
        <v>4304</v>
      </c>
      <c r="O67" s="566" t="s">
        <v>4305</v>
      </c>
      <c r="P67" s="566">
        <v>40</v>
      </c>
      <c r="Q67" s="566">
        <v>6</v>
      </c>
      <c r="R67" s="566" t="s">
        <v>1393</v>
      </c>
      <c r="S67" s="566">
        <v>40</v>
      </c>
      <c r="T67" s="566">
        <v>10</v>
      </c>
      <c r="U67" s="566" t="s">
        <v>1341</v>
      </c>
      <c r="V67" s="566">
        <v>1</v>
      </c>
      <c r="W67" s="566" t="s">
        <v>4306</v>
      </c>
      <c r="X67" s="566">
        <v>57</v>
      </c>
      <c r="Y67" s="566">
        <v>100</v>
      </c>
    </row>
    <row r="68" spans="4:25" ht="15" thickBot="1" x14ac:dyDescent="0.35">
      <c r="D68" s="571">
        <v>6</v>
      </c>
      <c r="E68" s="571" t="s">
        <v>80</v>
      </c>
      <c r="F68" s="571">
        <v>11</v>
      </c>
      <c r="G68" s="571">
        <v>4</v>
      </c>
      <c r="H68" s="571">
        <v>0</v>
      </c>
      <c r="I68" s="571">
        <v>2</v>
      </c>
      <c r="J68" s="571">
        <v>5</v>
      </c>
      <c r="K68" s="574">
        <v>1.1875</v>
      </c>
      <c r="L68" s="572">
        <v>14</v>
      </c>
      <c r="M68" s="571">
        <v>42</v>
      </c>
      <c r="N68" s="571" t="s">
        <v>4304</v>
      </c>
      <c r="O68" s="571" t="s">
        <v>4307</v>
      </c>
      <c r="P68" s="571">
        <v>32</v>
      </c>
      <c r="Q68" s="571">
        <v>6</v>
      </c>
      <c r="R68" s="571" t="s">
        <v>4262</v>
      </c>
      <c r="S68" s="571">
        <v>46</v>
      </c>
      <c r="T68" s="571">
        <v>6</v>
      </c>
      <c r="U68" s="571" t="s">
        <v>1368</v>
      </c>
      <c r="V68" s="571">
        <v>1</v>
      </c>
      <c r="W68" s="571" t="s">
        <v>4308</v>
      </c>
      <c r="X68" s="571">
        <v>54</v>
      </c>
      <c r="Y68" s="571">
        <v>99</v>
      </c>
    </row>
    <row r="69" spans="4:25" ht="28.2" thickBot="1" x14ac:dyDescent="0.35">
      <c r="D69" s="566">
        <v>7</v>
      </c>
      <c r="E69" s="566" t="s">
        <v>1286</v>
      </c>
      <c r="F69" s="566">
        <v>12</v>
      </c>
      <c r="G69" s="566">
        <v>4</v>
      </c>
      <c r="H69" s="566">
        <v>1</v>
      </c>
      <c r="I69" s="566">
        <v>0</v>
      </c>
      <c r="J69" s="566">
        <v>7</v>
      </c>
      <c r="K69" s="350">
        <v>0.8979166666666667</v>
      </c>
      <c r="L69" s="567">
        <v>14</v>
      </c>
      <c r="M69" s="566">
        <v>39</v>
      </c>
      <c r="N69" s="566" t="s">
        <v>1391</v>
      </c>
      <c r="O69" s="566" t="s">
        <v>4309</v>
      </c>
      <c r="P69" s="566">
        <v>32</v>
      </c>
      <c r="Q69" s="566">
        <v>5</v>
      </c>
      <c r="R69" s="566" t="s">
        <v>2056</v>
      </c>
      <c r="S69" s="566">
        <v>45</v>
      </c>
      <c r="T69" s="566">
        <v>8</v>
      </c>
      <c r="U69" s="566" t="s">
        <v>1589</v>
      </c>
      <c r="V69" s="566">
        <v>0</v>
      </c>
      <c r="W69" s="566" t="s">
        <v>4310</v>
      </c>
      <c r="X69" s="566">
        <v>80</v>
      </c>
      <c r="Y69" s="566">
        <v>130</v>
      </c>
    </row>
    <row r="70" spans="4:25" ht="15" thickBot="1" x14ac:dyDescent="0.35">
      <c r="D70" s="566">
        <v>8</v>
      </c>
      <c r="E70" s="566" t="s">
        <v>1297</v>
      </c>
      <c r="F70" s="566">
        <v>11</v>
      </c>
      <c r="G70" s="566">
        <v>3</v>
      </c>
      <c r="H70" s="566">
        <v>1</v>
      </c>
      <c r="I70" s="566">
        <v>1</v>
      </c>
      <c r="J70" s="566">
        <v>6</v>
      </c>
      <c r="K70" s="352">
        <v>1.4840277777777777</v>
      </c>
      <c r="L70" s="567">
        <v>12</v>
      </c>
      <c r="M70" s="566">
        <v>36</v>
      </c>
      <c r="N70" s="566" t="s">
        <v>4311</v>
      </c>
      <c r="O70" s="566" t="s">
        <v>4312</v>
      </c>
      <c r="P70" s="566">
        <v>36</v>
      </c>
      <c r="Q70" s="566">
        <v>5</v>
      </c>
      <c r="R70" s="566" t="s">
        <v>2212</v>
      </c>
      <c r="S70" s="566">
        <v>46</v>
      </c>
      <c r="T70" s="566">
        <v>7</v>
      </c>
      <c r="U70" s="566" t="s">
        <v>1861</v>
      </c>
      <c r="V70" s="566">
        <v>1</v>
      </c>
      <c r="W70" s="566" t="s">
        <v>4313</v>
      </c>
      <c r="X70" s="566">
        <v>60</v>
      </c>
      <c r="Y70" s="566">
        <v>123</v>
      </c>
    </row>
    <row r="71" spans="4:25" ht="15" thickBot="1" x14ac:dyDescent="0.35">
      <c r="D71" s="566">
        <v>9</v>
      </c>
      <c r="E71" s="566" t="s">
        <v>1282</v>
      </c>
      <c r="F71" s="566">
        <v>9</v>
      </c>
      <c r="G71" s="566">
        <v>3</v>
      </c>
      <c r="H71" s="566">
        <v>1</v>
      </c>
      <c r="I71" s="566">
        <v>1</v>
      </c>
      <c r="J71" s="566">
        <v>4</v>
      </c>
      <c r="K71" s="350">
        <v>0.81180555555555556</v>
      </c>
      <c r="L71" s="567">
        <v>12</v>
      </c>
      <c r="M71" s="566">
        <v>44</v>
      </c>
      <c r="N71" s="566" t="s">
        <v>4314</v>
      </c>
      <c r="O71" s="566" t="s">
        <v>4315</v>
      </c>
      <c r="P71" s="566">
        <v>33</v>
      </c>
      <c r="Q71" s="566">
        <v>8</v>
      </c>
      <c r="R71" s="566" t="s">
        <v>4316</v>
      </c>
      <c r="S71" s="566">
        <v>35</v>
      </c>
      <c r="T71" s="566">
        <v>8</v>
      </c>
      <c r="U71" s="566" t="s">
        <v>4317</v>
      </c>
      <c r="V71" s="566">
        <v>0</v>
      </c>
      <c r="W71" s="566" t="s">
        <v>4318</v>
      </c>
      <c r="X71" s="566">
        <v>62</v>
      </c>
      <c r="Y71" s="566">
        <v>76</v>
      </c>
    </row>
    <row r="72" spans="4:25" ht="15" thickBot="1" x14ac:dyDescent="0.35">
      <c r="D72" s="566">
        <v>10</v>
      </c>
      <c r="E72" s="566" t="s">
        <v>1278</v>
      </c>
      <c r="F72" s="566">
        <v>11</v>
      </c>
      <c r="G72" s="566">
        <v>1</v>
      </c>
      <c r="H72" s="566">
        <v>3</v>
      </c>
      <c r="I72" s="566">
        <v>2</v>
      </c>
      <c r="J72" s="566">
        <v>5</v>
      </c>
      <c r="K72" s="352">
        <v>1.4048611111111111</v>
      </c>
      <c r="L72" s="567">
        <v>11</v>
      </c>
      <c r="M72" s="566">
        <v>33</v>
      </c>
      <c r="N72" s="566" t="s">
        <v>4319</v>
      </c>
      <c r="O72" s="566" t="s">
        <v>4307</v>
      </c>
      <c r="P72" s="566">
        <v>33</v>
      </c>
      <c r="Q72" s="566">
        <v>6</v>
      </c>
      <c r="R72" s="566" t="s">
        <v>1474</v>
      </c>
      <c r="S72" s="566">
        <v>40</v>
      </c>
      <c r="T72" s="566">
        <v>13</v>
      </c>
      <c r="U72" s="566" t="s">
        <v>4320</v>
      </c>
      <c r="V72" s="566">
        <v>1</v>
      </c>
      <c r="W72" s="566" t="s">
        <v>4321</v>
      </c>
      <c r="X72" s="566">
        <v>68</v>
      </c>
      <c r="Y72" s="566">
        <v>84</v>
      </c>
    </row>
    <row r="73" spans="4:25" ht="15" thickBot="1" x14ac:dyDescent="0.35">
      <c r="D73" s="566">
        <v>11</v>
      </c>
      <c r="E73" s="566" t="s">
        <v>1262</v>
      </c>
      <c r="F73" s="566">
        <v>11</v>
      </c>
      <c r="G73" s="566">
        <v>3</v>
      </c>
      <c r="H73" s="566">
        <v>0</v>
      </c>
      <c r="I73" s="566">
        <v>2</v>
      </c>
      <c r="J73" s="566">
        <v>6</v>
      </c>
      <c r="K73" s="350">
        <v>0.7715277777777777</v>
      </c>
      <c r="L73" s="567">
        <v>11</v>
      </c>
      <c r="M73" s="566">
        <v>33</v>
      </c>
      <c r="N73" s="566" t="s">
        <v>4322</v>
      </c>
      <c r="O73" s="566" t="s">
        <v>4323</v>
      </c>
      <c r="P73" s="566">
        <v>35</v>
      </c>
      <c r="Q73" s="566">
        <v>3</v>
      </c>
      <c r="R73" s="569">
        <v>21033</v>
      </c>
      <c r="S73" s="566">
        <v>49</v>
      </c>
      <c r="T73" s="566">
        <v>7</v>
      </c>
      <c r="U73" s="566" t="s">
        <v>1277</v>
      </c>
      <c r="V73" s="566">
        <v>2</v>
      </c>
      <c r="W73" s="566" t="s">
        <v>4324</v>
      </c>
      <c r="X73" s="566">
        <v>70</v>
      </c>
      <c r="Y73" s="566">
        <v>106</v>
      </c>
    </row>
    <row r="74" spans="4:25" ht="15" thickBot="1" x14ac:dyDescent="0.35">
      <c r="D74" s="566">
        <v>12</v>
      </c>
      <c r="E74" s="566" t="s">
        <v>1270</v>
      </c>
      <c r="F74" s="566">
        <v>9</v>
      </c>
      <c r="G74" s="566">
        <v>2</v>
      </c>
      <c r="H74" s="566">
        <v>1</v>
      </c>
      <c r="I74" s="566">
        <v>2</v>
      </c>
      <c r="J74" s="566">
        <v>4</v>
      </c>
      <c r="K74" s="350">
        <v>0.97569444444444453</v>
      </c>
      <c r="L74" s="567">
        <v>10</v>
      </c>
      <c r="M74" s="566">
        <v>37</v>
      </c>
      <c r="N74" s="566" t="s">
        <v>4325</v>
      </c>
      <c r="O74" s="566" t="s">
        <v>4326</v>
      </c>
      <c r="P74" s="566">
        <v>34</v>
      </c>
      <c r="Q74" s="566">
        <v>8</v>
      </c>
      <c r="R74" s="566" t="s">
        <v>1465</v>
      </c>
      <c r="S74" s="566">
        <v>28</v>
      </c>
      <c r="T74" s="566">
        <v>5</v>
      </c>
      <c r="U74" s="566" t="s">
        <v>1399</v>
      </c>
      <c r="V74" s="566">
        <v>0</v>
      </c>
      <c r="W74" s="566" t="s">
        <v>4327</v>
      </c>
      <c r="X74" s="566">
        <v>48</v>
      </c>
      <c r="Y74" s="566">
        <v>90</v>
      </c>
    </row>
    <row r="75" spans="4:25" ht="15" thickBot="1" x14ac:dyDescent="0.35">
      <c r="D75" s="566">
        <v>13</v>
      </c>
      <c r="E75" s="566" t="s">
        <v>332</v>
      </c>
      <c r="F75" s="566">
        <v>11</v>
      </c>
      <c r="G75" s="566">
        <v>1</v>
      </c>
      <c r="H75" s="566">
        <v>1</v>
      </c>
      <c r="I75" s="566">
        <v>2</v>
      </c>
      <c r="J75" s="566">
        <v>7</v>
      </c>
      <c r="K75" s="352">
        <v>1.2777777777777779</v>
      </c>
      <c r="L75" s="567">
        <v>7</v>
      </c>
      <c r="M75" s="566">
        <v>21</v>
      </c>
      <c r="N75" s="568">
        <v>44468</v>
      </c>
      <c r="O75" s="566" t="s">
        <v>4328</v>
      </c>
      <c r="P75" s="566">
        <v>40</v>
      </c>
      <c r="Q75" s="566">
        <v>7</v>
      </c>
      <c r="R75" s="566" t="s">
        <v>1857</v>
      </c>
      <c r="S75" s="566">
        <v>49</v>
      </c>
      <c r="T75" s="566">
        <v>11</v>
      </c>
      <c r="U75" s="566" t="s">
        <v>4329</v>
      </c>
      <c r="V75" s="566">
        <v>1</v>
      </c>
      <c r="W75" s="566" t="s">
        <v>4330</v>
      </c>
      <c r="X75" s="566">
        <v>72</v>
      </c>
      <c r="Y75" s="566">
        <v>140</v>
      </c>
    </row>
    <row r="76" spans="4:25" ht="28.2" thickBot="1" x14ac:dyDescent="0.35">
      <c r="D76" s="566">
        <v>14</v>
      </c>
      <c r="E76" s="566" t="s">
        <v>1303</v>
      </c>
      <c r="F76" s="566">
        <v>9</v>
      </c>
      <c r="G76" s="566">
        <v>1</v>
      </c>
      <c r="H76" s="566">
        <v>0</v>
      </c>
      <c r="I76" s="566">
        <v>2</v>
      </c>
      <c r="J76" s="566">
        <v>6</v>
      </c>
      <c r="K76" s="350">
        <v>0.8534722222222223</v>
      </c>
      <c r="L76" s="567">
        <v>5</v>
      </c>
      <c r="M76" s="566">
        <v>19</v>
      </c>
      <c r="N76" s="566" t="s">
        <v>4331</v>
      </c>
      <c r="O76" s="566" t="s">
        <v>4332</v>
      </c>
      <c r="P76" s="566">
        <v>23</v>
      </c>
      <c r="Q76" s="566">
        <v>6</v>
      </c>
      <c r="R76" s="568">
        <v>44465</v>
      </c>
      <c r="S76" s="566">
        <v>26</v>
      </c>
      <c r="T76" s="566">
        <v>5</v>
      </c>
      <c r="U76" s="566" t="s">
        <v>1753</v>
      </c>
      <c r="V76" s="566">
        <v>1</v>
      </c>
      <c r="W76" s="566" t="s">
        <v>4333</v>
      </c>
      <c r="X76" s="566">
        <v>48</v>
      </c>
      <c r="Y76" s="566">
        <v>89</v>
      </c>
    </row>
    <row r="77" spans="4:25" ht="15" thickBot="1" x14ac:dyDescent="0.35">
      <c r="D77" s="566">
        <v>15</v>
      </c>
      <c r="E77" s="566" t="s">
        <v>1293</v>
      </c>
      <c r="F77" s="566">
        <v>12</v>
      </c>
      <c r="G77" s="566">
        <v>0</v>
      </c>
      <c r="H77" s="566">
        <v>1</v>
      </c>
      <c r="I77" s="566">
        <v>2</v>
      </c>
      <c r="J77" s="566">
        <v>9</v>
      </c>
      <c r="K77" s="350">
        <v>0.81944444444444453</v>
      </c>
      <c r="L77" s="567">
        <v>4</v>
      </c>
      <c r="M77" s="566">
        <v>11</v>
      </c>
      <c r="N77" s="566" t="s">
        <v>4334</v>
      </c>
      <c r="O77" s="566" t="s">
        <v>4335</v>
      </c>
      <c r="P77" s="566">
        <v>41</v>
      </c>
      <c r="Q77" s="566">
        <v>4</v>
      </c>
      <c r="R77" s="569">
        <v>28004</v>
      </c>
      <c r="S77" s="566">
        <v>51</v>
      </c>
      <c r="T77" s="566">
        <v>8</v>
      </c>
      <c r="U77" s="566" t="s">
        <v>1995</v>
      </c>
      <c r="V77" s="566">
        <v>0</v>
      </c>
      <c r="W77" s="566" t="s">
        <v>4336</v>
      </c>
      <c r="X77" s="566">
        <v>78</v>
      </c>
      <c r="Y77" s="566">
        <v>161</v>
      </c>
    </row>
    <row r="78" spans="4:25" ht="19.2" thickBot="1" x14ac:dyDescent="0.35">
      <c r="D78" s="570" t="s">
        <v>1350</v>
      </c>
      <c r="K78" s="2"/>
    </row>
    <row r="79" spans="4:25" ht="15.6" thickTop="1" thickBot="1" x14ac:dyDescent="0.35">
      <c r="D79" s="357" t="s">
        <v>1254</v>
      </c>
      <c r="E79" s="357" t="s">
        <v>813</v>
      </c>
      <c r="F79" s="357" t="s">
        <v>1255</v>
      </c>
      <c r="G79" s="357" t="s">
        <v>16</v>
      </c>
      <c r="H79" s="357" t="s">
        <v>793</v>
      </c>
      <c r="I79" s="357" t="s">
        <v>794</v>
      </c>
      <c r="J79" s="357" t="s">
        <v>743</v>
      </c>
      <c r="K79" s="357" t="s">
        <v>795</v>
      </c>
      <c r="L79" s="565" t="s">
        <v>1256</v>
      </c>
      <c r="M79" s="357" t="s">
        <v>4225</v>
      </c>
      <c r="N79" s="357" t="s">
        <v>4226</v>
      </c>
      <c r="O79" s="357" t="s">
        <v>4227</v>
      </c>
      <c r="P79" s="357" t="s">
        <v>4228</v>
      </c>
      <c r="Q79" s="357" t="s">
        <v>1257</v>
      </c>
      <c r="R79" s="357" t="s">
        <v>1258</v>
      </c>
      <c r="S79" s="357" t="s">
        <v>4229</v>
      </c>
      <c r="T79" s="357" t="s">
        <v>1259</v>
      </c>
      <c r="U79" s="357" t="s">
        <v>1260</v>
      </c>
      <c r="V79" s="357" t="s">
        <v>1261</v>
      </c>
      <c r="W79" s="357" t="s">
        <v>4230</v>
      </c>
      <c r="X79" s="357" t="s">
        <v>4231</v>
      </c>
      <c r="Y79" s="357" t="s">
        <v>4232</v>
      </c>
    </row>
    <row r="80" spans="4:25" ht="15" thickBot="1" x14ac:dyDescent="0.35">
      <c r="D80" s="566">
        <v>1</v>
      </c>
      <c r="E80" s="566" t="s">
        <v>1266</v>
      </c>
      <c r="F80" s="566">
        <v>12</v>
      </c>
      <c r="G80" s="566">
        <v>7</v>
      </c>
      <c r="H80" s="566">
        <v>2</v>
      </c>
      <c r="I80" s="566">
        <v>2</v>
      </c>
      <c r="J80" s="566">
        <v>1</v>
      </c>
      <c r="K80" s="352">
        <v>1.5548611111111112</v>
      </c>
      <c r="L80" s="567">
        <v>27</v>
      </c>
      <c r="M80" s="566">
        <v>75</v>
      </c>
      <c r="N80" s="566" t="s">
        <v>4337</v>
      </c>
      <c r="O80" s="566" t="s">
        <v>4338</v>
      </c>
      <c r="P80" s="566">
        <v>43</v>
      </c>
      <c r="Q80" s="566">
        <v>12</v>
      </c>
      <c r="R80" s="566" t="s">
        <v>4339</v>
      </c>
      <c r="S80" s="566">
        <v>33</v>
      </c>
      <c r="T80" s="566">
        <v>5</v>
      </c>
      <c r="U80" s="566" t="s">
        <v>1405</v>
      </c>
      <c r="V80" s="566">
        <v>1</v>
      </c>
      <c r="W80" s="566" t="s">
        <v>4340</v>
      </c>
      <c r="X80" s="566">
        <v>98</v>
      </c>
      <c r="Y80" s="566">
        <v>72</v>
      </c>
    </row>
    <row r="81" spans="4:25" ht="15" thickBot="1" x14ac:dyDescent="0.35">
      <c r="D81" s="566">
        <v>2</v>
      </c>
      <c r="E81" s="566" t="s">
        <v>1274</v>
      </c>
      <c r="F81" s="566">
        <v>10</v>
      </c>
      <c r="G81" s="566">
        <v>8</v>
      </c>
      <c r="H81" s="566">
        <v>1</v>
      </c>
      <c r="I81" s="566">
        <v>0</v>
      </c>
      <c r="J81" s="566">
        <v>1</v>
      </c>
      <c r="K81" s="352">
        <v>1.5104166666666667</v>
      </c>
      <c r="L81" s="567">
        <v>26</v>
      </c>
      <c r="M81" s="566">
        <v>87</v>
      </c>
      <c r="N81" s="566" t="s">
        <v>4341</v>
      </c>
      <c r="O81" s="566" t="s">
        <v>4342</v>
      </c>
      <c r="P81" s="566">
        <v>37</v>
      </c>
      <c r="Q81" s="566">
        <v>9</v>
      </c>
      <c r="R81" s="566" t="s">
        <v>4343</v>
      </c>
      <c r="S81" s="566">
        <v>32</v>
      </c>
      <c r="T81" s="566">
        <v>4</v>
      </c>
      <c r="U81" s="566" t="s">
        <v>1439</v>
      </c>
      <c r="V81" s="566">
        <v>2</v>
      </c>
      <c r="W81" s="566" t="s">
        <v>4344</v>
      </c>
      <c r="X81" s="566">
        <v>66</v>
      </c>
      <c r="Y81" s="566">
        <v>78</v>
      </c>
    </row>
    <row r="82" spans="4:25" ht="28.2" thickBot="1" x14ac:dyDescent="0.35">
      <c r="D82" s="566">
        <v>3</v>
      </c>
      <c r="E82" s="566" t="s">
        <v>1311</v>
      </c>
      <c r="F82" s="566">
        <v>12</v>
      </c>
      <c r="G82" s="566">
        <v>6</v>
      </c>
      <c r="H82" s="566">
        <v>3</v>
      </c>
      <c r="I82" s="566">
        <v>2</v>
      </c>
      <c r="J82" s="566">
        <v>1</v>
      </c>
      <c r="K82" s="352">
        <v>1.6833333333333333</v>
      </c>
      <c r="L82" s="567">
        <v>26</v>
      </c>
      <c r="M82" s="566">
        <v>72</v>
      </c>
      <c r="N82" s="566" t="s">
        <v>4345</v>
      </c>
      <c r="O82" s="566" t="s">
        <v>4346</v>
      </c>
      <c r="P82" s="566">
        <v>37</v>
      </c>
      <c r="Q82" s="566">
        <v>12</v>
      </c>
      <c r="R82" s="566" t="s">
        <v>4347</v>
      </c>
      <c r="S82" s="566">
        <v>46</v>
      </c>
      <c r="T82" s="566">
        <v>4</v>
      </c>
      <c r="U82" s="566" t="s">
        <v>2366</v>
      </c>
      <c r="V82" s="566">
        <v>3</v>
      </c>
      <c r="W82" s="566" t="s">
        <v>4348</v>
      </c>
      <c r="X82" s="566">
        <v>74</v>
      </c>
      <c r="Y82" s="566">
        <v>126</v>
      </c>
    </row>
    <row r="83" spans="4:25" ht="15" thickBot="1" x14ac:dyDescent="0.35">
      <c r="D83" s="566">
        <v>4</v>
      </c>
      <c r="E83" s="566" t="s">
        <v>1270</v>
      </c>
      <c r="F83" s="566">
        <v>13</v>
      </c>
      <c r="G83" s="566">
        <v>8</v>
      </c>
      <c r="H83" s="566">
        <v>0</v>
      </c>
      <c r="I83" s="566">
        <v>2</v>
      </c>
      <c r="J83" s="566">
        <v>3</v>
      </c>
      <c r="K83" s="352">
        <v>2.0249999999999999</v>
      </c>
      <c r="L83" s="567">
        <v>26</v>
      </c>
      <c r="M83" s="566">
        <v>67</v>
      </c>
      <c r="N83" s="566" t="s">
        <v>4349</v>
      </c>
      <c r="O83" s="566" t="s">
        <v>4350</v>
      </c>
      <c r="P83" s="566">
        <v>66</v>
      </c>
      <c r="Q83" s="566">
        <v>15</v>
      </c>
      <c r="R83" s="566" t="s">
        <v>4351</v>
      </c>
      <c r="S83" s="566">
        <v>49</v>
      </c>
      <c r="T83" s="566">
        <v>5</v>
      </c>
      <c r="U83" s="566" t="s">
        <v>4352</v>
      </c>
      <c r="V83" s="566">
        <v>1</v>
      </c>
      <c r="W83" s="566" t="s">
        <v>4353</v>
      </c>
      <c r="X83" s="566">
        <v>62</v>
      </c>
      <c r="Y83" s="566">
        <v>111</v>
      </c>
    </row>
    <row r="84" spans="4:25" ht="15" thickBot="1" x14ac:dyDescent="0.35">
      <c r="D84" s="566">
        <v>5</v>
      </c>
      <c r="E84" s="566" t="s">
        <v>1290</v>
      </c>
      <c r="F84" s="566">
        <v>11</v>
      </c>
      <c r="G84" s="566">
        <v>7</v>
      </c>
      <c r="H84" s="566">
        <v>1</v>
      </c>
      <c r="I84" s="566">
        <v>0</v>
      </c>
      <c r="J84" s="566">
        <v>3</v>
      </c>
      <c r="K84" s="352">
        <v>1.2215277777777778</v>
      </c>
      <c r="L84" s="567">
        <v>23</v>
      </c>
      <c r="M84" s="566">
        <v>70</v>
      </c>
      <c r="N84" s="566" t="s">
        <v>4354</v>
      </c>
      <c r="O84" s="568">
        <v>44463</v>
      </c>
      <c r="P84" s="566">
        <v>48</v>
      </c>
      <c r="Q84" s="566">
        <v>8</v>
      </c>
      <c r="R84" s="566" t="s">
        <v>1367</v>
      </c>
      <c r="S84" s="566">
        <v>30</v>
      </c>
      <c r="T84" s="566">
        <v>2</v>
      </c>
      <c r="U84" s="566" t="s">
        <v>2907</v>
      </c>
      <c r="V84" s="566">
        <v>0</v>
      </c>
      <c r="W84" s="566" t="s">
        <v>4355</v>
      </c>
      <c r="X84" s="566">
        <v>100</v>
      </c>
      <c r="Y84" s="566">
        <v>91</v>
      </c>
    </row>
    <row r="85" spans="4:25" ht="15" thickBot="1" x14ac:dyDescent="0.35">
      <c r="D85" s="566">
        <v>6</v>
      </c>
      <c r="E85" s="566" t="s">
        <v>1282</v>
      </c>
      <c r="F85" s="566">
        <v>11</v>
      </c>
      <c r="G85" s="566">
        <v>5</v>
      </c>
      <c r="H85" s="566">
        <v>3</v>
      </c>
      <c r="I85" s="566">
        <v>0</v>
      </c>
      <c r="J85" s="566">
        <v>3</v>
      </c>
      <c r="K85" s="352">
        <v>1.2229166666666667</v>
      </c>
      <c r="L85" s="567">
        <v>21</v>
      </c>
      <c r="M85" s="566">
        <v>64</v>
      </c>
      <c r="N85" s="566" t="s">
        <v>4326</v>
      </c>
      <c r="O85" s="566" t="s">
        <v>4356</v>
      </c>
      <c r="P85" s="566">
        <v>39</v>
      </c>
      <c r="Q85" s="566">
        <v>7</v>
      </c>
      <c r="R85" s="566" t="s">
        <v>1381</v>
      </c>
      <c r="S85" s="566">
        <v>34</v>
      </c>
      <c r="T85" s="566">
        <v>5</v>
      </c>
      <c r="U85" s="566" t="s">
        <v>1801</v>
      </c>
      <c r="V85" s="566">
        <v>1</v>
      </c>
      <c r="W85" s="566" t="s">
        <v>4357</v>
      </c>
      <c r="X85" s="566">
        <v>54</v>
      </c>
      <c r="Y85" s="566">
        <v>105</v>
      </c>
    </row>
    <row r="86" spans="4:25" ht="28.2" thickBot="1" x14ac:dyDescent="0.35">
      <c r="D86" s="566">
        <v>7</v>
      </c>
      <c r="E86" s="566" t="s">
        <v>1303</v>
      </c>
      <c r="F86" s="566">
        <v>11</v>
      </c>
      <c r="G86" s="566">
        <v>6</v>
      </c>
      <c r="H86" s="566">
        <v>1</v>
      </c>
      <c r="I86" s="566">
        <v>0</v>
      </c>
      <c r="J86" s="566">
        <v>4</v>
      </c>
      <c r="K86" s="352">
        <v>1.6034722222222222</v>
      </c>
      <c r="L86" s="567">
        <v>20</v>
      </c>
      <c r="M86" s="566">
        <v>61</v>
      </c>
      <c r="N86" s="568">
        <v>44468</v>
      </c>
      <c r="O86" s="566" t="s">
        <v>4358</v>
      </c>
      <c r="P86" s="566">
        <v>44</v>
      </c>
      <c r="Q86" s="566">
        <v>8</v>
      </c>
      <c r="R86" s="566" t="s">
        <v>1474</v>
      </c>
      <c r="S86" s="566">
        <v>39</v>
      </c>
      <c r="T86" s="566">
        <v>10</v>
      </c>
      <c r="U86" s="566" t="s">
        <v>4359</v>
      </c>
      <c r="V86" s="566">
        <v>2</v>
      </c>
      <c r="W86" s="566" t="s">
        <v>4360</v>
      </c>
      <c r="X86" s="566">
        <v>49</v>
      </c>
      <c r="Y86" s="566">
        <v>104</v>
      </c>
    </row>
    <row r="87" spans="4:25" ht="15" thickBot="1" x14ac:dyDescent="0.35">
      <c r="D87" s="566">
        <v>8</v>
      </c>
      <c r="E87" s="566" t="s">
        <v>1297</v>
      </c>
      <c r="F87" s="566">
        <v>10</v>
      </c>
      <c r="G87" s="566">
        <v>4</v>
      </c>
      <c r="H87" s="566">
        <v>2</v>
      </c>
      <c r="I87" s="566">
        <v>3</v>
      </c>
      <c r="J87" s="566">
        <v>1</v>
      </c>
      <c r="K87" s="352">
        <v>1.5631944444444443</v>
      </c>
      <c r="L87" s="567">
        <v>19</v>
      </c>
      <c r="M87" s="566">
        <v>63</v>
      </c>
      <c r="N87" s="566" t="s">
        <v>4361</v>
      </c>
      <c r="O87" s="568">
        <v>44498</v>
      </c>
      <c r="P87" s="566">
        <v>44</v>
      </c>
      <c r="Q87" s="566">
        <v>10</v>
      </c>
      <c r="R87" s="566" t="s">
        <v>4351</v>
      </c>
      <c r="S87" s="566">
        <v>33</v>
      </c>
      <c r="T87" s="566">
        <v>12</v>
      </c>
      <c r="U87" s="566" t="s">
        <v>4362</v>
      </c>
      <c r="V87" s="566">
        <v>1</v>
      </c>
      <c r="W87" s="566" t="s">
        <v>4363</v>
      </c>
      <c r="X87" s="566">
        <v>47</v>
      </c>
      <c r="Y87" s="566">
        <v>111</v>
      </c>
    </row>
    <row r="88" spans="4:25" ht="15" thickBot="1" x14ac:dyDescent="0.35">
      <c r="D88" s="566">
        <v>9</v>
      </c>
      <c r="E88" s="566" t="s">
        <v>1262</v>
      </c>
      <c r="F88" s="566">
        <v>10</v>
      </c>
      <c r="G88" s="566">
        <v>5</v>
      </c>
      <c r="H88" s="566">
        <v>0</v>
      </c>
      <c r="I88" s="566">
        <v>3</v>
      </c>
      <c r="J88" s="566">
        <v>2</v>
      </c>
      <c r="K88" s="352">
        <v>1.1430555555555555</v>
      </c>
      <c r="L88" s="567">
        <v>18</v>
      </c>
      <c r="M88" s="566">
        <v>60</v>
      </c>
      <c r="N88" s="566" t="s">
        <v>4364</v>
      </c>
      <c r="O88" s="566" t="s">
        <v>4365</v>
      </c>
      <c r="P88" s="566">
        <v>41</v>
      </c>
      <c r="Q88" s="566">
        <v>6</v>
      </c>
      <c r="R88" s="566" t="s">
        <v>2012</v>
      </c>
      <c r="S88" s="566">
        <v>36</v>
      </c>
      <c r="T88" s="566">
        <v>10</v>
      </c>
      <c r="U88" s="566" t="s">
        <v>4366</v>
      </c>
      <c r="V88" s="566">
        <v>1</v>
      </c>
      <c r="W88" s="566" t="s">
        <v>4367</v>
      </c>
      <c r="X88" s="566">
        <v>67</v>
      </c>
      <c r="Y88" s="566">
        <v>99</v>
      </c>
    </row>
    <row r="89" spans="4:25" ht="28.2" thickBot="1" x14ac:dyDescent="0.35">
      <c r="D89" s="566">
        <v>10</v>
      </c>
      <c r="E89" s="566" t="s">
        <v>4252</v>
      </c>
      <c r="F89" s="566">
        <v>11</v>
      </c>
      <c r="G89" s="566">
        <v>5</v>
      </c>
      <c r="H89" s="566">
        <v>0</v>
      </c>
      <c r="I89" s="566">
        <v>2</v>
      </c>
      <c r="J89" s="566">
        <v>4</v>
      </c>
      <c r="K89" s="352">
        <v>1.35625</v>
      </c>
      <c r="L89" s="567">
        <v>17</v>
      </c>
      <c r="M89" s="566">
        <v>52</v>
      </c>
      <c r="N89" s="566" t="s">
        <v>1320</v>
      </c>
      <c r="O89" s="566" t="s">
        <v>4368</v>
      </c>
      <c r="P89" s="566">
        <v>51</v>
      </c>
      <c r="Q89" s="566">
        <v>10</v>
      </c>
      <c r="R89" s="566" t="s">
        <v>2093</v>
      </c>
      <c r="S89" s="566">
        <v>39</v>
      </c>
      <c r="T89" s="566">
        <v>8</v>
      </c>
      <c r="U89" s="566" t="s">
        <v>1939</v>
      </c>
      <c r="V89" s="566">
        <v>0</v>
      </c>
      <c r="W89" s="566" t="s">
        <v>4369</v>
      </c>
      <c r="X89" s="566">
        <v>59</v>
      </c>
      <c r="Y89" s="566">
        <v>82</v>
      </c>
    </row>
    <row r="90" spans="4:25" ht="15" thickBot="1" x14ac:dyDescent="0.35">
      <c r="D90" s="566">
        <v>11</v>
      </c>
      <c r="E90" s="566" t="s">
        <v>1278</v>
      </c>
      <c r="F90" s="566">
        <v>10</v>
      </c>
      <c r="G90" s="566">
        <v>4</v>
      </c>
      <c r="H90" s="566">
        <v>2</v>
      </c>
      <c r="I90" s="566">
        <v>0</v>
      </c>
      <c r="J90" s="566">
        <v>4</v>
      </c>
      <c r="K90" s="352">
        <v>1.1402777777777777</v>
      </c>
      <c r="L90" s="567">
        <v>16</v>
      </c>
      <c r="M90" s="566">
        <v>53</v>
      </c>
      <c r="N90" s="566" t="s">
        <v>4370</v>
      </c>
      <c r="O90" s="566" t="s">
        <v>4368</v>
      </c>
      <c r="P90" s="566">
        <v>34</v>
      </c>
      <c r="Q90" s="566">
        <v>6</v>
      </c>
      <c r="R90" s="566" t="s">
        <v>1682</v>
      </c>
      <c r="S90" s="566">
        <v>23</v>
      </c>
      <c r="T90" s="566">
        <v>3</v>
      </c>
      <c r="U90" s="566" t="s">
        <v>1368</v>
      </c>
      <c r="V90" s="566">
        <v>1</v>
      </c>
      <c r="W90" s="566" t="s">
        <v>4371</v>
      </c>
      <c r="X90" s="566">
        <v>89</v>
      </c>
      <c r="Y90" s="566">
        <v>53</v>
      </c>
    </row>
    <row r="91" spans="4:25" ht="15" thickBot="1" x14ac:dyDescent="0.35">
      <c r="D91" s="571">
        <v>12</v>
      </c>
      <c r="E91" s="571" t="s">
        <v>80</v>
      </c>
      <c r="F91" s="571">
        <v>10</v>
      </c>
      <c r="G91" s="571">
        <v>4</v>
      </c>
      <c r="H91" s="571">
        <v>1</v>
      </c>
      <c r="I91" s="571">
        <v>0</v>
      </c>
      <c r="J91" s="571">
        <v>5</v>
      </c>
      <c r="K91" s="574">
        <v>1.2750000000000001</v>
      </c>
      <c r="L91" s="572">
        <v>14</v>
      </c>
      <c r="M91" s="571">
        <v>47</v>
      </c>
      <c r="N91" s="571" t="s">
        <v>4372</v>
      </c>
      <c r="O91" s="571" t="s">
        <v>4365</v>
      </c>
      <c r="P91" s="571">
        <v>40</v>
      </c>
      <c r="Q91" s="571">
        <v>6</v>
      </c>
      <c r="R91" s="571" t="s">
        <v>1393</v>
      </c>
      <c r="S91" s="571">
        <v>32</v>
      </c>
      <c r="T91" s="571">
        <v>9</v>
      </c>
      <c r="U91" s="571" t="s">
        <v>4373</v>
      </c>
      <c r="V91" s="571">
        <v>0</v>
      </c>
      <c r="W91" s="571" t="s">
        <v>4374</v>
      </c>
      <c r="X91" s="571">
        <v>98</v>
      </c>
      <c r="Y91" s="571">
        <v>92</v>
      </c>
    </row>
    <row r="92" spans="4:25" ht="28.2" thickBot="1" x14ac:dyDescent="0.35">
      <c r="D92" s="566">
        <v>13</v>
      </c>
      <c r="E92" s="566" t="s">
        <v>1286</v>
      </c>
      <c r="F92" s="566">
        <v>7</v>
      </c>
      <c r="G92" s="566">
        <v>3</v>
      </c>
      <c r="H92" s="566">
        <v>1</v>
      </c>
      <c r="I92" s="566">
        <v>0</v>
      </c>
      <c r="J92" s="566">
        <v>3</v>
      </c>
      <c r="K92" s="350">
        <v>0.50902777777777775</v>
      </c>
      <c r="L92" s="567">
        <v>11</v>
      </c>
      <c r="M92" s="566">
        <v>52</v>
      </c>
      <c r="N92" s="566" t="s">
        <v>4375</v>
      </c>
      <c r="O92" s="566" t="s">
        <v>4253</v>
      </c>
      <c r="P92" s="566">
        <v>25</v>
      </c>
      <c r="Q92" s="566">
        <v>3</v>
      </c>
      <c r="R92" s="566" t="s">
        <v>1400</v>
      </c>
      <c r="S92" s="566">
        <v>25</v>
      </c>
      <c r="T92" s="566">
        <v>1</v>
      </c>
      <c r="U92" s="566" t="s">
        <v>4376</v>
      </c>
      <c r="V92" s="566">
        <v>0</v>
      </c>
      <c r="W92" s="566" t="s">
        <v>4377</v>
      </c>
      <c r="X92" s="566">
        <v>87</v>
      </c>
      <c r="Y92" s="566">
        <v>81</v>
      </c>
    </row>
    <row r="93" spans="4:25" ht="15" thickBot="1" x14ac:dyDescent="0.35">
      <c r="D93" s="566">
        <v>14</v>
      </c>
      <c r="E93" s="566" t="s">
        <v>332</v>
      </c>
      <c r="F93" s="566">
        <v>10</v>
      </c>
      <c r="G93" s="566">
        <v>2</v>
      </c>
      <c r="H93" s="566">
        <v>2</v>
      </c>
      <c r="I93" s="566">
        <v>1</v>
      </c>
      <c r="J93" s="566">
        <v>5</v>
      </c>
      <c r="K93" s="352">
        <v>1.0666666666666667</v>
      </c>
      <c r="L93" s="567">
        <v>11</v>
      </c>
      <c r="M93" s="566">
        <v>37</v>
      </c>
      <c r="N93" s="566" t="s">
        <v>4378</v>
      </c>
      <c r="O93" s="566" t="s">
        <v>4379</v>
      </c>
      <c r="P93" s="566">
        <v>43</v>
      </c>
      <c r="Q93" s="566">
        <v>6</v>
      </c>
      <c r="R93" s="566" t="s">
        <v>1387</v>
      </c>
      <c r="S93" s="566">
        <v>42</v>
      </c>
      <c r="T93" s="566">
        <v>13</v>
      </c>
      <c r="U93" s="566" t="s">
        <v>4380</v>
      </c>
      <c r="V93" s="566">
        <v>1</v>
      </c>
      <c r="W93" s="566" t="s">
        <v>4381</v>
      </c>
      <c r="X93" s="566">
        <v>96</v>
      </c>
      <c r="Y93" s="566">
        <v>99</v>
      </c>
    </row>
    <row r="94" spans="4:25" ht="15" thickBot="1" x14ac:dyDescent="0.35">
      <c r="D94" s="566">
        <v>15</v>
      </c>
      <c r="E94" s="566" t="s">
        <v>1293</v>
      </c>
      <c r="F94" s="566">
        <v>10</v>
      </c>
      <c r="G94" s="566">
        <v>1</v>
      </c>
      <c r="H94" s="566">
        <v>0</v>
      </c>
      <c r="I94" s="566">
        <v>1</v>
      </c>
      <c r="J94" s="566">
        <v>8</v>
      </c>
      <c r="K94" s="350">
        <v>0.77638888888888891</v>
      </c>
      <c r="L94" s="567">
        <v>4</v>
      </c>
      <c r="M94" s="566">
        <v>13</v>
      </c>
      <c r="N94" s="566" t="s">
        <v>4382</v>
      </c>
      <c r="O94" s="566" t="s">
        <v>4383</v>
      </c>
      <c r="P94" s="566">
        <v>33</v>
      </c>
      <c r="Q94" s="566">
        <v>5</v>
      </c>
      <c r="R94" s="566" t="s">
        <v>1442</v>
      </c>
      <c r="S94" s="566">
        <v>23</v>
      </c>
      <c r="T94" s="566">
        <v>4</v>
      </c>
      <c r="U94" s="566" t="s">
        <v>1717</v>
      </c>
      <c r="V94" s="566">
        <v>0</v>
      </c>
      <c r="W94" s="566" t="s">
        <v>4384</v>
      </c>
      <c r="X94" s="566">
        <v>70</v>
      </c>
      <c r="Y94" s="566">
        <v>69</v>
      </c>
    </row>
    <row r="96" spans="4:25" ht="15" thickBot="1" x14ac:dyDescent="0.35"/>
    <row r="97" spans="4:8" x14ac:dyDescent="0.3">
      <c r="D97" s="260" t="s">
        <v>840</v>
      </c>
      <c r="E97" s="1145" t="s">
        <v>4222</v>
      </c>
      <c r="F97" s="1143"/>
      <c r="G97" s="1143"/>
      <c r="H97" s="1144"/>
    </row>
    <row r="98" spans="4:8" ht="15" thickBot="1" x14ac:dyDescent="0.35">
      <c r="D98" s="261"/>
      <c r="E98" s="235" t="s">
        <v>813</v>
      </c>
      <c r="F98" s="200" t="s">
        <v>814</v>
      </c>
      <c r="G98" s="200" t="s">
        <v>816</v>
      </c>
      <c r="H98" s="230" t="s">
        <v>817</v>
      </c>
    </row>
    <row r="99" spans="4:8" x14ac:dyDescent="0.3">
      <c r="D99" s="231">
        <v>1</v>
      </c>
      <c r="E99" s="251" t="s">
        <v>1274</v>
      </c>
      <c r="F99" s="171">
        <v>4</v>
      </c>
      <c r="G99" s="169">
        <v>21</v>
      </c>
      <c r="H99" s="231">
        <f t="shared" ref="H99:H113" si="19">G99-F99</f>
        <v>17</v>
      </c>
    </row>
    <row r="100" spans="4:8" x14ac:dyDescent="0.3">
      <c r="D100" s="232">
        <v>2</v>
      </c>
      <c r="E100" s="252" t="s">
        <v>334</v>
      </c>
      <c r="F100" s="184">
        <v>9</v>
      </c>
      <c r="G100" s="234">
        <v>25</v>
      </c>
      <c r="H100" s="232">
        <f t="shared" si="19"/>
        <v>16</v>
      </c>
    </row>
    <row r="101" spans="4:8" x14ac:dyDescent="0.3">
      <c r="D101" s="232">
        <v>3</v>
      </c>
      <c r="E101" s="252" t="s">
        <v>6086</v>
      </c>
      <c r="F101" s="184">
        <v>10</v>
      </c>
      <c r="G101" s="234">
        <v>16</v>
      </c>
      <c r="H101" s="232">
        <f t="shared" si="19"/>
        <v>6</v>
      </c>
    </row>
    <row r="102" spans="4:8" x14ac:dyDescent="0.3">
      <c r="D102" s="232">
        <v>4</v>
      </c>
      <c r="E102" s="252" t="s">
        <v>327</v>
      </c>
      <c r="F102" s="184">
        <v>10</v>
      </c>
      <c r="G102" s="234">
        <v>16</v>
      </c>
      <c r="H102" s="232">
        <f t="shared" si="19"/>
        <v>6</v>
      </c>
    </row>
    <row r="103" spans="4:8" x14ac:dyDescent="0.3">
      <c r="D103" s="232">
        <v>5</v>
      </c>
      <c r="E103" s="252" t="s">
        <v>328</v>
      </c>
      <c r="F103" s="184">
        <v>10</v>
      </c>
      <c r="G103" s="234">
        <v>14</v>
      </c>
      <c r="H103" s="232">
        <f t="shared" si="19"/>
        <v>4</v>
      </c>
    </row>
    <row r="104" spans="4:8" x14ac:dyDescent="0.3">
      <c r="D104" s="232">
        <v>6</v>
      </c>
      <c r="E104" s="252" t="s">
        <v>6091</v>
      </c>
      <c r="F104" s="184">
        <v>16</v>
      </c>
      <c r="G104" s="234">
        <v>17</v>
      </c>
      <c r="H104" s="232">
        <f t="shared" si="19"/>
        <v>1</v>
      </c>
    </row>
    <row r="105" spans="4:8" x14ac:dyDescent="0.3">
      <c r="D105" s="232">
        <v>7</v>
      </c>
      <c r="E105" s="252" t="s">
        <v>325</v>
      </c>
      <c r="F105" s="184">
        <v>11</v>
      </c>
      <c r="G105" s="234">
        <v>12</v>
      </c>
      <c r="H105" s="232">
        <f t="shared" si="19"/>
        <v>1</v>
      </c>
    </row>
    <row r="106" spans="4:8" x14ac:dyDescent="0.3">
      <c r="D106" s="232">
        <v>8</v>
      </c>
      <c r="E106" s="252" t="s">
        <v>626</v>
      </c>
      <c r="F106" s="184">
        <v>12</v>
      </c>
      <c r="G106" s="234">
        <v>12</v>
      </c>
      <c r="H106" s="232">
        <f t="shared" si="19"/>
        <v>0</v>
      </c>
    </row>
    <row r="107" spans="4:8" x14ac:dyDescent="0.3">
      <c r="D107" s="232">
        <v>9</v>
      </c>
      <c r="E107" s="252" t="s">
        <v>610</v>
      </c>
      <c r="F107" s="184">
        <v>12</v>
      </c>
      <c r="G107" s="234">
        <v>11</v>
      </c>
      <c r="H107" s="232">
        <f t="shared" si="19"/>
        <v>-1</v>
      </c>
    </row>
    <row r="108" spans="4:8" x14ac:dyDescent="0.3">
      <c r="D108" s="232">
        <v>10</v>
      </c>
      <c r="E108" s="253" t="s">
        <v>818</v>
      </c>
      <c r="F108" s="237">
        <v>16</v>
      </c>
      <c r="G108" s="238">
        <v>14</v>
      </c>
      <c r="H108" s="239">
        <f t="shared" si="19"/>
        <v>-2</v>
      </c>
    </row>
    <row r="109" spans="4:8" x14ac:dyDescent="0.3">
      <c r="D109" s="232">
        <v>11</v>
      </c>
      <c r="E109" s="252" t="s">
        <v>6179</v>
      </c>
      <c r="F109" s="184">
        <v>14</v>
      </c>
      <c r="G109" s="234">
        <v>11</v>
      </c>
      <c r="H109" s="232">
        <f t="shared" si="19"/>
        <v>-3</v>
      </c>
    </row>
    <row r="110" spans="4:8" x14ac:dyDescent="0.3">
      <c r="D110" s="232">
        <v>12</v>
      </c>
      <c r="E110" s="252" t="s">
        <v>331</v>
      </c>
      <c r="F110" s="184">
        <v>13</v>
      </c>
      <c r="G110" s="234">
        <v>10</v>
      </c>
      <c r="H110" s="232">
        <f t="shared" si="19"/>
        <v>-3</v>
      </c>
    </row>
    <row r="111" spans="4:8" x14ac:dyDescent="0.3">
      <c r="D111" s="232">
        <v>13</v>
      </c>
      <c r="E111" s="252" t="s">
        <v>6076</v>
      </c>
      <c r="F111" s="184">
        <v>13</v>
      </c>
      <c r="G111" s="234">
        <v>5</v>
      </c>
      <c r="H111" s="232">
        <f t="shared" si="19"/>
        <v>-8</v>
      </c>
    </row>
    <row r="112" spans="4:8" x14ac:dyDescent="0.3">
      <c r="D112" s="232">
        <v>14</v>
      </c>
      <c r="E112" s="252" t="s">
        <v>332</v>
      </c>
      <c r="F112" s="184">
        <v>19</v>
      </c>
      <c r="G112" s="234">
        <v>7</v>
      </c>
      <c r="H112" s="232">
        <f t="shared" si="19"/>
        <v>-12</v>
      </c>
    </row>
    <row r="113" spans="4:21" ht="15" thickBot="1" x14ac:dyDescent="0.35">
      <c r="D113" s="233">
        <v>15</v>
      </c>
      <c r="E113" s="254" t="s">
        <v>326</v>
      </c>
      <c r="F113" s="235">
        <v>26</v>
      </c>
      <c r="G113" s="236">
        <v>4</v>
      </c>
      <c r="H113" s="233">
        <f t="shared" si="19"/>
        <v>-22</v>
      </c>
    </row>
    <row r="117" spans="4:21" ht="15" thickBot="1" x14ac:dyDescent="0.35">
      <c r="D117" s="577" t="s">
        <v>4169</v>
      </c>
      <c r="E117" s="578" t="s">
        <v>141</v>
      </c>
      <c r="F117" s="578" t="s">
        <v>140</v>
      </c>
      <c r="G117" s="577" t="s">
        <v>139</v>
      </c>
      <c r="H117" s="577" t="s">
        <v>213</v>
      </c>
      <c r="I117" s="579" t="s">
        <v>138</v>
      </c>
      <c r="J117" s="579" t="s">
        <v>137</v>
      </c>
      <c r="K117" s="579" t="s">
        <v>136</v>
      </c>
      <c r="L117" s="580" t="s">
        <v>135</v>
      </c>
      <c r="M117" s="579" t="s">
        <v>134</v>
      </c>
      <c r="N117" s="579" t="s">
        <v>133</v>
      </c>
      <c r="O117" s="579" t="s">
        <v>132</v>
      </c>
      <c r="P117" s="579" t="s">
        <v>131</v>
      </c>
      <c r="Q117" s="579" t="s">
        <v>130</v>
      </c>
      <c r="R117" s="579" t="s">
        <v>129</v>
      </c>
      <c r="S117" s="579" t="s">
        <v>128</v>
      </c>
      <c r="T117" s="579" t="s">
        <v>127</v>
      </c>
      <c r="U117" s="579" t="s">
        <v>126</v>
      </c>
    </row>
    <row r="118" spans="4:21" ht="28.2" thickBot="1" x14ac:dyDescent="0.35">
      <c r="D118" s="333">
        <v>1</v>
      </c>
      <c r="E118" s="550" t="s">
        <v>4170</v>
      </c>
      <c r="F118" s="551" t="s">
        <v>80</v>
      </c>
      <c r="G118" s="333" t="s">
        <v>79</v>
      </c>
      <c r="H118" s="333">
        <v>21</v>
      </c>
      <c r="I118" s="336">
        <v>17.912499999999998</v>
      </c>
      <c r="J118" s="333">
        <v>6</v>
      </c>
      <c r="K118" s="333">
        <v>13</v>
      </c>
      <c r="L118" s="333">
        <v>19</v>
      </c>
      <c r="M118" s="333">
        <v>31</v>
      </c>
      <c r="N118" s="333" t="s">
        <v>4395</v>
      </c>
      <c r="O118" s="333">
        <v>3</v>
      </c>
      <c r="P118" s="333">
        <v>8</v>
      </c>
      <c r="Q118" s="333">
        <v>0</v>
      </c>
      <c r="R118" s="333">
        <v>0</v>
      </c>
      <c r="S118" s="333">
        <v>0</v>
      </c>
      <c r="T118" s="333">
        <v>4</v>
      </c>
      <c r="U118" s="335">
        <v>0.85277777777777775</v>
      </c>
    </row>
    <row r="119" spans="4:21" ht="28.2" thickBot="1" x14ac:dyDescent="0.35">
      <c r="D119" s="333">
        <v>2</v>
      </c>
      <c r="E119" s="550" t="s">
        <v>4031</v>
      </c>
      <c r="F119" s="551" t="s">
        <v>80</v>
      </c>
      <c r="G119" s="333" t="s">
        <v>79</v>
      </c>
      <c r="H119" s="333">
        <v>21</v>
      </c>
      <c r="I119" s="336">
        <v>15.314583333333333</v>
      </c>
      <c r="J119" s="333">
        <v>9</v>
      </c>
      <c r="K119" s="333">
        <v>9</v>
      </c>
      <c r="L119" s="333">
        <v>18</v>
      </c>
      <c r="M119" s="333">
        <v>42</v>
      </c>
      <c r="N119" s="333" t="s">
        <v>4396</v>
      </c>
      <c r="O119" s="333">
        <v>1</v>
      </c>
      <c r="P119" s="333">
        <v>4</v>
      </c>
      <c r="Q119" s="333">
        <v>0</v>
      </c>
      <c r="R119" s="333">
        <v>4</v>
      </c>
      <c r="S119" s="333">
        <v>5</v>
      </c>
      <c r="T119" s="333">
        <v>2</v>
      </c>
      <c r="U119" s="335">
        <v>0.72916666666666663</v>
      </c>
    </row>
    <row r="120" spans="4:21" ht="28.2" thickBot="1" x14ac:dyDescent="0.35">
      <c r="D120" s="333">
        <v>3</v>
      </c>
      <c r="E120" s="550" t="s">
        <v>3614</v>
      </c>
      <c r="F120" s="551" t="s">
        <v>80</v>
      </c>
      <c r="G120" s="333" t="s">
        <v>79</v>
      </c>
      <c r="H120" s="333">
        <v>21</v>
      </c>
      <c r="I120" s="336">
        <v>13.549999999999999</v>
      </c>
      <c r="J120" s="333">
        <v>9</v>
      </c>
      <c r="K120" s="333">
        <v>4</v>
      </c>
      <c r="L120" s="333">
        <v>13</v>
      </c>
      <c r="M120" s="333">
        <v>48</v>
      </c>
      <c r="N120" s="333" t="s">
        <v>4262</v>
      </c>
      <c r="O120" s="333">
        <v>1</v>
      </c>
      <c r="P120" s="333">
        <v>1</v>
      </c>
      <c r="Q120" s="333">
        <v>0</v>
      </c>
      <c r="R120" s="333">
        <v>1</v>
      </c>
      <c r="S120" s="333">
        <v>-4</v>
      </c>
      <c r="T120" s="333">
        <v>16</v>
      </c>
      <c r="U120" s="335">
        <v>0.64513888888888882</v>
      </c>
    </row>
    <row r="121" spans="4:21" ht="28.2" thickBot="1" x14ac:dyDescent="0.35">
      <c r="D121" s="333">
        <v>4</v>
      </c>
      <c r="E121" s="550" t="s">
        <v>122</v>
      </c>
      <c r="F121" s="551" t="s">
        <v>80</v>
      </c>
      <c r="G121" s="333" t="s">
        <v>79</v>
      </c>
      <c r="H121" s="333">
        <v>21</v>
      </c>
      <c r="I121" s="336">
        <v>12.987499999999999</v>
      </c>
      <c r="J121" s="333">
        <v>4</v>
      </c>
      <c r="K121" s="333">
        <v>6</v>
      </c>
      <c r="L121" s="333">
        <v>10</v>
      </c>
      <c r="M121" s="333">
        <v>37</v>
      </c>
      <c r="N121" s="581">
        <v>29860</v>
      </c>
      <c r="O121" s="333">
        <v>0</v>
      </c>
      <c r="P121" s="333">
        <v>1</v>
      </c>
      <c r="Q121" s="333">
        <v>0</v>
      </c>
      <c r="R121" s="333">
        <v>1</v>
      </c>
      <c r="S121" s="333">
        <v>-2</v>
      </c>
      <c r="T121" s="333">
        <v>2</v>
      </c>
      <c r="U121" s="335">
        <v>0.61805555555555558</v>
      </c>
    </row>
    <row r="122" spans="4:21" ht="28.2" thickBot="1" x14ac:dyDescent="0.35">
      <c r="D122" s="333">
        <v>5</v>
      </c>
      <c r="E122" s="550" t="s">
        <v>4068</v>
      </c>
      <c r="F122" s="551" t="s">
        <v>80</v>
      </c>
      <c r="G122" s="333" t="s">
        <v>79</v>
      </c>
      <c r="H122" s="333">
        <v>20</v>
      </c>
      <c r="I122" s="336">
        <v>16.085416666666667</v>
      </c>
      <c r="J122" s="333">
        <v>3</v>
      </c>
      <c r="K122" s="333">
        <v>7</v>
      </c>
      <c r="L122" s="333">
        <v>10</v>
      </c>
      <c r="M122" s="333">
        <v>51</v>
      </c>
      <c r="N122" s="581">
        <v>32264</v>
      </c>
      <c r="O122" s="333">
        <v>1</v>
      </c>
      <c r="P122" s="333">
        <v>1</v>
      </c>
      <c r="Q122" s="333">
        <v>1</v>
      </c>
      <c r="R122" s="333">
        <v>1</v>
      </c>
      <c r="S122" s="333">
        <v>-3</v>
      </c>
      <c r="T122" s="333">
        <v>10</v>
      </c>
      <c r="U122" s="335">
        <v>0.8041666666666667</v>
      </c>
    </row>
    <row r="123" spans="4:21" ht="28.2" thickBot="1" x14ac:dyDescent="0.35">
      <c r="D123" s="333">
        <v>6</v>
      </c>
      <c r="E123" s="550" t="s">
        <v>4069</v>
      </c>
      <c r="F123" s="551" t="s">
        <v>80</v>
      </c>
      <c r="G123" s="333" t="s">
        <v>79</v>
      </c>
      <c r="H123" s="333">
        <v>18</v>
      </c>
      <c r="I123" s="336">
        <v>13.956944444444444</v>
      </c>
      <c r="J123" s="333">
        <v>4</v>
      </c>
      <c r="K123" s="333">
        <v>5</v>
      </c>
      <c r="L123" s="333">
        <v>9</v>
      </c>
      <c r="M123" s="333">
        <v>53</v>
      </c>
      <c r="N123" s="581">
        <v>20271</v>
      </c>
      <c r="O123" s="333">
        <v>3</v>
      </c>
      <c r="P123" s="333">
        <v>4</v>
      </c>
      <c r="Q123" s="333">
        <v>0</v>
      </c>
      <c r="R123" s="333">
        <v>0</v>
      </c>
      <c r="S123" s="333">
        <v>2</v>
      </c>
      <c r="T123" s="333">
        <v>2</v>
      </c>
      <c r="U123" s="335">
        <v>0.77500000000000002</v>
      </c>
    </row>
    <row r="124" spans="4:21" ht="28.2" thickBot="1" x14ac:dyDescent="0.35">
      <c r="D124" s="333">
        <v>7</v>
      </c>
      <c r="E124" s="550" t="s">
        <v>4032</v>
      </c>
      <c r="F124" s="551" t="s">
        <v>80</v>
      </c>
      <c r="G124" s="333" t="s">
        <v>88</v>
      </c>
      <c r="H124" s="333">
        <v>21</v>
      </c>
      <c r="I124" s="336">
        <v>21.493055555555557</v>
      </c>
      <c r="J124" s="333">
        <v>2</v>
      </c>
      <c r="K124" s="333">
        <v>7</v>
      </c>
      <c r="L124" s="333">
        <v>9</v>
      </c>
      <c r="M124" s="333">
        <v>71</v>
      </c>
      <c r="N124" s="581">
        <v>29983</v>
      </c>
      <c r="O124" s="333">
        <v>1</v>
      </c>
      <c r="P124" s="333">
        <v>7</v>
      </c>
      <c r="Q124" s="333">
        <v>0</v>
      </c>
      <c r="R124" s="333">
        <v>0</v>
      </c>
      <c r="S124" s="333">
        <v>-4</v>
      </c>
      <c r="T124" s="333">
        <v>16</v>
      </c>
      <c r="U124" s="336">
        <v>1.0229166666666667</v>
      </c>
    </row>
    <row r="125" spans="4:21" ht="28.2" thickBot="1" x14ac:dyDescent="0.35">
      <c r="D125" s="333">
        <v>8</v>
      </c>
      <c r="E125" s="550" t="s">
        <v>4034</v>
      </c>
      <c r="F125" s="551" t="s">
        <v>80</v>
      </c>
      <c r="G125" s="333" t="s">
        <v>88</v>
      </c>
      <c r="H125" s="333">
        <v>21</v>
      </c>
      <c r="I125" s="336">
        <v>13.830555555555556</v>
      </c>
      <c r="J125" s="333">
        <v>3</v>
      </c>
      <c r="K125" s="333">
        <v>5</v>
      </c>
      <c r="L125" s="333">
        <v>8</v>
      </c>
      <c r="M125" s="333">
        <v>27</v>
      </c>
      <c r="N125" s="582">
        <v>44511</v>
      </c>
      <c r="O125" s="333">
        <v>0</v>
      </c>
      <c r="P125" s="333">
        <v>0</v>
      </c>
      <c r="Q125" s="333">
        <v>0</v>
      </c>
      <c r="R125" s="333">
        <v>1</v>
      </c>
      <c r="S125" s="333">
        <v>-3</v>
      </c>
      <c r="T125" s="333">
        <v>8</v>
      </c>
      <c r="U125" s="335">
        <v>0.65833333333333333</v>
      </c>
    </row>
    <row r="126" spans="4:21" ht="29.4" thickBot="1" x14ac:dyDescent="0.35">
      <c r="D126" s="333">
        <v>9</v>
      </c>
      <c r="E126" s="550" t="s">
        <v>4033</v>
      </c>
      <c r="F126" s="551" t="s">
        <v>80</v>
      </c>
      <c r="G126" s="333" t="s">
        <v>88</v>
      </c>
      <c r="H126" s="333">
        <v>21</v>
      </c>
      <c r="I126" s="336">
        <v>19.682638888888889</v>
      </c>
      <c r="J126" s="333">
        <v>2</v>
      </c>
      <c r="K126" s="333">
        <v>6</v>
      </c>
      <c r="L126" s="333">
        <v>8</v>
      </c>
      <c r="M126" s="333">
        <v>40</v>
      </c>
      <c r="N126" s="333" t="s">
        <v>4397</v>
      </c>
      <c r="O126" s="333">
        <v>1</v>
      </c>
      <c r="P126" s="333">
        <v>2</v>
      </c>
      <c r="Q126" s="333">
        <v>0</v>
      </c>
      <c r="R126" s="333">
        <v>0</v>
      </c>
      <c r="S126" s="333">
        <v>1</v>
      </c>
      <c r="T126" s="333">
        <v>14</v>
      </c>
      <c r="U126" s="335">
        <v>0.93680555555555556</v>
      </c>
    </row>
    <row r="127" spans="4:21" ht="28.2" thickBot="1" x14ac:dyDescent="0.35">
      <c r="D127" s="333">
        <v>10</v>
      </c>
      <c r="E127" s="550" t="s">
        <v>124</v>
      </c>
      <c r="F127" s="551" t="s">
        <v>80</v>
      </c>
      <c r="G127" s="333" t="s">
        <v>79</v>
      </c>
      <c r="H127" s="333">
        <v>18</v>
      </c>
      <c r="I127" s="336">
        <v>10.920138888888888</v>
      </c>
      <c r="J127" s="333">
        <v>1</v>
      </c>
      <c r="K127" s="333">
        <v>7</v>
      </c>
      <c r="L127" s="333">
        <v>8</v>
      </c>
      <c r="M127" s="333">
        <v>30</v>
      </c>
      <c r="N127" s="581">
        <v>12114</v>
      </c>
      <c r="O127" s="333">
        <v>1</v>
      </c>
      <c r="P127" s="333">
        <v>2</v>
      </c>
      <c r="Q127" s="333">
        <v>0</v>
      </c>
      <c r="R127" s="333">
        <v>0</v>
      </c>
      <c r="S127" s="333">
        <v>-3</v>
      </c>
      <c r="T127" s="333">
        <v>8</v>
      </c>
      <c r="U127" s="335">
        <v>0.60625000000000007</v>
      </c>
    </row>
    <row r="128" spans="4:21" ht="28.2" thickBot="1" x14ac:dyDescent="0.35">
      <c r="D128" s="333">
        <v>11</v>
      </c>
      <c r="E128" s="550" t="s">
        <v>4171</v>
      </c>
      <c r="F128" s="551" t="s">
        <v>80</v>
      </c>
      <c r="G128" s="333" t="s">
        <v>88</v>
      </c>
      <c r="H128" s="333">
        <v>21</v>
      </c>
      <c r="I128" s="336">
        <v>18.606249999999999</v>
      </c>
      <c r="J128" s="333">
        <v>0</v>
      </c>
      <c r="K128" s="333">
        <v>7</v>
      </c>
      <c r="L128" s="333">
        <v>7</v>
      </c>
      <c r="M128" s="333">
        <v>43</v>
      </c>
      <c r="N128" s="333" t="s">
        <v>78</v>
      </c>
      <c r="O128" s="333">
        <v>0</v>
      </c>
      <c r="P128" s="333">
        <v>3</v>
      </c>
      <c r="Q128" s="333">
        <v>0</v>
      </c>
      <c r="R128" s="333">
        <v>0</v>
      </c>
      <c r="S128" s="333">
        <v>3</v>
      </c>
      <c r="T128" s="333">
        <v>18</v>
      </c>
      <c r="U128" s="335">
        <v>0.88541666666666663</v>
      </c>
    </row>
    <row r="129" spans="4:21" ht="28.2" thickBot="1" x14ac:dyDescent="0.35">
      <c r="D129" s="333">
        <v>12</v>
      </c>
      <c r="E129" s="550" t="s">
        <v>4172</v>
      </c>
      <c r="F129" s="551" t="s">
        <v>80</v>
      </c>
      <c r="G129" s="333" t="s">
        <v>88</v>
      </c>
      <c r="H129" s="333">
        <v>19</v>
      </c>
      <c r="I129" s="336">
        <v>15.83611111111111</v>
      </c>
      <c r="J129" s="333">
        <v>3</v>
      </c>
      <c r="K129" s="333">
        <v>3</v>
      </c>
      <c r="L129" s="333">
        <v>6</v>
      </c>
      <c r="M129" s="333">
        <v>28</v>
      </c>
      <c r="N129" s="581">
        <v>26207</v>
      </c>
      <c r="O129" s="333">
        <v>0</v>
      </c>
      <c r="P129" s="333">
        <v>0</v>
      </c>
      <c r="Q129" s="333">
        <v>0</v>
      </c>
      <c r="R129" s="333">
        <v>0</v>
      </c>
      <c r="S129" s="333">
        <v>-7</v>
      </c>
      <c r="T129" s="333">
        <v>8</v>
      </c>
      <c r="U129" s="335">
        <v>0.83333333333333337</v>
      </c>
    </row>
    <row r="130" spans="4:21" ht="28.2" thickBot="1" x14ac:dyDescent="0.35">
      <c r="D130" s="333">
        <v>13</v>
      </c>
      <c r="E130" s="550" t="s">
        <v>3617</v>
      </c>
      <c r="F130" s="551" t="s">
        <v>80</v>
      </c>
      <c r="G130" s="333" t="s">
        <v>79</v>
      </c>
      <c r="H130" s="333">
        <v>17</v>
      </c>
      <c r="I130" s="336">
        <v>9.7770833333333336</v>
      </c>
      <c r="J130" s="333">
        <v>2</v>
      </c>
      <c r="K130" s="333">
        <v>3</v>
      </c>
      <c r="L130" s="333">
        <v>5</v>
      </c>
      <c r="M130" s="333">
        <v>30</v>
      </c>
      <c r="N130" s="581">
        <v>24624</v>
      </c>
      <c r="O130" s="333">
        <v>0</v>
      </c>
      <c r="P130" s="333">
        <v>2</v>
      </c>
      <c r="Q130" s="333">
        <v>0</v>
      </c>
      <c r="R130" s="333">
        <v>0</v>
      </c>
      <c r="S130" s="333">
        <v>-8</v>
      </c>
      <c r="T130" s="333">
        <v>8</v>
      </c>
      <c r="U130" s="335">
        <v>0.57500000000000007</v>
      </c>
    </row>
    <row r="131" spans="4:21" ht="28.2" thickBot="1" x14ac:dyDescent="0.35">
      <c r="D131" s="333">
        <v>14</v>
      </c>
      <c r="E131" s="550" t="s">
        <v>3622</v>
      </c>
      <c r="F131" s="551" t="s">
        <v>80</v>
      </c>
      <c r="G131" s="333" t="s">
        <v>79</v>
      </c>
      <c r="H131" s="333">
        <v>14</v>
      </c>
      <c r="I131" s="336">
        <v>6.614583333333333</v>
      </c>
      <c r="J131" s="333">
        <v>3</v>
      </c>
      <c r="K131" s="333">
        <v>0</v>
      </c>
      <c r="L131" s="333">
        <v>3</v>
      </c>
      <c r="M131" s="333">
        <v>23</v>
      </c>
      <c r="N131" s="582">
        <v>44299</v>
      </c>
      <c r="O131" s="333">
        <v>0</v>
      </c>
      <c r="P131" s="333">
        <v>0</v>
      </c>
      <c r="Q131" s="333">
        <v>0</v>
      </c>
      <c r="R131" s="333">
        <v>0</v>
      </c>
      <c r="S131" s="333">
        <v>-3</v>
      </c>
      <c r="T131" s="333">
        <v>6</v>
      </c>
      <c r="U131" s="335">
        <v>0.47222222222222227</v>
      </c>
    </row>
    <row r="132" spans="4:21" ht="28.2" thickBot="1" x14ac:dyDescent="0.35">
      <c r="D132" s="333">
        <v>15</v>
      </c>
      <c r="E132" s="550" t="s">
        <v>4174</v>
      </c>
      <c r="F132" s="551" t="s">
        <v>80</v>
      </c>
      <c r="G132" s="333" t="s">
        <v>79</v>
      </c>
      <c r="H132" s="333">
        <v>11</v>
      </c>
      <c r="I132" s="336">
        <v>5.0236111111111112</v>
      </c>
      <c r="J132" s="333">
        <v>1</v>
      </c>
      <c r="K132" s="333">
        <v>2</v>
      </c>
      <c r="L132" s="333">
        <v>3</v>
      </c>
      <c r="M132" s="333">
        <v>6</v>
      </c>
      <c r="N132" s="333" t="s">
        <v>1367</v>
      </c>
      <c r="O132" s="333">
        <v>0</v>
      </c>
      <c r="P132" s="333">
        <v>0</v>
      </c>
      <c r="Q132" s="333">
        <v>0</v>
      </c>
      <c r="R132" s="333">
        <v>0</v>
      </c>
      <c r="S132" s="333">
        <v>0</v>
      </c>
      <c r="T132" s="333">
        <v>6</v>
      </c>
      <c r="U132" s="335">
        <v>0.45624999999999999</v>
      </c>
    </row>
    <row r="133" spans="4:21" ht="28.2" thickBot="1" x14ac:dyDescent="0.35">
      <c r="D133" s="333">
        <v>16</v>
      </c>
      <c r="E133" s="550" t="s">
        <v>1226</v>
      </c>
      <c r="F133" s="551" t="s">
        <v>80</v>
      </c>
      <c r="G133" s="333" t="s">
        <v>79</v>
      </c>
      <c r="H133" s="333">
        <v>14</v>
      </c>
      <c r="I133" s="336">
        <v>3.6993055555555556</v>
      </c>
      <c r="J133" s="333">
        <v>1</v>
      </c>
      <c r="K133" s="333">
        <v>2</v>
      </c>
      <c r="L133" s="333">
        <v>3</v>
      </c>
      <c r="M133" s="333">
        <v>7</v>
      </c>
      <c r="N133" s="333" t="s">
        <v>215</v>
      </c>
      <c r="O133" s="333">
        <v>0</v>
      </c>
      <c r="P133" s="333">
        <v>0</v>
      </c>
      <c r="Q133" s="333">
        <v>0</v>
      </c>
      <c r="R133" s="333">
        <v>0</v>
      </c>
      <c r="S133" s="333">
        <v>0</v>
      </c>
      <c r="T133" s="333">
        <v>0</v>
      </c>
      <c r="U133" s="335">
        <v>0.2638888888888889</v>
      </c>
    </row>
    <row r="134" spans="4:21" ht="28.2" thickBot="1" x14ac:dyDescent="0.35">
      <c r="D134" s="333">
        <v>17</v>
      </c>
      <c r="E134" s="550" t="s">
        <v>1176</v>
      </c>
      <c r="F134" s="551" t="s">
        <v>80</v>
      </c>
      <c r="G134" s="333" t="s">
        <v>79</v>
      </c>
      <c r="H134" s="333">
        <v>9</v>
      </c>
      <c r="I134" s="336">
        <v>3.3652777777777776</v>
      </c>
      <c r="J134" s="333">
        <v>0</v>
      </c>
      <c r="K134" s="333">
        <v>3</v>
      </c>
      <c r="L134" s="333">
        <v>3</v>
      </c>
      <c r="M134" s="333">
        <v>7</v>
      </c>
      <c r="N134" s="333" t="s">
        <v>78</v>
      </c>
      <c r="O134" s="333">
        <v>0</v>
      </c>
      <c r="P134" s="333">
        <v>0</v>
      </c>
      <c r="Q134" s="333">
        <v>0</v>
      </c>
      <c r="R134" s="333">
        <v>0</v>
      </c>
      <c r="S134" s="333">
        <v>4</v>
      </c>
      <c r="T134" s="333">
        <v>2</v>
      </c>
      <c r="U134" s="335">
        <v>0.37361111111111112</v>
      </c>
    </row>
    <row r="135" spans="4:21" ht="28.2" thickBot="1" x14ac:dyDescent="0.35">
      <c r="D135" s="333">
        <v>18</v>
      </c>
      <c r="E135" s="550" t="s">
        <v>4039</v>
      </c>
      <c r="F135" s="551" t="s">
        <v>80</v>
      </c>
      <c r="G135" s="333" t="s">
        <v>88</v>
      </c>
      <c r="H135" s="333">
        <v>20</v>
      </c>
      <c r="I135" s="336">
        <v>7.9750000000000005</v>
      </c>
      <c r="J135" s="333">
        <v>0</v>
      </c>
      <c r="K135" s="333">
        <v>3</v>
      </c>
      <c r="L135" s="333">
        <v>3</v>
      </c>
      <c r="M135" s="333">
        <v>14</v>
      </c>
      <c r="N135" s="333" t="s">
        <v>78</v>
      </c>
      <c r="O135" s="333">
        <v>0</v>
      </c>
      <c r="P135" s="333">
        <v>0</v>
      </c>
      <c r="Q135" s="333">
        <v>0</v>
      </c>
      <c r="R135" s="333">
        <v>0</v>
      </c>
      <c r="S135" s="333">
        <v>-3</v>
      </c>
      <c r="T135" s="333">
        <v>4</v>
      </c>
      <c r="U135" s="335">
        <v>0.39861111111111108</v>
      </c>
    </row>
    <row r="136" spans="4:21" ht="28.2" thickBot="1" x14ac:dyDescent="0.35">
      <c r="D136" s="333">
        <v>19</v>
      </c>
      <c r="E136" s="550" t="s">
        <v>4398</v>
      </c>
      <c r="F136" s="551" t="s">
        <v>80</v>
      </c>
      <c r="G136" s="333" t="s">
        <v>79</v>
      </c>
      <c r="H136" s="333">
        <v>4</v>
      </c>
      <c r="I136" s="336">
        <v>2.53125</v>
      </c>
      <c r="J136" s="333">
        <v>2</v>
      </c>
      <c r="K136" s="333">
        <v>0</v>
      </c>
      <c r="L136" s="333">
        <v>2</v>
      </c>
      <c r="M136" s="333">
        <v>11</v>
      </c>
      <c r="N136" s="333" t="s">
        <v>1474</v>
      </c>
      <c r="O136" s="333">
        <v>0</v>
      </c>
      <c r="P136" s="333">
        <v>0</v>
      </c>
      <c r="Q136" s="333">
        <v>0</v>
      </c>
      <c r="R136" s="333">
        <v>0</v>
      </c>
      <c r="S136" s="333">
        <v>1</v>
      </c>
      <c r="T136" s="333">
        <v>0</v>
      </c>
      <c r="U136" s="335">
        <v>0.63263888888888886</v>
      </c>
    </row>
    <row r="137" spans="4:21" ht="28.2" thickBot="1" x14ac:dyDescent="0.35">
      <c r="D137" s="333">
        <v>20</v>
      </c>
      <c r="E137" s="550" t="s">
        <v>108</v>
      </c>
      <c r="F137" s="551" t="s">
        <v>80</v>
      </c>
      <c r="G137" s="333" t="s">
        <v>79</v>
      </c>
      <c r="H137" s="333">
        <v>14</v>
      </c>
      <c r="I137" s="336">
        <v>9.8763888888888882</v>
      </c>
      <c r="J137" s="333">
        <v>1</v>
      </c>
      <c r="K137" s="333">
        <v>1</v>
      </c>
      <c r="L137" s="333">
        <v>2</v>
      </c>
      <c r="M137" s="333">
        <v>9</v>
      </c>
      <c r="N137" s="582">
        <v>44511</v>
      </c>
      <c r="O137" s="333">
        <v>0</v>
      </c>
      <c r="P137" s="333">
        <v>0</v>
      </c>
      <c r="Q137" s="333">
        <v>0</v>
      </c>
      <c r="R137" s="333">
        <v>1</v>
      </c>
      <c r="S137" s="333">
        <v>-6</v>
      </c>
      <c r="T137" s="333">
        <v>2</v>
      </c>
      <c r="U137" s="335">
        <v>0.70486111111111116</v>
      </c>
    </row>
    <row r="138" spans="4:21" ht="28.2" thickBot="1" x14ac:dyDescent="0.35">
      <c r="D138" s="333">
        <v>21</v>
      </c>
      <c r="E138" s="550" t="s">
        <v>1224</v>
      </c>
      <c r="F138" s="551" t="s">
        <v>80</v>
      </c>
      <c r="G138" s="333" t="s">
        <v>88</v>
      </c>
      <c r="H138" s="333">
        <v>6</v>
      </c>
      <c r="I138" s="336">
        <v>2.0368055555555555</v>
      </c>
      <c r="J138" s="333">
        <v>0</v>
      </c>
      <c r="K138" s="333">
        <v>2</v>
      </c>
      <c r="L138" s="333">
        <v>2</v>
      </c>
      <c r="M138" s="333">
        <v>5</v>
      </c>
      <c r="N138" s="333" t="s">
        <v>78</v>
      </c>
      <c r="O138" s="333">
        <v>0</v>
      </c>
      <c r="P138" s="333">
        <v>0</v>
      </c>
      <c r="Q138" s="333">
        <v>0</v>
      </c>
      <c r="R138" s="333">
        <v>0</v>
      </c>
      <c r="S138" s="333">
        <v>0</v>
      </c>
      <c r="T138" s="333">
        <v>0</v>
      </c>
      <c r="U138" s="335">
        <v>0.33888888888888885</v>
      </c>
    </row>
    <row r="139" spans="4:21" ht="28.2" thickBot="1" x14ac:dyDescent="0.35">
      <c r="D139" s="333">
        <v>22</v>
      </c>
      <c r="E139" s="550" t="s">
        <v>83</v>
      </c>
      <c r="F139" s="551" t="s">
        <v>80</v>
      </c>
      <c r="G139" s="333" t="s">
        <v>79</v>
      </c>
      <c r="H139" s="333">
        <v>16</v>
      </c>
      <c r="I139" s="336">
        <v>5.353472222222222</v>
      </c>
      <c r="J139" s="333">
        <v>1</v>
      </c>
      <c r="K139" s="333">
        <v>0</v>
      </c>
      <c r="L139" s="333">
        <v>1</v>
      </c>
      <c r="M139" s="333">
        <v>19</v>
      </c>
      <c r="N139" s="581">
        <v>46143</v>
      </c>
      <c r="O139" s="333">
        <v>0</v>
      </c>
      <c r="P139" s="333">
        <v>0</v>
      </c>
      <c r="Q139" s="333">
        <v>0</v>
      </c>
      <c r="R139" s="333">
        <v>0</v>
      </c>
      <c r="S139" s="333">
        <v>0</v>
      </c>
      <c r="T139" s="333">
        <v>12</v>
      </c>
      <c r="U139" s="335">
        <v>0.33402777777777781</v>
      </c>
    </row>
    <row r="140" spans="4:21" ht="28.2" thickBot="1" x14ac:dyDescent="0.35">
      <c r="D140" s="333">
        <v>23</v>
      </c>
      <c r="E140" s="550" t="s">
        <v>1173</v>
      </c>
      <c r="F140" s="551" t="s">
        <v>80</v>
      </c>
      <c r="G140" s="333" t="s">
        <v>88</v>
      </c>
      <c r="H140" s="333">
        <v>6</v>
      </c>
      <c r="I140" s="336">
        <v>1.7236111111111112</v>
      </c>
      <c r="J140" s="333">
        <v>0</v>
      </c>
      <c r="K140" s="333">
        <v>1</v>
      </c>
      <c r="L140" s="333">
        <v>1</v>
      </c>
      <c r="M140" s="333">
        <v>6</v>
      </c>
      <c r="N140" s="333" t="s">
        <v>78</v>
      </c>
      <c r="O140" s="333">
        <v>0</v>
      </c>
      <c r="P140" s="333">
        <v>0</v>
      </c>
      <c r="Q140" s="333">
        <v>0</v>
      </c>
      <c r="R140" s="333">
        <v>0</v>
      </c>
      <c r="S140" s="333">
        <v>2</v>
      </c>
      <c r="T140" s="333">
        <v>27</v>
      </c>
      <c r="U140" s="335">
        <v>0.28680555555555554</v>
      </c>
    </row>
    <row r="141" spans="4:21" ht="28.2" thickBot="1" x14ac:dyDescent="0.35">
      <c r="D141" s="333">
        <v>24</v>
      </c>
      <c r="E141" s="550" t="s">
        <v>82</v>
      </c>
      <c r="F141" s="551" t="s">
        <v>80</v>
      </c>
      <c r="G141" s="333" t="s">
        <v>79</v>
      </c>
      <c r="H141" s="333">
        <v>8</v>
      </c>
      <c r="I141" s="336">
        <v>4.4576388888888889</v>
      </c>
      <c r="J141" s="333">
        <v>0</v>
      </c>
      <c r="K141" s="333">
        <v>1</v>
      </c>
      <c r="L141" s="333">
        <v>1</v>
      </c>
      <c r="M141" s="333">
        <v>6</v>
      </c>
      <c r="N141" s="333" t="s">
        <v>78</v>
      </c>
      <c r="O141" s="333">
        <v>0</v>
      </c>
      <c r="P141" s="333">
        <v>0</v>
      </c>
      <c r="Q141" s="333">
        <v>0</v>
      </c>
      <c r="R141" s="333">
        <v>0</v>
      </c>
      <c r="S141" s="333">
        <v>2</v>
      </c>
      <c r="T141" s="333">
        <v>0</v>
      </c>
      <c r="U141" s="335">
        <v>0.55694444444444446</v>
      </c>
    </row>
    <row r="142" spans="4:21" ht="28.2" thickBot="1" x14ac:dyDescent="0.35">
      <c r="D142" s="333">
        <v>25</v>
      </c>
      <c r="E142" s="550" t="s">
        <v>97</v>
      </c>
      <c r="F142" s="551" t="s">
        <v>80</v>
      </c>
      <c r="G142" s="333" t="s">
        <v>79</v>
      </c>
      <c r="H142" s="333">
        <v>1</v>
      </c>
      <c r="I142" s="335">
        <v>0.36388888888888887</v>
      </c>
      <c r="J142" s="333">
        <v>0</v>
      </c>
      <c r="K142" s="333">
        <v>0</v>
      </c>
      <c r="L142" s="333">
        <v>0</v>
      </c>
      <c r="M142" s="333">
        <v>1</v>
      </c>
      <c r="N142" s="333" t="s">
        <v>78</v>
      </c>
      <c r="O142" s="333">
        <v>0</v>
      </c>
      <c r="P142" s="333">
        <v>0</v>
      </c>
      <c r="Q142" s="333">
        <v>0</v>
      </c>
      <c r="R142" s="333">
        <v>0</v>
      </c>
      <c r="S142" s="333">
        <v>0</v>
      </c>
      <c r="T142" s="333">
        <v>0</v>
      </c>
      <c r="U142" s="335">
        <v>0.36388888888888887</v>
      </c>
    </row>
    <row r="143" spans="4:21" ht="28.2" thickBot="1" x14ac:dyDescent="0.35">
      <c r="D143" s="333">
        <v>26</v>
      </c>
      <c r="E143" s="550" t="s">
        <v>4173</v>
      </c>
      <c r="F143" s="551" t="s">
        <v>80</v>
      </c>
      <c r="G143" s="333" t="s">
        <v>79</v>
      </c>
      <c r="H143" s="333">
        <v>1</v>
      </c>
      <c r="I143" s="335">
        <v>0.79375000000000007</v>
      </c>
      <c r="J143" s="333">
        <v>0</v>
      </c>
      <c r="K143" s="333">
        <v>0</v>
      </c>
      <c r="L143" s="333">
        <v>0</v>
      </c>
      <c r="M143" s="333">
        <v>2</v>
      </c>
      <c r="N143" s="333" t="s">
        <v>78</v>
      </c>
      <c r="O143" s="333">
        <v>0</v>
      </c>
      <c r="P143" s="333">
        <v>0</v>
      </c>
      <c r="Q143" s="333">
        <v>0</v>
      </c>
      <c r="R143" s="333">
        <v>0</v>
      </c>
      <c r="S143" s="333">
        <v>0</v>
      </c>
      <c r="T143" s="333">
        <v>4</v>
      </c>
      <c r="U143" s="335">
        <v>0.79375000000000007</v>
      </c>
    </row>
    <row r="144" spans="4:21" ht="28.2" thickBot="1" x14ac:dyDescent="0.35">
      <c r="D144" s="333">
        <v>27</v>
      </c>
      <c r="E144" s="550" t="s">
        <v>115</v>
      </c>
      <c r="F144" s="551" t="s">
        <v>80</v>
      </c>
      <c r="G144" s="333" t="s">
        <v>79</v>
      </c>
      <c r="H144" s="333">
        <v>3</v>
      </c>
      <c r="I144" s="335">
        <v>0.83750000000000002</v>
      </c>
      <c r="J144" s="333">
        <v>0</v>
      </c>
      <c r="K144" s="333">
        <v>0</v>
      </c>
      <c r="L144" s="333">
        <v>0</v>
      </c>
      <c r="M144" s="333">
        <v>2</v>
      </c>
      <c r="N144" s="333" t="s">
        <v>78</v>
      </c>
      <c r="O144" s="333">
        <v>0</v>
      </c>
      <c r="P144" s="333">
        <v>0</v>
      </c>
      <c r="Q144" s="333">
        <v>0</v>
      </c>
      <c r="R144" s="333">
        <v>0</v>
      </c>
      <c r="S144" s="333">
        <v>1</v>
      </c>
      <c r="T144" s="333">
        <v>0</v>
      </c>
      <c r="U144" s="335">
        <v>0.27916666666666667</v>
      </c>
    </row>
    <row r="145" spans="4:21" ht="27.6" x14ac:dyDescent="0.3">
      <c r="D145" s="333">
        <v>28</v>
      </c>
      <c r="E145" s="550" t="s">
        <v>4041</v>
      </c>
      <c r="F145" s="551" t="s">
        <v>80</v>
      </c>
      <c r="G145" s="333" t="s">
        <v>88</v>
      </c>
      <c r="H145" s="333">
        <v>6</v>
      </c>
      <c r="I145" s="336">
        <v>2.6055555555555556</v>
      </c>
      <c r="J145" s="333">
        <v>0</v>
      </c>
      <c r="K145" s="333">
        <v>0</v>
      </c>
      <c r="L145" s="333">
        <v>0</v>
      </c>
      <c r="M145" s="333">
        <v>10</v>
      </c>
      <c r="N145" s="333" t="s">
        <v>78</v>
      </c>
      <c r="O145" s="333">
        <v>0</v>
      </c>
      <c r="P145" s="333">
        <v>0</v>
      </c>
      <c r="Q145" s="333">
        <v>0</v>
      </c>
      <c r="R145" s="333">
        <v>0</v>
      </c>
      <c r="S145" s="333">
        <v>-1</v>
      </c>
      <c r="T145" s="333">
        <v>6</v>
      </c>
      <c r="U145" s="335">
        <v>0.43402777777777773</v>
      </c>
    </row>
    <row r="149" spans="4:21" x14ac:dyDescent="0.3">
      <c r="F149" s="2" t="s">
        <v>16</v>
      </c>
      <c r="G149" s="2" t="s">
        <v>793</v>
      </c>
      <c r="H149" s="2" t="s">
        <v>794</v>
      </c>
      <c r="I149" s="2" t="s">
        <v>743</v>
      </c>
      <c r="J149" s="2" t="s">
        <v>1256</v>
      </c>
      <c r="K149" s="2" t="s">
        <v>4608</v>
      </c>
      <c r="L149" s="2" t="s">
        <v>4609</v>
      </c>
      <c r="M149" s="2" t="s">
        <v>4610</v>
      </c>
    </row>
    <row r="150" spans="4:21" x14ac:dyDescent="0.3">
      <c r="D150" s="2" t="s">
        <v>4412</v>
      </c>
      <c r="E150" s="2" t="s">
        <v>804</v>
      </c>
      <c r="F150" s="711">
        <v>20</v>
      </c>
      <c r="G150" s="2">
        <v>5</v>
      </c>
      <c r="H150" s="2">
        <v>1</v>
      </c>
      <c r="I150" s="466">
        <v>26</v>
      </c>
      <c r="J150" s="2">
        <v>71</v>
      </c>
      <c r="K150" s="466">
        <v>128</v>
      </c>
      <c r="L150" s="2">
        <v>147</v>
      </c>
      <c r="M150" s="712">
        <f>J150/52</f>
        <v>1.3653846153846154</v>
      </c>
    </row>
    <row r="151" spans="4:21" x14ac:dyDescent="0.3">
      <c r="D151" s="2" t="s">
        <v>4411</v>
      </c>
      <c r="E151" s="2" t="s">
        <v>804</v>
      </c>
      <c r="F151" s="466">
        <v>16</v>
      </c>
      <c r="G151" s="2">
        <v>3</v>
      </c>
      <c r="H151" s="2">
        <v>9</v>
      </c>
      <c r="I151" s="2">
        <v>24</v>
      </c>
      <c r="J151" s="466">
        <v>63</v>
      </c>
      <c r="K151" s="711">
        <v>153</v>
      </c>
      <c r="L151" s="466">
        <v>173</v>
      </c>
      <c r="M151" s="713">
        <f t="shared" ref="M151:M152" si="20">J151/52</f>
        <v>1.2115384615384615</v>
      </c>
    </row>
    <row r="152" spans="4:21" x14ac:dyDescent="0.3">
      <c r="D152" s="2" t="s">
        <v>4410</v>
      </c>
      <c r="E152" s="2" t="s">
        <v>804</v>
      </c>
      <c r="F152" s="2">
        <v>17</v>
      </c>
      <c r="G152" s="2">
        <v>8</v>
      </c>
      <c r="H152" s="2">
        <v>5</v>
      </c>
      <c r="I152" s="711">
        <v>22</v>
      </c>
      <c r="J152" s="711">
        <v>72</v>
      </c>
      <c r="K152" s="2">
        <v>133</v>
      </c>
      <c r="L152" s="711">
        <v>146</v>
      </c>
      <c r="M152" s="712">
        <f t="shared" si="20"/>
        <v>1.3846153846153846</v>
      </c>
    </row>
    <row r="153" spans="4:21" x14ac:dyDescent="0.3">
      <c r="D153" s="2" t="s">
        <v>4409</v>
      </c>
      <c r="E153" s="2" t="s">
        <v>804</v>
      </c>
      <c r="F153" s="2">
        <v>18</v>
      </c>
      <c r="G153" s="2">
        <v>4</v>
      </c>
      <c r="H153" s="2">
        <v>8</v>
      </c>
      <c r="I153" s="466">
        <v>26</v>
      </c>
      <c r="J153" s="2">
        <v>70</v>
      </c>
      <c r="K153" s="711">
        <v>152</v>
      </c>
      <c r="L153" s="466">
        <v>173</v>
      </c>
      <c r="M153" s="120">
        <f>J153/56</f>
        <v>1.25</v>
      </c>
    </row>
    <row r="154" spans="4:21" x14ac:dyDescent="0.3">
      <c r="D154" s="2"/>
      <c r="E154" s="2"/>
      <c r="F154" s="2"/>
      <c r="G154" s="2"/>
      <c r="H154" s="2"/>
      <c r="I154" s="2"/>
      <c r="J154" s="2"/>
      <c r="K154" s="2"/>
      <c r="L154" s="2"/>
      <c r="M154" s="120"/>
    </row>
    <row r="156" spans="4:21" x14ac:dyDescent="0.3">
      <c r="F156" s="2" t="s">
        <v>16</v>
      </c>
      <c r="G156" s="2" t="s">
        <v>793</v>
      </c>
      <c r="H156" s="2" t="s">
        <v>794</v>
      </c>
      <c r="I156" s="2" t="s">
        <v>743</v>
      </c>
      <c r="J156" s="2" t="s">
        <v>1256</v>
      </c>
      <c r="K156" s="2" t="s">
        <v>4608</v>
      </c>
      <c r="L156" s="2" t="s">
        <v>4609</v>
      </c>
      <c r="M156" s="2" t="s">
        <v>4610</v>
      </c>
    </row>
    <row r="157" spans="4:21" x14ac:dyDescent="0.3">
      <c r="D157" s="2" t="s">
        <v>4412</v>
      </c>
      <c r="E157" s="2" t="s">
        <v>797</v>
      </c>
      <c r="F157" s="711">
        <v>12</v>
      </c>
      <c r="G157" s="2">
        <v>1</v>
      </c>
      <c r="H157" s="2">
        <v>1</v>
      </c>
      <c r="I157" s="657">
        <v>12</v>
      </c>
      <c r="J157" s="2">
        <v>39</v>
      </c>
      <c r="K157" s="2">
        <v>67</v>
      </c>
      <c r="L157" s="711">
        <v>62</v>
      </c>
      <c r="M157" s="120">
        <f>J157/26</f>
        <v>1.5</v>
      </c>
    </row>
    <row r="158" spans="4:21" x14ac:dyDescent="0.3">
      <c r="D158" s="2" t="s">
        <v>4411</v>
      </c>
      <c r="E158" s="2" t="s">
        <v>797</v>
      </c>
      <c r="F158" s="711">
        <v>12</v>
      </c>
      <c r="G158" s="2">
        <v>1</v>
      </c>
      <c r="H158" s="2">
        <v>2</v>
      </c>
      <c r="I158" s="657">
        <v>11</v>
      </c>
      <c r="J158" s="711">
        <v>40</v>
      </c>
      <c r="K158" s="711">
        <v>88</v>
      </c>
      <c r="L158" s="2">
        <v>73</v>
      </c>
      <c r="M158" s="712">
        <f t="shared" ref="M158:M159" si="21">J158/26</f>
        <v>1.5384615384615385</v>
      </c>
    </row>
    <row r="159" spans="4:21" x14ac:dyDescent="0.3">
      <c r="D159" s="2" t="s">
        <v>4410</v>
      </c>
      <c r="E159" s="2" t="s">
        <v>797</v>
      </c>
      <c r="F159" s="466">
        <v>7</v>
      </c>
      <c r="G159" s="2">
        <v>5</v>
      </c>
      <c r="H159" s="2">
        <v>3</v>
      </c>
      <c r="I159" s="657">
        <v>11</v>
      </c>
      <c r="J159" s="466">
        <v>34</v>
      </c>
      <c r="K159" s="466">
        <v>65</v>
      </c>
      <c r="L159" s="2">
        <v>72</v>
      </c>
      <c r="M159" s="713">
        <f t="shared" si="21"/>
        <v>1.3076923076923077</v>
      </c>
    </row>
    <row r="160" spans="4:21" x14ac:dyDescent="0.3">
      <c r="D160" s="2" t="s">
        <v>4409</v>
      </c>
      <c r="E160" s="2" t="s">
        <v>797</v>
      </c>
      <c r="F160" s="2">
        <v>9</v>
      </c>
      <c r="G160" s="2">
        <v>4</v>
      </c>
      <c r="H160" s="2">
        <v>3</v>
      </c>
      <c r="I160" s="657">
        <v>12</v>
      </c>
      <c r="J160" s="2">
        <v>38</v>
      </c>
      <c r="K160" s="2">
        <v>79</v>
      </c>
      <c r="L160" s="466">
        <v>92</v>
      </c>
      <c r="M160" s="120">
        <f>J160/28</f>
        <v>1.3571428571428572</v>
      </c>
    </row>
    <row r="161" spans="4:13" x14ac:dyDescent="0.3">
      <c r="D161" s="2"/>
      <c r="E161" s="2"/>
      <c r="F161" s="2"/>
      <c r="G161" s="2"/>
      <c r="H161" s="2"/>
      <c r="I161" s="2"/>
      <c r="J161" s="2"/>
      <c r="K161" s="2"/>
      <c r="L161" s="2"/>
      <c r="M161" s="120"/>
    </row>
    <row r="163" spans="4:13" x14ac:dyDescent="0.3">
      <c r="F163" s="2" t="s">
        <v>16</v>
      </c>
      <c r="G163" s="2" t="s">
        <v>793</v>
      </c>
      <c r="H163" s="2" t="s">
        <v>794</v>
      </c>
      <c r="I163" s="2" t="s">
        <v>743</v>
      </c>
      <c r="J163" s="2" t="s">
        <v>1256</v>
      </c>
      <c r="K163" s="2" t="s">
        <v>4608</v>
      </c>
      <c r="L163" s="2" t="s">
        <v>4609</v>
      </c>
      <c r="M163" s="2" t="s">
        <v>4610</v>
      </c>
    </row>
    <row r="164" spans="4:13" x14ac:dyDescent="0.3">
      <c r="D164" s="2" t="s">
        <v>4412</v>
      </c>
      <c r="E164" s="2" t="s">
        <v>798</v>
      </c>
      <c r="F164" s="2">
        <v>8</v>
      </c>
      <c r="G164" s="2">
        <v>4</v>
      </c>
      <c r="H164" s="2">
        <v>0</v>
      </c>
      <c r="I164" s="466">
        <v>14</v>
      </c>
      <c r="J164" s="2">
        <v>32</v>
      </c>
      <c r="K164" s="466">
        <v>61</v>
      </c>
      <c r="L164" s="2">
        <v>85</v>
      </c>
      <c r="M164" s="120">
        <f>J164/26</f>
        <v>1.2307692307692308</v>
      </c>
    </row>
    <row r="165" spans="4:13" x14ac:dyDescent="0.3">
      <c r="D165" s="2" t="s">
        <v>4411</v>
      </c>
      <c r="E165" s="2" t="s">
        <v>798</v>
      </c>
      <c r="F165" s="466">
        <v>4</v>
      </c>
      <c r="G165" s="2">
        <v>2</v>
      </c>
      <c r="H165" s="2">
        <v>7</v>
      </c>
      <c r="I165" s="2">
        <v>13</v>
      </c>
      <c r="J165" s="466">
        <v>23</v>
      </c>
      <c r="K165" s="2">
        <v>65</v>
      </c>
      <c r="L165" s="466">
        <v>100</v>
      </c>
      <c r="M165" s="713">
        <f t="shared" ref="M165" si="22">J165/26</f>
        <v>0.88461538461538458</v>
      </c>
    </row>
    <row r="166" spans="4:13" x14ac:dyDescent="0.3">
      <c r="D166" s="2" t="s">
        <v>4410</v>
      </c>
      <c r="E166" s="2" t="s">
        <v>798</v>
      </c>
      <c r="F166" s="711">
        <v>10</v>
      </c>
      <c r="G166" s="2">
        <v>3</v>
      </c>
      <c r="H166" s="2">
        <v>2</v>
      </c>
      <c r="I166" s="711">
        <v>11</v>
      </c>
      <c r="J166" s="711">
        <v>38</v>
      </c>
      <c r="K166" s="2">
        <v>68</v>
      </c>
      <c r="L166" s="711">
        <v>74</v>
      </c>
      <c r="M166" s="712">
        <f>J166/26</f>
        <v>1.4615384615384615</v>
      </c>
    </row>
    <row r="167" spans="4:13" x14ac:dyDescent="0.3">
      <c r="D167" s="2" t="s">
        <v>4409</v>
      </c>
      <c r="E167" s="2" t="s">
        <v>798</v>
      </c>
      <c r="F167" s="2">
        <v>9</v>
      </c>
      <c r="G167" s="2">
        <v>0</v>
      </c>
      <c r="H167" s="2">
        <v>5</v>
      </c>
      <c r="I167" s="466">
        <v>14</v>
      </c>
      <c r="J167" s="2">
        <v>32</v>
      </c>
      <c r="K167" s="711">
        <v>73</v>
      </c>
      <c r="L167" s="2">
        <v>81</v>
      </c>
      <c r="M167" s="120">
        <f>J167/28</f>
        <v>1.1428571428571428</v>
      </c>
    </row>
  </sheetData>
  <mergeCells count="9">
    <mergeCell ref="E97:H97"/>
    <mergeCell ref="E2:G2"/>
    <mergeCell ref="H2:J2"/>
    <mergeCell ref="K2:M2"/>
    <mergeCell ref="N2:P2"/>
    <mergeCell ref="E22:G22"/>
    <mergeCell ref="H22:J22"/>
    <mergeCell ref="K22:M22"/>
    <mergeCell ref="N22:P22"/>
  </mergeCells>
  <conditionalFormatting sqref="H99:H113">
    <cfRule type="cellIs" dxfId="181" priority="1" operator="lessThan">
      <formula>0</formula>
    </cfRule>
  </conditionalFormatting>
  <hyperlinks>
    <hyperlink ref="I117" r:id="rId1" display="https://www.hokej.cz/tipsport-extraliga/stats-center?season=2021&amp;competition=6705&amp;team=823&amp;yearFrom=&amp;stranger=0&amp;state=&amp;stats-order=t&amp;stats-direction=desc" xr:uid="{00000000-0004-0000-0F00-000000000000}"/>
    <hyperlink ref="J117" r:id="rId2" display="https://www.hokej.cz/tipsport-extraliga/stats-center?season=2021&amp;competition=6705&amp;team=823&amp;yearFrom=&amp;stranger=0&amp;state=&amp;stats-order=g&amp;stats-direction=desc" xr:uid="{00000000-0004-0000-0F00-000001000000}"/>
    <hyperlink ref="K117" r:id="rId3" display="https://www.hokej.cz/tipsport-extraliga/stats-center?season=2021&amp;competition=6705&amp;team=823&amp;yearFrom=&amp;stranger=0&amp;state=&amp;stats-order=a&amp;stats-direction=desc" xr:uid="{00000000-0004-0000-0F00-000002000000}"/>
    <hyperlink ref="L117" r:id="rId4" display="https://www.hokej.cz/tipsport-extraliga/stats-center?season=2021&amp;competition=6705&amp;team=823&amp;yearFrom=&amp;stranger=0&amp;state=&amp;stats-order=ga&amp;stats-direction=asc" xr:uid="{00000000-0004-0000-0F00-000003000000}"/>
    <hyperlink ref="M117" r:id="rId5" display="https://www.hokej.cz/tipsport-extraliga/stats-center?season=2021&amp;competition=6705&amp;team=823&amp;yearFrom=&amp;stranger=0&amp;state=&amp;stats-order=s&amp;stats-direction=desc" xr:uid="{00000000-0004-0000-0F00-000004000000}"/>
    <hyperlink ref="N117" r:id="rId6" display="https://www.hokej.cz/tipsport-extraliga/stats-center?season=2021&amp;competition=6705&amp;team=823&amp;yearFrom=&amp;stranger=0&amp;state=&amp;stats-order=shs&amp;stats-direction=desc" xr:uid="{00000000-0004-0000-0F00-000005000000}"/>
    <hyperlink ref="O117" r:id="rId7" display="https://www.hokej.cz/tipsport-extraliga/stats-center?season=2021&amp;competition=6705&amp;team=823&amp;yearFrom=&amp;stranger=0&amp;state=&amp;stats-order=gpp&amp;stats-direction=desc" xr:uid="{00000000-0004-0000-0F00-000006000000}"/>
    <hyperlink ref="P117" r:id="rId8" display="https://www.hokej.cz/tipsport-extraliga/stats-center?season=2021&amp;competition=6705&amp;team=823&amp;yearFrom=&amp;stranger=0&amp;state=&amp;stats-order=ppp&amp;stats-direction=desc" xr:uid="{00000000-0004-0000-0F00-000007000000}"/>
    <hyperlink ref="Q117" r:id="rId9" display="https://www.hokej.cz/tipsport-extraliga/stats-center?season=2021&amp;competition=6705&amp;team=823&amp;yearFrom=&amp;stranger=0&amp;state=&amp;stats-order=gsh&amp;stats-direction=desc" xr:uid="{00000000-0004-0000-0F00-000008000000}"/>
    <hyperlink ref="R117" r:id="rId10" display="https://www.hokej.cz/tipsport-extraliga/stats-center?season=2021&amp;competition=6705&amp;team=823&amp;yearFrom=&amp;stranger=0&amp;state=&amp;stats-order=gw&amp;stats-direction=desc" xr:uid="{00000000-0004-0000-0F00-000009000000}"/>
    <hyperlink ref="S117" r:id="rId11" display="https://www.hokej.cz/tipsport-extraliga/stats-center?season=2021&amp;competition=6705&amp;team=823&amp;yearFrom=&amp;stranger=0&amp;state=&amp;stats-order=pm&amp;stats-direction=desc" xr:uid="{00000000-0004-0000-0F00-00000A000000}"/>
    <hyperlink ref="T117" r:id="rId12" display="https://www.hokej.cz/tipsport-extraliga/stats-center?season=2021&amp;competition=6705&amp;team=823&amp;yearFrom=&amp;stranger=0&amp;state=&amp;stats-order=tm&amp;stats-direction=desc" xr:uid="{00000000-0004-0000-0F00-00000B000000}"/>
    <hyperlink ref="U117" r:id="rId13" display="https://www.hokej.cz/tipsport-extraliga/stats-center?season=2021&amp;competition=6705&amp;team=823&amp;yearFrom=&amp;stranger=0&amp;state=&amp;stats-order=tim&amp;stats-direction=desc" xr:uid="{00000000-0004-0000-0F00-00000C000000}"/>
    <hyperlink ref="E118" r:id="rId14" display="https://www.hokej.cz/hrac/10099336" xr:uid="{00000000-0004-0000-0F00-00000D000000}"/>
    <hyperlink ref="E119" r:id="rId15" display="https://www.hokej.cz/hrac/14150" xr:uid="{00000000-0004-0000-0F00-00000E000000}"/>
    <hyperlink ref="E120" r:id="rId16" display="https://www.hokej.cz/hrac/11188" xr:uid="{00000000-0004-0000-0F00-00000F000000}"/>
    <hyperlink ref="E121" r:id="rId17" display="https://www.hokej.cz/hrac/1741" xr:uid="{00000000-0004-0000-0F00-000010000000}"/>
    <hyperlink ref="E122" r:id="rId18" display="https://www.hokej.cz/hrac/11296" xr:uid="{00000000-0004-0000-0F00-000011000000}"/>
    <hyperlink ref="E123" r:id="rId19" display="https://www.hokej.cz/hrac/7229427" xr:uid="{00000000-0004-0000-0F00-000012000000}"/>
    <hyperlink ref="E124" r:id="rId20" display="https://www.hokej.cz/hrac/318533" xr:uid="{00000000-0004-0000-0F00-000013000000}"/>
    <hyperlink ref="E125" r:id="rId21" display="https://www.hokej.cz/hrac/14369" xr:uid="{00000000-0004-0000-0F00-000014000000}"/>
    <hyperlink ref="E126" r:id="rId22" display="https://www.hokej.cz/hrac/10083188" xr:uid="{00000000-0004-0000-0F00-000015000000}"/>
    <hyperlink ref="E127" r:id="rId23" display="https://www.hokej.cz/hrac/2955" xr:uid="{00000000-0004-0000-0F00-000016000000}"/>
    <hyperlink ref="E128" r:id="rId24" display="https://www.hokej.cz/hrac/9447" xr:uid="{00000000-0004-0000-0F00-000017000000}"/>
    <hyperlink ref="E129" r:id="rId25" display="https://www.hokej.cz/hrac/11291" xr:uid="{00000000-0004-0000-0F00-000018000000}"/>
    <hyperlink ref="E130" r:id="rId26" display="https://www.hokej.cz/hrac/8607" xr:uid="{00000000-0004-0000-0F00-000019000000}"/>
    <hyperlink ref="E131" r:id="rId27" display="https://www.hokej.cz/hrac/10096884" xr:uid="{00000000-0004-0000-0F00-00001A000000}"/>
    <hyperlink ref="E132" r:id="rId28" display="https://www.hokej.cz/hrac/10099509" xr:uid="{00000000-0004-0000-0F00-00001B000000}"/>
    <hyperlink ref="E133" r:id="rId29" display="https://www.hokej.cz/hrac/10077692" xr:uid="{00000000-0004-0000-0F00-00001C000000}"/>
    <hyperlink ref="E134" r:id="rId30" display="https://www.hokej.cz/hrac/29031" xr:uid="{00000000-0004-0000-0F00-00001D000000}"/>
    <hyperlink ref="E135" r:id="rId31" display="https://www.hokej.cz/hrac/51841" xr:uid="{00000000-0004-0000-0F00-00001E000000}"/>
    <hyperlink ref="E136" r:id="rId32" display="https://www.hokej.cz/hrac/18941" xr:uid="{00000000-0004-0000-0F00-00001F000000}"/>
    <hyperlink ref="E137" r:id="rId33" display="https://www.hokej.cz/hrac/13437" xr:uid="{00000000-0004-0000-0F00-000020000000}"/>
    <hyperlink ref="E138" r:id="rId34" display="https://www.hokej.cz/hrac/10079354" xr:uid="{00000000-0004-0000-0F00-000021000000}"/>
    <hyperlink ref="E139" r:id="rId35" display="https://www.hokej.cz/hrac/17112" xr:uid="{00000000-0004-0000-0F00-000022000000}"/>
    <hyperlink ref="E140" r:id="rId36" display="https://www.hokej.cz/hrac/13198" xr:uid="{00000000-0004-0000-0F00-000023000000}"/>
    <hyperlink ref="E141" r:id="rId37" display="https://www.hokej.cz/hrac/15400" xr:uid="{00000000-0004-0000-0F00-000024000000}"/>
    <hyperlink ref="E142" r:id="rId38" display="https://www.hokej.cz/hrac/17113" xr:uid="{00000000-0004-0000-0F00-000025000000}"/>
    <hyperlink ref="E143" r:id="rId39" display="https://www.hokej.cz/hrac/2491887" xr:uid="{00000000-0004-0000-0F00-000026000000}"/>
    <hyperlink ref="E144" r:id="rId40" display="https://www.hokej.cz/hrac/11273" xr:uid="{00000000-0004-0000-0F00-000027000000}"/>
    <hyperlink ref="E145" r:id="rId41" display="https://www.hokej.cz/hrac/13305" xr:uid="{00000000-0004-0000-0F00-000028000000}"/>
  </hyperlinks>
  <pageMargins left="0.7" right="0.7" top="0.78740157499999996" bottom="0.78740157499999996" header="0.3" footer="0.3"/>
  <pageSetup paperSize="9" orientation="portrait" r:id="rId4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W315"/>
  <sheetViews>
    <sheetView workbookViewId="0">
      <pane xSplit="2" ySplit="2" topLeftCell="C3" activePane="bottomRight" state="frozen"/>
      <selection activeCell="L12" sqref="L12"/>
      <selection pane="topRight" activeCell="L12" sqref="L12"/>
      <selection pane="bottomLeft" activeCell="L12" sqref="L12"/>
      <selection pane="bottomRight" activeCell="L12" sqref="L12"/>
    </sheetView>
  </sheetViews>
  <sheetFormatPr defaultRowHeight="14.4" x14ac:dyDescent="0.3"/>
  <cols>
    <col min="2" max="2" width="36.109375" customWidth="1"/>
    <col min="3" max="3" width="18.44140625" customWidth="1"/>
    <col min="5" max="5" width="11.44140625" bestFit="1" customWidth="1"/>
    <col min="6" max="6" width="10.44140625" customWidth="1"/>
    <col min="7" max="7" width="22.6640625" customWidth="1"/>
    <col min="8" max="8" width="13.109375" customWidth="1"/>
    <col min="10" max="10" width="14.44140625" customWidth="1"/>
    <col min="11" max="11" width="15.33203125" customWidth="1"/>
    <col min="12" max="12" width="11.88671875" customWidth="1"/>
    <col min="14" max="14" width="10.109375" customWidth="1"/>
    <col min="16" max="16" width="11.109375" customWidth="1"/>
    <col min="19" max="19" width="3.88671875" style="552" customWidth="1"/>
    <col min="21" max="21" width="18.88671875" customWidth="1"/>
    <col min="22" max="22" width="13" customWidth="1"/>
    <col min="23" max="34" width="9.109375" style="2"/>
    <col min="35" max="35" width="14.109375" style="2" customWidth="1"/>
    <col min="36" max="37" width="9.109375" style="2"/>
    <col min="38" max="38" width="3.5546875" style="552" customWidth="1"/>
    <col min="40" max="40" width="18.33203125" customWidth="1"/>
    <col min="41" max="41" width="15.33203125" customWidth="1"/>
    <col min="54" max="54" width="12.33203125" customWidth="1"/>
    <col min="57" max="57" width="3.5546875" style="552" customWidth="1"/>
    <col min="59" max="59" width="22.109375" customWidth="1"/>
    <col min="60" max="60" width="14" customWidth="1"/>
    <col min="63" max="63" width="14.33203125" customWidth="1"/>
  </cols>
  <sheetData>
    <row r="1" spans="1:75" x14ac:dyDescent="0.3">
      <c r="A1" s="1153" t="s">
        <v>4175</v>
      </c>
      <c r="B1" s="1153"/>
      <c r="C1" s="1153"/>
      <c r="D1" s="1153"/>
      <c r="E1" s="1153"/>
      <c r="F1" s="1153"/>
      <c r="G1" s="1153"/>
      <c r="H1" s="1153"/>
      <c r="I1" s="1153"/>
      <c r="J1" s="1153"/>
      <c r="K1" s="1153"/>
      <c r="L1" s="1153"/>
      <c r="M1" s="1153"/>
      <c r="N1" s="1153"/>
      <c r="O1" s="1153"/>
      <c r="P1" s="1153"/>
      <c r="Q1" s="1153"/>
      <c r="R1" s="1153"/>
      <c r="T1" s="1153" t="s">
        <v>4481</v>
      </c>
      <c r="U1" s="1153"/>
      <c r="V1" s="1153"/>
      <c r="W1" s="1153"/>
      <c r="X1" s="1153"/>
      <c r="Y1" s="1153"/>
      <c r="Z1" s="1153"/>
      <c r="AA1" s="1153"/>
      <c r="AB1" s="1153"/>
      <c r="AC1" s="1153"/>
      <c r="AD1" s="1153"/>
      <c r="AE1" s="1153"/>
      <c r="AF1" s="1153"/>
      <c r="AG1" s="1153"/>
      <c r="AH1" s="1153"/>
      <c r="AI1" s="1153"/>
      <c r="AJ1" s="1153"/>
      <c r="AK1" s="1153"/>
      <c r="AM1" s="1153" t="s">
        <v>4492</v>
      </c>
      <c r="AN1" s="1153"/>
      <c r="AO1" s="1153"/>
      <c r="AP1" s="1153"/>
      <c r="AQ1" s="1153"/>
      <c r="AR1" s="1153"/>
      <c r="AS1" s="1153"/>
      <c r="AT1" s="1153"/>
      <c r="AU1" s="1153"/>
      <c r="AV1" s="1153"/>
      <c r="AW1" s="1153"/>
      <c r="AX1" s="1153"/>
      <c r="AY1" s="1153"/>
      <c r="AZ1" s="1153"/>
      <c r="BA1" s="1153"/>
      <c r="BB1" s="1153"/>
      <c r="BC1" s="1153"/>
      <c r="BD1" s="1153"/>
      <c r="BF1" s="1153" t="s">
        <v>4585</v>
      </c>
      <c r="BG1" s="1153"/>
      <c r="BH1" s="1153"/>
      <c r="BI1" s="1153"/>
      <c r="BJ1" s="1153"/>
      <c r="BK1" s="1153"/>
      <c r="BL1" s="1153"/>
      <c r="BM1" s="1153"/>
      <c r="BN1" s="1153"/>
      <c r="BO1" s="1153"/>
      <c r="BP1" s="1153"/>
      <c r="BQ1" s="1153"/>
      <c r="BR1" s="1153"/>
      <c r="BS1" s="1153"/>
      <c r="BT1" s="1153"/>
      <c r="BU1" s="1153"/>
      <c r="BV1" s="1153"/>
      <c r="BW1" s="1153"/>
    </row>
    <row r="2" spans="1:75" ht="15" thickBot="1" x14ac:dyDescent="0.35">
      <c r="A2" s="554" t="s">
        <v>4169</v>
      </c>
      <c r="B2" s="554" t="s">
        <v>141</v>
      </c>
      <c r="C2" s="554" t="s">
        <v>140</v>
      </c>
      <c r="D2" s="554" t="s">
        <v>139</v>
      </c>
      <c r="E2" s="554" t="s">
        <v>213</v>
      </c>
      <c r="F2" s="555" t="s">
        <v>138</v>
      </c>
      <c r="G2" s="555" t="s">
        <v>137</v>
      </c>
      <c r="H2" s="555" t="s">
        <v>136</v>
      </c>
      <c r="I2" s="555" t="s">
        <v>135</v>
      </c>
      <c r="J2" s="555" t="s">
        <v>134</v>
      </c>
      <c r="K2" s="555" t="s">
        <v>133</v>
      </c>
      <c r="L2" s="555" t="s">
        <v>132</v>
      </c>
      <c r="M2" s="555" t="s">
        <v>131</v>
      </c>
      <c r="N2" s="555" t="s">
        <v>130</v>
      </c>
      <c r="O2" s="555" t="s">
        <v>129</v>
      </c>
      <c r="P2" s="555" t="s">
        <v>128</v>
      </c>
      <c r="Q2" s="555" t="s">
        <v>127</v>
      </c>
      <c r="R2" s="555" t="s">
        <v>126</v>
      </c>
      <c r="T2" s="554" t="s">
        <v>4169</v>
      </c>
      <c r="U2" s="596" t="s">
        <v>141</v>
      </c>
      <c r="V2" s="596" t="s">
        <v>140</v>
      </c>
      <c r="W2" s="554" t="s">
        <v>139</v>
      </c>
      <c r="X2" s="554" t="s">
        <v>213</v>
      </c>
      <c r="Y2" s="555" t="s">
        <v>138</v>
      </c>
      <c r="Z2" s="555" t="s">
        <v>137</v>
      </c>
      <c r="AA2" s="555" t="s">
        <v>136</v>
      </c>
      <c r="AB2" s="555" t="s">
        <v>135</v>
      </c>
      <c r="AC2" s="555" t="s">
        <v>134</v>
      </c>
      <c r="AD2" s="555" t="s">
        <v>133</v>
      </c>
      <c r="AE2" s="555" t="s">
        <v>132</v>
      </c>
      <c r="AF2" s="555" t="s">
        <v>131</v>
      </c>
      <c r="AG2" s="555" t="s">
        <v>130</v>
      </c>
      <c r="AH2" s="555" t="s">
        <v>129</v>
      </c>
      <c r="AI2" s="555" t="s">
        <v>128</v>
      </c>
      <c r="AJ2" s="555" t="s">
        <v>127</v>
      </c>
      <c r="AK2" s="555" t="s">
        <v>126</v>
      </c>
      <c r="AM2" s="634" t="s">
        <v>4169</v>
      </c>
      <c r="AN2" s="634" t="s">
        <v>141</v>
      </c>
      <c r="AO2" s="634" t="s">
        <v>140</v>
      </c>
      <c r="AP2" s="634" t="s">
        <v>139</v>
      </c>
      <c r="AQ2" s="634" t="s">
        <v>213</v>
      </c>
      <c r="AR2" s="555" t="s">
        <v>4482</v>
      </c>
      <c r="AS2" s="555" t="s">
        <v>4051</v>
      </c>
      <c r="AT2" s="555" t="s">
        <v>4052</v>
      </c>
      <c r="AU2" s="555" t="s">
        <v>743</v>
      </c>
      <c r="AV2" s="555" t="s">
        <v>4483</v>
      </c>
      <c r="AW2" s="555" t="s">
        <v>4484</v>
      </c>
      <c r="AX2" s="555" t="s">
        <v>4485</v>
      </c>
      <c r="AY2" s="555" t="s">
        <v>4486</v>
      </c>
      <c r="AZ2" s="555" t="s">
        <v>4487</v>
      </c>
      <c r="BA2" s="555" t="s">
        <v>4488</v>
      </c>
      <c r="BB2" s="555" t="s">
        <v>4489</v>
      </c>
      <c r="BC2" s="555" t="s">
        <v>4054</v>
      </c>
      <c r="BD2" s="555" t="s">
        <v>4490</v>
      </c>
      <c r="BF2" s="634" t="s">
        <v>4169</v>
      </c>
      <c r="BG2" s="634" t="s">
        <v>141</v>
      </c>
      <c r="BH2" s="634" t="s">
        <v>140</v>
      </c>
      <c r="BI2" s="634" t="s">
        <v>139</v>
      </c>
      <c r="BJ2" s="634" t="s">
        <v>213</v>
      </c>
      <c r="BK2" s="555" t="s">
        <v>4482</v>
      </c>
      <c r="BL2" s="555" t="s">
        <v>4051</v>
      </c>
      <c r="BM2" s="555" t="s">
        <v>4052</v>
      </c>
      <c r="BN2" s="555" t="s">
        <v>743</v>
      </c>
      <c r="BO2" s="555" t="s">
        <v>4483</v>
      </c>
      <c r="BP2" s="555" t="s">
        <v>4484</v>
      </c>
      <c r="BQ2" s="555" t="s">
        <v>4485</v>
      </c>
      <c r="BR2" s="555" t="s">
        <v>4486</v>
      </c>
      <c r="BS2" s="555" t="s">
        <v>4487</v>
      </c>
      <c r="BT2" s="555" t="s">
        <v>4488</v>
      </c>
      <c r="BU2" s="555" t="s">
        <v>4489</v>
      </c>
      <c r="BV2" s="555" t="s">
        <v>4054</v>
      </c>
      <c r="BW2" s="555" t="s">
        <v>4490</v>
      </c>
    </row>
    <row r="3" spans="1:75" ht="27" customHeight="1" thickTop="1" thickBot="1" x14ac:dyDescent="0.35">
      <c r="A3" s="333">
        <v>1</v>
      </c>
      <c r="B3" s="550" t="s">
        <v>4032</v>
      </c>
      <c r="C3" s="551" t="s">
        <v>80</v>
      </c>
      <c r="D3" s="333" t="s">
        <v>88</v>
      </c>
      <c r="E3" s="333">
        <v>14</v>
      </c>
      <c r="F3" s="336">
        <v>14.488888888888889</v>
      </c>
      <c r="G3" s="333">
        <v>2</v>
      </c>
      <c r="H3" s="333">
        <v>5</v>
      </c>
      <c r="I3" s="333">
        <v>7</v>
      </c>
      <c r="J3" s="333">
        <v>52</v>
      </c>
      <c r="K3" s="562">
        <f>(G3/J3)*100</f>
        <v>3.8461538461538463</v>
      </c>
      <c r="L3" s="333">
        <v>1</v>
      </c>
      <c r="M3" s="333">
        <v>5</v>
      </c>
      <c r="N3" s="333">
        <v>0</v>
      </c>
      <c r="O3" s="333">
        <v>0</v>
      </c>
      <c r="P3" s="333">
        <v>2</v>
      </c>
      <c r="Q3" s="333">
        <v>5</v>
      </c>
      <c r="R3" s="553">
        <v>1.0347222222222221</v>
      </c>
      <c r="T3" s="333">
        <v>9</v>
      </c>
      <c r="U3" s="550" t="s">
        <v>4032</v>
      </c>
      <c r="V3" s="551" t="s">
        <v>80</v>
      </c>
      <c r="W3" s="333" t="s">
        <v>88</v>
      </c>
      <c r="X3" s="333">
        <v>28</v>
      </c>
      <c r="Y3" s="336">
        <v>28.31527777777778</v>
      </c>
      <c r="Z3" s="333">
        <v>4</v>
      </c>
      <c r="AA3" s="333">
        <v>7</v>
      </c>
      <c r="AB3" s="333">
        <v>11</v>
      </c>
      <c r="AC3" s="333">
        <v>94</v>
      </c>
      <c r="AD3" s="581">
        <v>46113</v>
      </c>
      <c r="AE3" s="333">
        <v>1</v>
      </c>
      <c r="AF3" s="333">
        <v>7</v>
      </c>
      <c r="AG3" s="333">
        <v>0</v>
      </c>
      <c r="AH3" s="333">
        <v>0</v>
      </c>
      <c r="AI3" s="333">
        <v>-6</v>
      </c>
      <c r="AJ3" s="333">
        <v>20</v>
      </c>
      <c r="AK3" s="336">
        <v>1.0111111111111111</v>
      </c>
      <c r="AM3" s="613">
        <v>7</v>
      </c>
      <c r="AN3" s="614" t="s">
        <v>4032</v>
      </c>
      <c r="AO3" s="615" t="s">
        <v>80</v>
      </c>
      <c r="AP3" s="613" t="s">
        <v>88</v>
      </c>
      <c r="AQ3" s="613">
        <v>39</v>
      </c>
      <c r="AR3" s="616">
        <v>38.770138888888887</v>
      </c>
      <c r="AS3" s="613">
        <v>6</v>
      </c>
      <c r="AT3" s="613">
        <v>11</v>
      </c>
      <c r="AU3" s="617">
        <v>17</v>
      </c>
      <c r="AV3" s="613">
        <v>131</v>
      </c>
      <c r="AW3" s="632">
        <v>21276</v>
      </c>
      <c r="AX3" s="613">
        <v>2</v>
      </c>
      <c r="AY3" s="613">
        <v>9</v>
      </c>
      <c r="AZ3" s="613">
        <v>0</v>
      </c>
      <c r="BA3" s="613">
        <v>0</v>
      </c>
      <c r="BB3" s="613">
        <v>-8</v>
      </c>
      <c r="BC3" s="613">
        <v>28</v>
      </c>
      <c r="BD3" s="618">
        <v>0.99375000000000002</v>
      </c>
      <c r="BF3" s="613">
        <v>3</v>
      </c>
      <c r="BG3" s="614" t="s">
        <v>4032</v>
      </c>
      <c r="BH3" s="615" t="s">
        <v>80</v>
      </c>
      <c r="BI3" s="613" t="s">
        <v>88</v>
      </c>
      <c r="BJ3" s="613">
        <v>52</v>
      </c>
      <c r="BK3" s="616">
        <v>51.96736111111111</v>
      </c>
      <c r="BL3" s="613">
        <v>10</v>
      </c>
      <c r="BM3" s="613">
        <v>15</v>
      </c>
      <c r="BN3" s="617">
        <v>25</v>
      </c>
      <c r="BO3" s="613">
        <v>174</v>
      </c>
      <c r="BP3" s="632">
        <v>27515</v>
      </c>
      <c r="BQ3" s="613">
        <v>4</v>
      </c>
      <c r="BR3" s="613">
        <v>12</v>
      </c>
      <c r="BS3" s="613">
        <v>0</v>
      </c>
      <c r="BT3" s="613">
        <v>1</v>
      </c>
      <c r="BU3" s="613">
        <v>-12</v>
      </c>
      <c r="BV3" s="613">
        <v>34</v>
      </c>
      <c r="BW3" s="618">
        <v>0.99930555555555556</v>
      </c>
    </row>
    <row r="4" spans="1:75" ht="28.2" thickBot="1" x14ac:dyDescent="0.35">
      <c r="A4" s="333">
        <v>2</v>
      </c>
      <c r="B4" s="550" t="s">
        <v>4069</v>
      </c>
      <c r="C4" s="551" t="s">
        <v>80</v>
      </c>
      <c r="D4" s="333" t="s">
        <v>79</v>
      </c>
      <c r="E4" s="333">
        <v>13</v>
      </c>
      <c r="F4" s="336">
        <v>10.240972222222222</v>
      </c>
      <c r="G4" s="333">
        <v>3</v>
      </c>
      <c r="H4" s="333">
        <v>5</v>
      </c>
      <c r="I4" s="333">
        <v>8</v>
      </c>
      <c r="J4" s="333">
        <v>35</v>
      </c>
      <c r="K4" s="562">
        <f t="shared" ref="K4:K29" si="0">(G4/J4)*100</f>
        <v>8.5714285714285712</v>
      </c>
      <c r="L4" s="333">
        <v>2</v>
      </c>
      <c r="M4" s="333">
        <v>3</v>
      </c>
      <c r="N4" s="333">
        <v>0</v>
      </c>
      <c r="O4" s="333">
        <v>0</v>
      </c>
      <c r="P4" s="333">
        <v>4</v>
      </c>
      <c r="Q4" s="333">
        <v>2</v>
      </c>
      <c r="R4" s="335">
        <v>0.78749999999999998</v>
      </c>
      <c r="T4" s="333">
        <v>7</v>
      </c>
      <c r="U4" s="550" t="s">
        <v>4069</v>
      </c>
      <c r="V4" s="551" t="s">
        <v>80</v>
      </c>
      <c r="W4" s="333" t="s">
        <v>79</v>
      </c>
      <c r="X4" s="333">
        <v>25</v>
      </c>
      <c r="Y4" s="336">
        <v>18.166666666666668</v>
      </c>
      <c r="Z4" s="333">
        <v>5</v>
      </c>
      <c r="AA4" s="333">
        <v>7</v>
      </c>
      <c r="AB4" s="333">
        <v>12</v>
      </c>
      <c r="AC4" s="333">
        <v>64</v>
      </c>
      <c r="AD4" s="581">
        <v>29768</v>
      </c>
      <c r="AE4" s="333">
        <v>3</v>
      </c>
      <c r="AF4" s="333">
        <v>4</v>
      </c>
      <c r="AG4" s="333">
        <v>0</v>
      </c>
      <c r="AH4" s="333">
        <v>0</v>
      </c>
      <c r="AI4" s="333">
        <v>3</v>
      </c>
      <c r="AJ4" s="333">
        <v>4</v>
      </c>
      <c r="AK4" s="335">
        <v>0.72638888888888886</v>
      </c>
      <c r="AM4" s="619">
        <v>5</v>
      </c>
      <c r="AN4" s="620" t="s">
        <v>4069</v>
      </c>
      <c r="AO4" s="621" t="s">
        <v>80</v>
      </c>
      <c r="AP4" s="619" t="s">
        <v>79</v>
      </c>
      <c r="AQ4" s="619">
        <v>34</v>
      </c>
      <c r="AR4" s="622">
        <v>24.611111111111111</v>
      </c>
      <c r="AS4" s="619">
        <v>8</v>
      </c>
      <c r="AT4" s="619">
        <v>10</v>
      </c>
      <c r="AU4" s="623">
        <v>18</v>
      </c>
      <c r="AV4" s="619">
        <v>92</v>
      </c>
      <c r="AW4" s="625">
        <v>25781</v>
      </c>
      <c r="AX4" s="619">
        <v>3</v>
      </c>
      <c r="AY4" s="619">
        <v>5</v>
      </c>
      <c r="AZ4" s="619">
        <v>0</v>
      </c>
      <c r="BA4" s="619">
        <v>1</v>
      </c>
      <c r="BB4" s="619">
        <v>6</v>
      </c>
      <c r="BC4" s="619">
        <v>6</v>
      </c>
      <c r="BD4" s="624">
        <v>0.72361111111111109</v>
      </c>
      <c r="BF4" s="619">
        <v>6</v>
      </c>
      <c r="BG4" s="620" t="s">
        <v>4069</v>
      </c>
      <c r="BH4" s="621" t="s">
        <v>80</v>
      </c>
      <c r="BI4" s="619" t="s">
        <v>79</v>
      </c>
      <c r="BJ4" s="619">
        <v>51</v>
      </c>
      <c r="BK4" s="622">
        <v>34.694444444444443</v>
      </c>
      <c r="BL4" s="619">
        <v>11</v>
      </c>
      <c r="BM4" s="619">
        <v>12</v>
      </c>
      <c r="BN4" s="623">
        <v>23</v>
      </c>
      <c r="BO4" s="619">
        <v>132</v>
      </c>
      <c r="BP4" s="625">
        <v>12267</v>
      </c>
      <c r="BQ4" s="619">
        <v>3</v>
      </c>
      <c r="BR4" s="619">
        <v>5</v>
      </c>
      <c r="BS4" s="619">
        <v>0</v>
      </c>
      <c r="BT4" s="619">
        <v>1</v>
      </c>
      <c r="BU4" s="619">
        <v>3</v>
      </c>
      <c r="BV4" s="619">
        <v>10</v>
      </c>
      <c r="BW4" s="624">
        <v>0.67986111111111114</v>
      </c>
    </row>
    <row r="5" spans="1:75" ht="28.2" thickBot="1" x14ac:dyDescent="0.35">
      <c r="A5" s="333">
        <v>3</v>
      </c>
      <c r="B5" s="550" t="s">
        <v>4041</v>
      </c>
      <c r="C5" s="551" t="s">
        <v>80</v>
      </c>
      <c r="D5" s="333" t="s">
        <v>88</v>
      </c>
      <c r="E5" s="333">
        <v>6</v>
      </c>
      <c r="F5" s="336">
        <v>2.6055555555555556</v>
      </c>
      <c r="G5" s="333">
        <v>0</v>
      </c>
      <c r="H5" s="333">
        <v>0</v>
      </c>
      <c r="I5" s="333">
        <v>0</v>
      </c>
      <c r="J5" s="333">
        <v>10</v>
      </c>
      <c r="K5" s="562">
        <f t="shared" si="0"/>
        <v>0</v>
      </c>
      <c r="L5" s="333">
        <v>0</v>
      </c>
      <c r="M5" s="333">
        <v>0</v>
      </c>
      <c r="N5" s="333">
        <v>0</v>
      </c>
      <c r="O5" s="333">
        <v>0</v>
      </c>
      <c r="P5" s="333">
        <v>-1</v>
      </c>
      <c r="Q5" s="333">
        <v>6</v>
      </c>
      <c r="R5" s="335">
        <v>0.43402777777777773</v>
      </c>
      <c r="T5" s="333">
        <v>29</v>
      </c>
      <c r="U5" s="550" t="s">
        <v>4041</v>
      </c>
      <c r="V5" s="551" t="s">
        <v>80</v>
      </c>
      <c r="W5" s="333" t="s">
        <v>88</v>
      </c>
      <c r="X5" s="333">
        <v>6</v>
      </c>
      <c r="Y5" s="336">
        <v>2.6055555555555556</v>
      </c>
      <c r="Z5" s="333">
        <v>0</v>
      </c>
      <c r="AA5" s="333">
        <v>0</v>
      </c>
      <c r="AB5" s="333">
        <v>0</v>
      </c>
      <c r="AC5" s="333">
        <v>10</v>
      </c>
      <c r="AD5" s="333" t="s">
        <v>78</v>
      </c>
      <c r="AE5" s="333">
        <v>0</v>
      </c>
      <c r="AF5" s="333">
        <v>0</v>
      </c>
      <c r="AG5" s="333">
        <v>0</v>
      </c>
      <c r="AH5" s="333">
        <v>0</v>
      </c>
      <c r="AI5" s="333">
        <v>-1</v>
      </c>
      <c r="AJ5" s="333">
        <v>6</v>
      </c>
      <c r="AK5" s="335">
        <v>0.43402777777777773</v>
      </c>
      <c r="AM5" s="619">
        <v>29</v>
      </c>
      <c r="AN5" s="620" t="s">
        <v>4041</v>
      </c>
      <c r="AO5" s="621" t="s">
        <v>80</v>
      </c>
      <c r="AP5" s="619" t="s">
        <v>88</v>
      </c>
      <c r="AQ5" s="619">
        <v>15</v>
      </c>
      <c r="AR5" s="622">
        <v>7.2777777777777777</v>
      </c>
      <c r="AS5" s="619">
        <v>0</v>
      </c>
      <c r="AT5" s="619">
        <v>2</v>
      </c>
      <c r="AU5" s="623">
        <v>2</v>
      </c>
      <c r="AV5" s="619">
        <v>18</v>
      </c>
      <c r="AW5" s="619" t="s">
        <v>78</v>
      </c>
      <c r="AX5" s="619">
        <v>0</v>
      </c>
      <c r="AY5" s="619">
        <v>0</v>
      </c>
      <c r="AZ5" s="619">
        <v>0</v>
      </c>
      <c r="BA5" s="619">
        <v>0</v>
      </c>
      <c r="BB5" s="619">
        <v>4</v>
      </c>
      <c r="BC5" s="619">
        <v>12</v>
      </c>
      <c r="BD5" s="624">
        <v>0.48472222222222222</v>
      </c>
      <c r="BF5" s="619">
        <v>26</v>
      </c>
      <c r="BG5" s="620" t="s">
        <v>4041</v>
      </c>
      <c r="BH5" s="621" t="s">
        <v>80</v>
      </c>
      <c r="BI5" s="619" t="s">
        <v>88</v>
      </c>
      <c r="BJ5" s="619">
        <v>29</v>
      </c>
      <c r="BK5" s="622">
        <v>16.245138888888889</v>
      </c>
      <c r="BL5" s="619">
        <v>0</v>
      </c>
      <c r="BM5" s="619">
        <v>3</v>
      </c>
      <c r="BN5" s="623">
        <v>3</v>
      </c>
      <c r="BO5" s="619">
        <v>31</v>
      </c>
      <c r="BP5" s="619" t="s">
        <v>78</v>
      </c>
      <c r="BQ5" s="619">
        <v>0</v>
      </c>
      <c r="BR5" s="619">
        <v>0</v>
      </c>
      <c r="BS5" s="619">
        <v>0</v>
      </c>
      <c r="BT5" s="619">
        <v>0</v>
      </c>
      <c r="BU5" s="619">
        <v>0</v>
      </c>
      <c r="BV5" s="619">
        <v>16</v>
      </c>
      <c r="BW5" s="624">
        <v>0.55972222222222223</v>
      </c>
    </row>
    <row r="6" spans="1:75" ht="28.2" thickBot="1" x14ac:dyDescent="0.35">
      <c r="A6" s="333">
        <v>4</v>
      </c>
      <c r="B6" s="550" t="s">
        <v>4039</v>
      </c>
      <c r="C6" s="551" t="s">
        <v>80</v>
      </c>
      <c r="D6" s="333" t="s">
        <v>88</v>
      </c>
      <c r="E6" s="333">
        <v>13</v>
      </c>
      <c r="F6" s="336">
        <v>5.0138888888888884</v>
      </c>
      <c r="G6" s="333">
        <v>0</v>
      </c>
      <c r="H6" s="333">
        <v>2</v>
      </c>
      <c r="I6" s="333">
        <v>2</v>
      </c>
      <c r="J6" s="333">
        <v>8</v>
      </c>
      <c r="K6" s="562">
        <f t="shared" si="0"/>
        <v>0</v>
      </c>
      <c r="L6" s="333">
        <v>0</v>
      </c>
      <c r="M6" s="333">
        <v>0</v>
      </c>
      <c r="N6" s="333">
        <v>0</v>
      </c>
      <c r="O6" s="333">
        <v>0</v>
      </c>
      <c r="P6" s="333">
        <v>-3</v>
      </c>
      <c r="Q6" s="333">
        <v>4</v>
      </c>
      <c r="R6" s="335">
        <v>0.38541666666666669</v>
      </c>
      <c r="T6" s="333">
        <v>21</v>
      </c>
      <c r="U6" s="550" t="s">
        <v>4039</v>
      </c>
      <c r="V6" s="551" t="s">
        <v>80</v>
      </c>
      <c r="W6" s="333" t="s">
        <v>88</v>
      </c>
      <c r="X6" s="333">
        <v>23</v>
      </c>
      <c r="Y6" s="336">
        <v>8.4951388888888886</v>
      </c>
      <c r="Z6" s="333">
        <v>0</v>
      </c>
      <c r="AA6" s="333">
        <v>3</v>
      </c>
      <c r="AB6" s="333">
        <v>3</v>
      </c>
      <c r="AC6" s="333">
        <v>15</v>
      </c>
      <c r="AD6" s="333" t="s">
        <v>78</v>
      </c>
      <c r="AE6" s="333">
        <v>0</v>
      </c>
      <c r="AF6" s="333">
        <v>0</v>
      </c>
      <c r="AG6" s="333">
        <v>0</v>
      </c>
      <c r="AH6" s="333">
        <v>0</v>
      </c>
      <c r="AI6" s="333">
        <v>-3</v>
      </c>
      <c r="AJ6" s="333">
        <v>6</v>
      </c>
      <c r="AK6" s="335">
        <v>0.36874999999999997</v>
      </c>
      <c r="AM6" s="619">
        <v>26</v>
      </c>
      <c r="AN6" s="620" t="s">
        <v>4039</v>
      </c>
      <c r="AO6" s="621" t="s">
        <v>80</v>
      </c>
      <c r="AP6" s="619" t="s">
        <v>88</v>
      </c>
      <c r="AQ6" s="619">
        <v>24</v>
      </c>
      <c r="AR6" s="622">
        <v>8.6937499999999996</v>
      </c>
      <c r="AS6" s="619">
        <v>0</v>
      </c>
      <c r="AT6" s="619">
        <v>3</v>
      </c>
      <c r="AU6" s="623">
        <v>3</v>
      </c>
      <c r="AV6" s="619">
        <v>15</v>
      </c>
      <c r="AW6" s="619" t="s">
        <v>78</v>
      </c>
      <c r="AX6" s="619">
        <v>0</v>
      </c>
      <c r="AY6" s="619">
        <v>0</v>
      </c>
      <c r="AZ6" s="619">
        <v>0</v>
      </c>
      <c r="BA6" s="619">
        <v>0</v>
      </c>
      <c r="BB6" s="619">
        <v>-3</v>
      </c>
      <c r="BC6" s="619">
        <v>6</v>
      </c>
      <c r="BD6" s="624">
        <v>0.36180555555555555</v>
      </c>
      <c r="BF6" s="619">
        <v>27</v>
      </c>
      <c r="BG6" s="620" t="s">
        <v>4039</v>
      </c>
      <c r="BH6" s="621" t="s">
        <v>80</v>
      </c>
      <c r="BI6" s="619" t="s">
        <v>88</v>
      </c>
      <c r="BJ6" s="619">
        <v>35</v>
      </c>
      <c r="BK6" s="622">
        <v>13.865277777777777</v>
      </c>
      <c r="BL6" s="619">
        <v>0</v>
      </c>
      <c r="BM6" s="619">
        <v>3</v>
      </c>
      <c r="BN6" s="623">
        <v>3</v>
      </c>
      <c r="BO6" s="619">
        <v>24</v>
      </c>
      <c r="BP6" s="619" t="s">
        <v>78</v>
      </c>
      <c r="BQ6" s="619">
        <v>0</v>
      </c>
      <c r="BR6" s="619">
        <v>0</v>
      </c>
      <c r="BS6" s="619">
        <v>0</v>
      </c>
      <c r="BT6" s="619">
        <v>0</v>
      </c>
      <c r="BU6" s="619">
        <v>-6</v>
      </c>
      <c r="BV6" s="619">
        <v>10</v>
      </c>
      <c r="BW6" s="624">
        <v>0.39583333333333331</v>
      </c>
    </row>
    <row r="7" spans="1:75" ht="28.2" thickBot="1" x14ac:dyDescent="0.35">
      <c r="A7" s="333">
        <v>5</v>
      </c>
      <c r="B7" s="550" t="s">
        <v>97</v>
      </c>
      <c r="C7" s="551" t="s">
        <v>80</v>
      </c>
      <c r="D7" s="333" t="s">
        <v>79</v>
      </c>
      <c r="E7" s="333">
        <v>1</v>
      </c>
      <c r="F7" s="335">
        <v>0.36388888888888887</v>
      </c>
      <c r="G7" s="333">
        <v>0</v>
      </c>
      <c r="H7" s="333">
        <v>0</v>
      </c>
      <c r="I7" s="333">
        <v>0</v>
      </c>
      <c r="J7" s="333">
        <v>1</v>
      </c>
      <c r="K7" s="562">
        <f t="shared" si="0"/>
        <v>0</v>
      </c>
      <c r="L7" s="333">
        <v>0</v>
      </c>
      <c r="M7" s="333">
        <v>0</v>
      </c>
      <c r="N7" s="333">
        <v>0</v>
      </c>
      <c r="O7" s="333">
        <v>0</v>
      </c>
      <c r="P7" s="333">
        <v>0</v>
      </c>
      <c r="Q7" s="333">
        <v>0</v>
      </c>
      <c r="R7" s="335">
        <v>0.36388888888888887</v>
      </c>
      <c r="T7" s="333">
        <v>27</v>
      </c>
      <c r="U7" s="550" t="s">
        <v>97</v>
      </c>
      <c r="V7" s="551" t="s">
        <v>80</v>
      </c>
      <c r="W7" s="333" t="s">
        <v>79</v>
      </c>
      <c r="X7" s="333">
        <v>1</v>
      </c>
      <c r="Y7" s="335">
        <v>0.36388888888888887</v>
      </c>
      <c r="Z7" s="333">
        <v>0</v>
      </c>
      <c r="AA7" s="333">
        <v>0</v>
      </c>
      <c r="AB7" s="333">
        <v>0</v>
      </c>
      <c r="AC7" s="333">
        <v>1</v>
      </c>
      <c r="AD7" s="333" t="s">
        <v>78</v>
      </c>
      <c r="AE7" s="333">
        <v>0</v>
      </c>
      <c r="AF7" s="333">
        <v>0</v>
      </c>
      <c r="AG7" s="333">
        <v>0</v>
      </c>
      <c r="AH7" s="333">
        <v>0</v>
      </c>
      <c r="AI7" s="333">
        <v>0</v>
      </c>
      <c r="AJ7" s="333">
        <v>0</v>
      </c>
      <c r="AK7" s="335">
        <v>0.36388888888888887</v>
      </c>
      <c r="AM7" s="619">
        <v>32</v>
      </c>
      <c r="AN7" s="620" t="s">
        <v>97</v>
      </c>
      <c r="AO7" s="621" t="s">
        <v>80</v>
      </c>
      <c r="AP7" s="619" t="s">
        <v>79</v>
      </c>
      <c r="AQ7" s="619">
        <v>1</v>
      </c>
      <c r="AR7" s="624">
        <v>0.36388888888888887</v>
      </c>
      <c r="AS7" s="619">
        <v>0</v>
      </c>
      <c r="AT7" s="619">
        <v>0</v>
      </c>
      <c r="AU7" s="623">
        <v>0</v>
      </c>
      <c r="AV7" s="619">
        <v>1</v>
      </c>
      <c r="AW7" s="619" t="s">
        <v>78</v>
      </c>
      <c r="AX7" s="619">
        <v>0</v>
      </c>
      <c r="AY7" s="619">
        <v>0</v>
      </c>
      <c r="AZ7" s="619">
        <v>0</v>
      </c>
      <c r="BA7" s="619">
        <v>0</v>
      </c>
      <c r="BB7" s="619">
        <v>0</v>
      </c>
      <c r="BC7" s="619">
        <v>0</v>
      </c>
      <c r="BD7" s="624">
        <v>0.36388888888888887</v>
      </c>
      <c r="BF7" s="619">
        <v>31</v>
      </c>
      <c r="BG7" s="620" t="s">
        <v>97</v>
      </c>
      <c r="BH7" s="621" t="s">
        <v>80</v>
      </c>
      <c r="BI7" s="619" t="s">
        <v>79</v>
      </c>
      <c r="BJ7" s="619">
        <v>1</v>
      </c>
      <c r="BK7" s="624">
        <v>0.36388888888888887</v>
      </c>
      <c r="BL7" s="619">
        <v>0</v>
      </c>
      <c r="BM7" s="619">
        <v>0</v>
      </c>
      <c r="BN7" s="623">
        <v>0</v>
      </c>
      <c r="BO7" s="619">
        <v>1</v>
      </c>
      <c r="BP7" s="619" t="s">
        <v>78</v>
      </c>
      <c r="BQ7" s="619">
        <v>0</v>
      </c>
      <c r="BR7" s="619">
        <v>0</v>
      </c>
      <c r="BS7" s="619">
        <v>0</v>
      </c>
      <c r="BT7" s="619">
        <v>0</v>
      </c>
      <c r="BU7" s="619">
        <v>0</v>
      </c>
      <c r="BV7" s="619">
        <v>0</v>
      </c>
      <c r="BW7" s="624">
        <v>0.36388888888888887</v>
      </c>
    </row>
    <row r="8" spans="1:75" ht="28.2" thickBot="1" x14ac:dyDescent="0.35">
      <c r="A8" s="333">
        <v>6</v>
      </c>
      <c r="B8" s="550" t="s">
        <v>108</v>
      </c>
      <c r="C8" s="551" t="s">
        <v>80</v>
      </c>
      <c r="D8" s="333" t="s">
        <v>79</v>
      </c>
      <c r="E8" s="333">
        <v>7</v>
      </c>
      <c r="F8" s="336">
        <v>5.5354166666666664</v>
      </c>
      <c r="G8" s="333">
        <v>0</v>
      </c>
      <c r="H8" s="333">
        <v>1</v>
      </c>
      <c r="I8" s="333">
        <v>1</v>
      </c>
      <c r="J8" s="333">
        <v>3</v>
      </c>
      <c r="K8" s="562">
        <f t="shared" si="0"/>
        <v>0</v>
      </c>
      <c r="L8" s="333">
        <v>0</v>
      </c>
      <c r="M8" s="333">
        <v>0</v>
      </c>
      <c r="N8" s="333">
        <v>0</v>
      </c>
      <c r="O8" s="333">
        <v>0</v>
      </c>
      <c r="P8" s="333">
        <v>-4</v>
      </c>
      <c r="Q8" s="333">
        <v>2</v>
      </c>
      <c r="R8" s="335">
        <v>0.79027777777777775</v>
      </c>
      <c r="T8" s="333">
        <v>20</v>
      </c>
      <c r="U8" s="550" t="s">
        <v>108</v>
      </c>
      <c r="V8" s="551" t="s">
        <v>80</v>
      </c>
      <c r="W8" s="333" t="s">
        <v>79</v>
      </c>
      <c r="X8" s="333">
        <v>21</v>
      </c>
      <c r="Y8" s="336">
        <v>13.018749999999999</v>
      </c>
      <c r="Z8" s="333">
        <v>1</v>
      </c>
      <c r="AA8" s="333">
        <v>2</v>
      </c>
      <c r="AB8" s="333">
        <v>3</v>
      </c>
      <c r="AC8" s="333">
        <v>11</v>
      </c>
      <c r="AD8" s="582">
        <v>44448</v>
      </c>
      <c r="AE8" s="333">
        <v>0</v>
      </c>
      <c r="AF8" s="333">
        <v>0</v>
      </c>
      <c r="AG8" s="333">
        <v>0</v>
      </c>
      <c r="AH8" s="333">
        <v>1</v>
      </c>
      <c r="AI8" s="333">
        <v>-1</v>
      </c>
      <c r="AJ8" s="333">
        <v>8</v>
      </c>
      <c r="AK8" s="335">
        <v>0.61944444444444446</v>
      </c>
      <c r="AM8" s="619">
        <v>24</v>
      </c>
      <c r="AN8" s="620" t="s">
        <v>108</v>
      </c>
      <c r="AO8" s="621" t="s">
        <v>80</v>
      </c>
      <c r="AP8" s="619" t="s">
        <v>79</v>
      </c>
      <c r="AQ8" s="619">
        <v>26</v>
      </c>
      <c r="AR8" s="622">
        <v>15.438194444444443</v>
      </c>
      <c r="AS8" s="619">
        <v>1</v>
      </c>
      <c r="AT8" s="619">
        <v>2</v>
      </c>
      <c r="AU8" s="623">
        <v>3</v>
      </c>
      <c r="AV8" s="619">
        <v>16</v>
      </c>
      <c r="AW8" s="625">
        <v>45809</v>
      </c>
      <c r="AX8" s="619">
        <v>0</v>
      </c>
      <c r="AY8" s="619">
        <v>0</v>
      </c>
      <c r="AZ8" s="619">
        <v>0</v>
      </c>
      <c r="BA8" s="619">
        <v>1</v>
      </c>
      <c r="BB8" s="619">
        <v>-2</v>
      </c>
      <c r="BC8" s="619">
        <v>8</v>
      </c>
      <c r="BD8" s="624">
        <v>0.59375</v>
      </c>
      <c r="BF8" s="619">
        <v>19</v>
      </c>
      <c r="BG8" s="620" t="s">
        <v>108</v>
      </c>
      <c r="BH8" s="621" t="s">
        <v>80</v>
      </c>
      <c r="BI8" s="619" t="s">
        <v>79</v>
      </c>
      <c r="BJ8" s="619">
        <v>41</v>
      </c>
      <c r="BK8" s="622">
        <v>24.270138888888891</v>
      </c>
      <c r="BL8" s="619">
        <v>2</v>
      </c>
      <c r="BM8" s="619">
        <v>5</v>
      </c>
      <c r="BN8" s="623">
        <v>7</v>
      </c>
      <c r="BO8" s="619">
        <v>27</v>
      </c>
      <c r="BP8" s="625">
        <v>15158</v>
      </c>
      <c r="BQ8" s="619">
        <v>0</v>
      </c>
      <c r="BR8" s="619">
        <v>0</v>
      </c>
      <c r="BS8" s="619">
        <v>0</v>
      </c>
      <c r="BT8" s="619">
        <v>2</v>
      </c>
      <c r="BU8" s="619">
        <v>-3</v>
      </c>
      <c r="BV8" s="619">
        <v>8</v>
      </c>
      <c r="BW8" s="624">
        <v>0.59166666666666667</v>
      </c>
    </row>
    <row r="9" spans="1:75" ht="28.2" thickBot="1" x14ac:dyDescent="0.35">
      <c r="A9" s="333">
        <v>7</v>
      </c>
      <c r="B9" s="550" t="s">
        <v>124</v>
      </c>
      <c r="C9" s="551" t="s">
        <v>80</v>
      </c>
      <c r="D9" s="333" t="s">
        <v>79</v>
      </c>
      <c r="E9" s="333">
        <v>14</v>
      </c>
      <c r="F9" s="336">
        <v>8.9513888888888893</v>
      </c>
      <c r="G9" s="333">
        <v>1</v>
      </c>
      <c r="H9" s="333">
        <v>6</v>
      </c>
      <c r="I9" s="333">
        <v>7</v>
      </c>
      <c r="J9" s="333">
        <v>27</v>
      </c>
      <c r="K9" s="562">
        <f t="shared" si="0"/>
        <v>3.7037037037037033</v>
      </c>
      <c r="L9" s="333">
        <v>1</v>
      </c>
      <c r="M9" s="333">
        <v>2</v>
      </c>
      <c r="N9" s="333">
        <v>0</v>
      </c>
      <c r="O9" s="333">
        <v>0</v>
      </c>
      <c r="P9" s="333">
        <v>-5</v>
      </c>
      <c r="Q9" s="333">
        <v>8</v>
      </c>
      <c r="R9" s="335">
        <v>0.63888888888888895</v>
      </c>
      <c r="T9" s="333">
        <v>10</v>
      </c>
      <c r="U9" s="550" t="s">
        <v>124</v>
      </c>
      <c r="V9" s="551" t="s">
        <v>80</v>
      </c>
      <c r="W9" s="333" t="s">
        <v>79</v>
      </c>
      <c r="X9" s="333">
        <v>25</v>
      </c>
      <c r="Y9" s="336">
        <v>15.497222222222222</v>
      </c>
      <c r="Z9" s="333">
        <v>2</v>
      </c>
      <c r="AA9" s="333">
        <v>9</v>
      </c>
      <c r="AB9" s="333">
        <v>11</v>
      </c>
      <c r="AC9" s="333">
        <v>35</v>
      </c>
      <c r="AD9" s="581">
        <v>26054</v>
      </c>
      <c r="AE9" s="333">
        <v>1</v>
      </c>
      <c r="AF9" s="333">
        <v>2</v>
      </c>
      <c r="AG9" s="333">
        <v>0</v>
      </c>
      <c r="AH9" s="333">
        <v>0</v>
      </c>
      <c r="AI9" s="333">
        <v>-5</v>
      </c>
      <c r="AJ9" s="333">
        <v>8</v>
      </c>
      <c r="AK9" s="335">
        <v>0.61944444444444446</v>
      </c>
      <c r="AM9" s="619">
        <v>10</v>
      </c>
      <c r="AN9" s="620" t="s">
        <v>124</v>
      </c>
      <c r="AO9" s="621" t="s">
        <v>80</v>
      </c>
      <c r="AP9" s="619" t="s">
        <v>79</v>
      </c>
      <c r="AQ9" s="619">
        <v>34</v>
      </c>
      <c r="AR9" s="622">
        <v>21.260416666666668</v>
      </c>
      <c r="AS9" s="619">
        <v>2</v>
      </c>
      <c r="AT9" s="619">
        <v>11</v>
      </c>
      <c r="AU9" s="623">
        <v>13</v>
      </c>
      <c r="AV9" s="619">
        <v>50</v>
      </c>
      <c r="AW9" s="619" t="s">
        <v>4491</v>
      </c>
      <c r="AX9" s="619">
        <v>1</v>
      </c>
      <c r="AY9" s="619">
        <v>2</v>
      </c>
      <c r="AZ9" s="619">
        <v>0</v>
      </c>
      <c r="BA9" s="619">
        <v>0</v>
      </c>
      <c r="BB9" s="619">
        <v>-6</v>
      </c>
      <c r="BC9" s="619">
        <v>12</v>
      </c>
      <c r="BD9" s="624">
        <v>0.625</v>
      </c>
      <c r="BF9" s="619">
        <v>11</v>
      </c>
      <c r="BG9" s="620" t="s">
        <v>124</v>
      </c>
      <c r="BH9" s="621" t="s">
        <v>80</v>
      </c>
      <c r="BI9" s="619" t="s">
        <v>79</v>
      </c>
      <c r="BJ9" s="619">
        <v>41</v>
      </c>
      <c r="BK9" s="622">
        <v>24.211111111111112</v>
      </c>
      <c r="BL9" s="619">
        <v>2</v>
      </c>
      <c r="BM9" s="619">
        <v>14</v>
      </c>
      <c r="BN9" s="623">
        <v>16</v>
      </c>
      <c r="BO9" s="619">
        <v>57</v>
      </c>
      <c r="BP9" s="625">
        <v>18688</v>
      </c>
      <c r="BQ9" s="619">
        <v>1</v>
      </c>
      <c r="BR9" s="619">
        <v>4</v>
      </c>
      <c r="BS9" s="619">
        <v>0</v>
      </c>
      <c r="BT9" s="619">
        <v>0</v>
      </c>
      <c r="BU9" s="619">
        <v>-5</v>
      </c>
      <c r="BV9" s="619">
        <v>12</v>
      </c>
      <c r="BW9" s="624">
        <v>0.59027777777777779</v>
      </c>
    </row>
    <row r="10" spans="1:75" ht="28.2" thickBot="1" x14ac:dyDescent="0.35">
      <c r="A10" s="333">
        <v>8</v>
      </c>
      <c r="B10" s="550" t="s">
        <v>4170</v>
      </c>
      <c r="C10" s="551" t="s">
        <v>80</v>
      </c>
      <c r="D10" s="333" t="s">
        <v>79</v>
      </c>
      <c r="E10" s="333">
        <v>14</v>
      </c>
      <c r="F10" s="336">
        <v>12.003472222222221</v>
      </c>
      <c r="G10" s="333">
        <v>5</v>
      </c>
      <c r="H10" s="333">
        <v>7</v>
      </c>
      <c r="I10" s="333">
        <v>12</v>
      </c>
      <c r="J10" s="333">
        <v>20</v>
      </c>
      <c r="K10" s="562">
        <f t="shared" si="0"/>
        <v>25</v>
      </c>
      <c r="L10" s="333">
        <v>2</v>
      </c>
      <c r="M10" s="333">
        <v>5</v>
      </c>
      <c r="N10" s="333">
        <v>0</v>
      </c>
      <c r="O10" s="333">
        <v>0</v>
      </c>
      <c r="P10" s="333">
        <v>2</v>
      </c>
      <c r="Q10" s="333">
        <v>2</v>
      </c>
      <c r="R10" s="335">
        <v>0.8569444444444444</v>
      </c>
      <c r="T10" s="333">
        <v>2</v>
      </c>
      <c r="U10" s="550" t="s">
        <v>4170</v>
      </c>
      <c r="V10" s="551" t="s">
        <v>80</v>
      </c>
      <c r="W10" s="333" t="s">
        <v>79</v>
      </c>
      <c r="X10" s="333">
        <v>28</v>
      </c>
      <c r="Y10" s="336">
        <v>23.206944444444446</v>
      </c>
      <c r="Z10" s="333">
        <v>9</v>
      </c>
      <c r="AA10" s="333">
        <v>15</v>
      </c>
      <c r="AB10" s="333">
        <v>24</v>
      </c>
      <c r="AC10" s="333">
        <v>44</v>
      </c>
      <c r="AD10" s="333" t="s">
        <v>1730</v>
      </c>
      <c r="AE10" s="333">
        <v>4</v>
      </c>
      <c r="AF10" s="333">
        <v>11</v>
      </c>
      <c r="AG10" s="333">
        <v>0</v>
      </c>
      <c r="AH10" s="333">
        <v>0</v>
      </c>
      <c r="AI10" s="333">
        <v>-2</v>
      </c>
      <c r="AJ10" s="333">
        <v>6</v>
      </c>
      <c r="AK10" s="335">
        <v>0.82847222222222217</v>
      </c>
      <c r="AM10" s="619">
        <v>1</v>
      </c>
      <c r="AN10" s="620" t="s">
        <v>4170</v>
      </c>
      <c r="AO10" s="621" t="s">
        <v>80</v>
      </c>
      <c r="AP10" s="619" t="s">
        <v>79</v>
      </c>
      <c r="AQ10" s="619">
        <v>39</v>
      </c>
      <c r="AR10" s="622">
        <v>31.488888888888891</v>
      </c>
      <c r="AS10" s="619">
        <v>12</v>
      </c>
      <c r="AT10" s="619">
        <v>18</v>
      </c>
      <c r="AU10" s="623">
        <v>30</v>
      </c>
      <c r="AV10" s="619">
        <v>58</v>
      </c>
      <c r="AW10" s="619" t="s">
        <v>1595</v>
      </c>
      <c r="AX10" s="619">
        <v>6</v>
      </c>
      <c r="AY10" s="619">
        <v>14</v>
      </c>
      <c r="AZ10" s="619">
        <v>0</v>
      </c>
      <c r="BA10" s="619">
        <v>0</v>
      </c>
      <c r="BB10" s="619">
        <v>-2</v>
      </c>
      <c r="BC10" s="619">
        <v>8</v>
      </c>
      <c r="BD10" s="624">
        <v>0.80694444444444446</v>
      </c>
      <c r="BF10" s="619">
        <v>1</v>
      </c>
      <c r="BG10" s="620" t="s">
        <v>4170</v>
      </c>
      <c r="BH10" s="621" t="s">
        <v>80</v>
      </c>
      <c r="BI10" s="619" t="s">
        <v>79</v>
      </c>
      <c r="BJ10" s="619">
        <v>56</v>
      </c>
      <c r="BK10" s="622">
        <v>46.047916666666673</v>
      </c>
      <c r="BL10" s="619">
        <v>18</v>
      </c>
      <c r="BM10" s="619">
        <v>30</v>
      </c>
      <c r="BN10" s="623">
        <v>48</v>
      </c>
      <c r="BO10" s="619">
        <v>85</v>
      </c>
      <c r="BP10" s="619" t="s">
        <v>2698</v>
      </c>
      <c r="BQ10" s="619">
        <v>6</v>
      </c>
      <c r="BR10" s="619">
        <v>22</v>
      </c>
      <c r="BS10" s="619">
        <v>0</v>
      </c>
      <c r="BT10" s="619">
        <v>0</v>
      </c>
      <c r="BU10" s="619">
        <v>-8</v>
      </c>
      <c r="BV10" s="619">
        <v>10</v>
      </c>
      <c r="BW10" s="624">
        <v>0.8222222222222223</v>
      </c>
    </row>
    <row r="11" spans="1:75" ht="28.2" thickBot="1" x14ac:dyDescent="0.35">
      <c r="A11" s="333">
        <v>9</v>
      </c>
      <c r="B11" s="550" t="s">
        <v>1173</v>
      </c>
      <c r="C11" s="551" t="s">
        <v>80</v>
      </c>
      <c r="D11" s="333" t="s">
        <v>88</v>
      </c>
      <c r="E11" s="333">
        <v>5</v>
      </c>
      <c r="F11" s="336">
        <v>1.3319444444444444</v>
      </c>
      <c r="G11" s="333">
        <v>0</v>
      </c>
      <c r="H11" s="333">
        <v>1</v>
      </c>
      <c r="I11" s="333">
        <v>1</v>
      </c>
      <c r="J11" s="333">
        <v>5</v>
      </c>
      <c r="K11" s="562">
        <f t="shared" si="0"/>
        <v>0</v>
      </c>
      <c r="L11" s="333">
        <v>0</v>
      </c>
      <c r="M11" s="333">
        <v>0</v>
      </c>
      <c r="N11" s="333">
        <v>0</v>
      </c>
      <c r="O11" s="333">
        <v>0</v>
      </c>
      <c r="P11" s="333">
        <v>2</v>
      </c>
      <c r="Q11" s="333">
        <v>27</v>
      </c>
      <c r="R11" s="335">
        <v>0.26597222222222222</v>
      </c>
      <c r="T11" s="333">
        <v>26</v>
      </c>
      <c r="U11" s="550" t="s">
        <v>1173</v>
      </c>
      <c r="V11" s="551" t="s">
        <v>80</v>
      </c>
      <c r="W11" s="333" t="s">
        <v>88</v>
      </c>
      <c r="X11" s="333">
        <v>10</v>
      </c>
      <c r="Y11" s="336">
        <v>3.6951388888888892</v>
      </c>
      <c r="Z11" s="333">
        <v>0</v>
      </c>
      <c r="AA11" s="333">
        <v>1</v>
      </c>
      <c r="AB11" s="333">
        <v>1</v>
      </c>
      <c r="AC11" s="333">
        <v>10</v>
      </c>
      <c r="AD11" s="333" t="s">
        <v>78</v>
      </c>
      <c r="AE11" s="333">
        <v>0</v>
      </c>
      <c r="AF11" s="333">
        <v>0</v>
      </c>
      <c r="AG11" s="333">
        <v>0</v>
      </c>
      <c r="AH11" s="333">
        <v>0</v>
      </c>
      <c r="AI11" s="333">
        <v>1</v>
      </c>
      <c r="AJ11" s="333">
        <v>27</v>
      </c>
      <c r="AK11" s="335">
        <v>0.36944444444444446</v>
      </c>
      <c r="AM11" s="619">
        <v>19</v>
      </c>
      <c r="AN11" s="620" t="s">
        <v>1173</v>
      </c>
      <c r="AO11" s="621" t="s">
        <v>80</v>
      </c>
      <c r="AP11" s="619" t="s">
        <v>88</v>
      </c>
      <c r="AQ11" s="619">
        <v>20</v>
      </c>
      <c r="AR11" s="622">
        <v>9.719444444444445</v>
      </c>
      <c r="AS11" s="619">
        <v>2</v>
      </c>
      <c r="AT11" s="619">
        <v>2</v>
      </c>
      <c r="AU11" s="623">
        <v>4</v>
      </c>
      <c r="AV11" s="619">
        <v>23</v>
      </c>
      <c r="AW11" s="625">
        <v>25781</v>
      </c>
      <c r="AX11" s="619">
        <v>0</v>
      </c>
      <c r="AY11" s="619">
        <v>0</v>
      </c>
      <c r="AZ11" s="619">
        <v>1</v>
      </c>
      <c r="BA11" s="619">
        <v>1</v>
      </c>
      <c r="BB11" s="619">
        <v>4</v>
      </c>
      <c r="BC11" s="619">
        <v>37</v>
      </c>
      <c r="BD11" s="624">
        <v>0.48541666666666666</v>
      </c>
      <c r="BF11" s="619">
        <v>17</v>
      </c>
      <c r="BG11" s="620" t="s">
        <v>1173</v>
      </c>
      <c r="BH11" s="621" t="s">
        <v>80</v>
      </c>
      <c r="BI11" s="619" t="s">
        <v>88</v>
      </c>
      <c r="BJ11" s="619">
        <v>37</v>
      </c>
      <c r="BK11" s="622">
        <v>21</v>
      </c>
      <c r="BL11" s="619">
        <v>4</v>
      </c>
      <c r="BM11" s="619">
        <v>4</v>
      </c>
      <c r="BN11" s="623">
        <v>8</v>
      </c>
      <c r="BO11" s="619">
        <v>36</v>
      </c>
      <c r="BP11" s="639">
        <v>44876</v>
      </c>
      <c r="BQ11" s="619">
        <v>0</v>
      </c>
      <c r="BR11" s="619">
        <v>0</v>
      </c>
      <c r="BS11" s="619">
        <v>1</v>
      </c>
      <c r="BT11" s="619">
        <v>1</v>
      </c>
      <c r="BU11" s="619">
        <v>3</v>
      </c>
      <c r="BV11" s="619">
        <v>47</v>
      </c>
      <c r="BW11" s="624">
        <v>0.56736111111111109</v>
      </c>
    </row>
    <row r="12" spans="1:75" ht="28.2" thickBot="1" x14ac:dyDescent="0.35">
      <c r="A12" s="333">
        <v>10</v>
      </c>
      <c r="B12" s="550" t="s">
        <v>82</v>
      </c>
      <c r="C12" s="551" t="s">
        <v>80</v>
      </c>
      <c r="D12" s="333" t="s">
        <v>79</v>
      </c>
      <c r="E12" s="333">
        <v>8</v>
      </c>
      <c r="F12" s="336">
        <v>4.4576388888888889</v>
      </c>
      <c r="G12" s="333">
        <v>0</v>
      </c>
      <c r="H12" s="333">
        <v>1</v>
      </c>
      <c r="I12" s="333">
        <v>1</v>
      </c>
      <c r="J12" s="333">
        <v>6</v>
      </c>
      <c r="K12" s="562">
        <f t="shared" si="0"/>
        <v>0</v>
      </c>
      <c r="L12" s="333">
        <v>0</v>
      </c>
      <c r="M12" s="333">
        <v>0</v>
      </c>
      <c r="N12" s="333">
        <v>0</v>
      </c>
      <c r="O12" s="333">
        <v>0</v>
      </c>
      <c r="P12" s="333">
        <v>2</v>
      </c>
      <c r="Q12" s="333">
        <v>0</v>
      </c>
      <c r="R12" s="335">
        <v>0.55694444444444446</v>
      </c>
      <c r="T12" s="333">
        <v>25</v>
      </c>
      <c r="U12" s="550" t="s">
        <v>82</v>
      </c>
      <c r="V12" s="551" t="s">
        <v>80</v>
      </c>
      <c r="W12" s="333" t="s">
        <v>79</v>
      </c>
      <c r="X12" s="333">
        <v>9</v>
      </c>
      <c r="Y12" s="336">
        <v>5.0611111111111109</v>
      </c>
      <c r="Z12" s="333">
        <v>0</v>
      </c>
      <c r="AA12" s="333">
        <v>1</v>
      </c>
      <c r="AB12" s="333">
        <v>1</v>
      </c>
      <c r="AC12" s="333">
        <v>7</v>
      </c>
      <c r="AD12" s="333" t="s">
        <v>78</v>
      </c>
      <c r="AE12" s="333">
        <v>0</v>
      </c>
      <c r="AF12" s="333">
        <v>0</v>
      </c>
      <c r="AG12" s="333">
        <v>0</v>
      </c>
      <c r="AH12" s="333">
        <v>0</v>
      </c>
      <c r="AI12" s="333">
        <v>2</v>
      </c>
      <c r="AJ12" s="333">
        <v>0</v>
      </c>
      <c r="AK12" s="335">
        <v>0.56180555555555556</v>
      </c>
      <c r="AM12" s="619">
        <v>21</v>
      </c>
      <c r="AN12" s="620" t="s">
        <v>82</v>
      </c>
      <c r="AO12" s="621" t="s">
        <v>80</v>
      </c>
      <c r="AP12" s="619" t="s">
        <v>79</v>
      </c>
      <c r="AQ12" s="619">
        <v>14</v>
      </c>
      <c r="AR12" s="622">
        <v>6.8423611111111109</v>
      </c>
      <c r="AS12" s="619">
        <v>1</v>
      </c>
      <c r="AT12" s="619">
        <v>2</v>
      </c>
      <c r="AU12" s="623">
        <v>3</v>
      </c>
      <c r="AV12" s="619">
        <v>14</v>
      </c>
      <c r="AW12" s="625">
        <v>41821</v>
      </c>
      <c r="AX12" s="619">
        <v>0</v>
      </c>
      <c r="AY12" s="619">
        <v>0</v>
      </c>
      <c r="AZ12" s="619">
        <v>0</v>
      </c>
      <c r="BA12" s="619">
        <v>1</v>
      </c>
      <c r="BB12" s="619">
        <v>4</v>
      </c>
      <c r="BC12" s="619">
        <v>2</v>
      </c>
      <c r="BD12" s="624">
        <v>0.48819444444444443</v>
      </c>
      <c r="BF12" s="619">
        <v>24</v>
      </c>
      <c r="BG12" s="620" t="s">
        <v>82</v>
      </c>
      <c r="BH12" s="621" t="s">
        <v>80</v>
      </c>
      <c r="BI12" s="619" t="s">
        <v>79</v>
      </c>
      <c r="BJ12" s="619">
        <v>14</v>
      </c>
      <c r="BK12" s="622">
        <v>6.8423611111111109</v>
      </c>
      <c r="BL12" s="619">
        <v>1</v>
      </c>
      <c r="BM12" s="619">
        <v>2</v>
      </c>
      <c r="BN12" s="623">
        <v>3</v>
      </c>
      <c r="BO12" s="619">
        <v>14</v>
      </c>
      <c r="BP12" s="625">
        <v>41821</v>
      </c>
      <c r="BQ12" s="619">
        <v>0</v>
      </c>
      <c r="BR12" s="619">
        <v>0</v>
      </c>
      <c r="BS12" s="619">
        <v>0</v>
      </c>
      <c r="BT12" s="619">
        <v>1</v>
      </c>
      <c r="BU12" s="619">
        <v>4</v>
      </c>
      <c r="BV12" s="619">
        <v>2</v>
      </c>
      <c r="BW12" s="624">
        <v>0.48819444444444443</v>
      </c>
    </row>
    <row r="13" spans="1:75" ht="28.2" thickBot="1" x14ac:dyDescent="0.35">
      <c r="A13" s="333">
        <v>11</v>
      </c>
      <c r="B13" s="550" t="s">
        <v>1226</v>
      </c>
      <c r="C13" s="551" t="s">
        <v>80</v>
      </c>
      <c r="D13" s="333" t="s">
        <v>79</v>
      </c>
      <c r="E13" s="333">
        <v>12</v>
      </c>
      <c r="F13" s="336">
        <v>3.2013888888888888</v>
      </c>
      <c r="G13" s="333">
        <v>1</v>
      </c>
      <c r="H13" s="333">
        <v>2</v>
      </c>
      <c r="I13" s="333">
        <v>3</v>
      </c>
      <c r="J13" s="333">
        <v>7</v>
      </c>
      <c r="K13" s="562">
        <f t="shared" si="0"/>
        <v>14.285714285714285</v>
      </c>
      <c r="L13" s="333">
        <v>0</v>
      </c>
      <c r="M13" s="333">
        <v>0</v>
      </c>
      <c r="N13" s="333">
        <v>0</v>
      </c>
      <c r="O13" s="333">
        <v>0</v>
      </c>
      <c r="P13" s="333">
        <v>1</v>
      </c>
      <c r="Q13" s="333">
        <v>0</v>
      </c>
      <c r="R13" s="335">
        <v>0.26666666666666666</v>
      </c>
      <c r="T13" s="333">
        <v>19</v>
      </c>
      <c r="U13" s="550" t="s">
        <v>1226</v>
      </c>
      <c r="V13" s="551" t="s">
        <v>80</v>
      </c>
      <c r="W13" s="333" t="s">
        <v>79</v>
      </c>
      <c r="X13" s="333">
        <v>14</v>
      </c>
      <c r="Y13" s="336">
        <v>3.6993055555555556</v>
      </c>
      <c r="Z13" s="333">
        <v>1</v>
      </c>
      <c r="AA13" s="333">
        <v>2</v>
      </c>
      <c r="AB13" s="333">
        <v>3</v>
      </c>
      <c r="AC13" s="333">
        <v>7</v>
      </c>
      <c r="AD13" s="333" t="s">
        <v>215</v>
      </c>
      <c r="AE13" s="333">
        <v>0</v>
      </c>
      <c r="AF13" s="333">
        <v>0</v>
      </c>
      <c r="AG13" s="333">
        <v>0</v>
      </c>
      <c r="AH13" s="333">
        <v>0</v>
      </c>
      <c r="AI13" s="333">
        <v>0</v>
      </c>
      <c r="AJ13" s="333">
        <v>0</v>
      </c>
      <c r="AK13" s="335">
        <v>0.2638888888888889</v>
      </c>
      <c r="AM13" s="619">
        <v>22</v>
      </c>
      <c r="AN13" s="620" t="s">
        <v>1226</v>
      </c>
      <c r="AO13" s="621" t="s">
        <v>80</v>
      </c>
      <c r="AP13" s="619" t="s">
        <v>79</v>
      </c>
      <c r="AQ13" s="619">
        <v>14</v>
      </c>
      <c r="AR13" s="622">
        <v>3.6993055555555556</v>
      </c>
      <c r="AS13" s="619">
        <v>1</v>
      </c>
      <c r="AT13" s="619">
        <v>2</v>
      </c>
      <c r="AU13" s="623">
        <v>3</v>
      </c>
      <c r="AV13" s="619">
        <v>7</v>
      </c>
      <c r="AW13" s="619" t="s">
        <v>215</v>
      </c>
      <c r="AX13" s="619">
        <v>0</v>
      </c>
      <c r="AY13" s="619">
        <v>0</v>
      </c>
      <c r="AZ13" s="619">
        <v>0</v>
      </c>
      <c r="BA13" s="619">
        <v>0</v>
      </c>
      <c r="BB13" s="619">
        <v>0</v>
      </c>
      <c r="BC13" s="619">
        <v>0</v>
      </c>
      <c r="BD13" s="624">
        <v>0.2638888888888889</v>
      </c>
      <c r="BF13" s="619">
        <v>25</v>
      </c>
      <c r="BG13" s="620" t="s">
        <v>1226</v>
      </c>
      <c r="BH13" s="621" t="s">
        <v>80</v>
      </c>
      <c r="BI13" s="619" t="s">
        <v>79</v>
      </c>
      <c r="BJ13" s="619">
        <v>14</v>
      </c>
      <c r="BK13" s="622">
        <v>3.6993055555555556</v>
      </c>
      <c r="BL13" s="619">
        <v>1</v>
      </c>
      <c r="BM13" s="619">
        <v>2</v>
      </c>
      <c r="BN13" s="623">
        <v>3</v>
      </c>
      <c r="BO13" s="619">
        <v>7</v>
      </c>
      <c r="BP13" s="619" t="s">
        <v>215</v>
      </c>
      <c r="BQ13" s="619">
        <v>0</v>
      </c>
      <c r="BR13" s="619">
        <v>0</v>
      </c>
      <c r="BS13" s="619">
        <v>0</v>
      </c>
      <c r="BT13" s="619">
        <v>0</v>
      </c>
      <c r="BU13" s="619">
        <v>0</v>
      </c>
      <c r="BV13" s="619">
        <v>0</v>
      </c>
      <c r="BW13" s="624">
        <v>0.2638888888888889</v>
      </c>
    </row>
    <row r="14" spans="1:75" ht="26.25" customHeight="1" thickBot="1" x14ac:dyDescent="0.35">
      <c r="A14" s="333">
        <v>12</v>
      </c>
      <c r="B14" s="550" t="s">
        <v>4172</v>
      </c>
      <c r="C14" s="551" t="s">
        <v>80</v>
      </c>
      <c r="D14" s="333" t="s">
        <v>88</v>
      </c>
      <c r="E14" s="333">
        <v>12</v>
      </c>
      <c r="F14" s="336">
        <v>9.593055555555555</v>
      </c>
      <c r="G14" s="333">
        <v>2</v>
      </c>
      <c r="H14" s="333">
        <v>3</v>
      </c>
      <c r="I14" s="333">
        <v>5</v>
      </c>
      <c r="J14" s="333">
        <v>19</v>
      </c>
      <c r="K14" s="562">
        <f t="shared" si="0"/>
        <v>10.526315789473683</v>
      </c>
      <c r="L14" s="333">
        <v>0</v>
      </c>
      <c r="M14" s="333">
        <v>0</v>
      </c>
      <c r="N14" s="333">
        <v>0</v>
      </c>
      <c r="O14" s="333">
        <v>0</v>
      </c>
      <c r="P14" s="333">
        <v>-5</v>
      </c>
      <c r="Q14" s="333">
        <v>6</v>
      </c>
      <c r="R14" s="335">
        <v>0.7993055555555556</v>
      </c>
      <c r="T14" s="333">
        <v>12</v>
      </c>
      <c r="U14" s="550" t="s">
        <v>4172</v>
      </c>
      <c r="V14" s="551" t="s">
        <v>80</v>
      </c>
      <c r="W14" s="333" t="s">
        <v>88</v>
      </c>
      <c r="X14" s="333">
        <v>26</v>
      </c>
      <c r="Y14" s="336">
        <v>21.887499999999999</v>
      </c>
      <c r="Z14" s="333">
        <v>4</v>
      </c>
      <c r="AA14" s="333">
        <v>4</v>
      </c>
      <c r="AB14" s="333">
        <v>8</v>
      </c>
      <c r="AC14" s="333">
        <v>39</v>
      </c>
      <c r="AD14" s="581">
        <v>46296</v>
      </c>
      <c r="AE14" s="333">
        <v>1</v>
      </c>
      <c r="AF14" s="333">
        <v>2</v>
      </c>
      <c r="AG14" s="333">
        <v>0</v>
      </c>
      <c r="AH14" s="333">
        <v>0</v>
      </c>
      <c r="AI14" s="333">
        <v>-11</v>
      </c>
      <c r="AJ14" s="333">
        <v>10</v>
      </c>
      <c r="AK14" s="335">
        <v>0.84166666666666667</v>
      </c>
      <c r="AM14" s="619">
        <v>12</v>
      </c>
      <c r="AN14" s="620" t="s">
        <v>4172</v>
      </c>
      <c r="AO14" s="621" t="s">
        <v>80</v>
      </c>
      <c r="AP14" s="619" t="s">
        <v>88</v>
      </c>
      <c r="AQ14" s="619">
        <v>37</v>
      </c>
      <c r="AR14" s="622">
        <v>29.681944444444444</v>
      </c>
      <c r="AS14" s="619">
        <v>5</v>
      </c>
      <c r="AT14" s="619">
        <v>4</v>
      </c>
      <c r="AU14" s="623">
        <v>9</v>
      </c>
      <c r="AV14" s="619">
        <v>56</v>
      </c>
      <c r="AW14" s="625">
        <v>34182</v>
      </c>
      <c r="AX14" s="619">
        <v>2</v>
      </c>
      <c r="AY14" s="619">
        <v>3</v>
      </c>
      <c r="AZ14" s="619">
        <v>0</v>
      </c>
      <c r="BA14" s="619">
        <v>0</v>
      </c>
      <c r="BB14" s="619">
        <v>-8</v>
      </c>
      <c r="BC14" s="619">
        <v>16</v>
      </c>
      <c r="BD14" s="624">
        <v>0.80208333333333337</v>
      </c>
      <c r="BF14" s="619">
        <v>12</v>
      </c>
      <c r="BG14" s="620" t="s">
        <v>4172</v>
      </c>
      <c r="BH14" s="621" t="s">
        <v>80</v>
      </c>
      <c r="BI14" s="619" t="s">
        <v>88</v>
      </c>
      <c r="BJ14" s="619">
        <v>53</v>
      </c>
      <c r="BK14" s="622">
        <v>42.897222222222219</v>
      </c>
      <c r="BL14" s="619">
        <v>8</v>
      </c>
      <c r="BM14" s="619">
        <v>5</v>
      </c>
      <c r="BN14" s="623">
        <v>13</v>
      </c>
      <c r="BO14" s="619">
        <v>83</v>
      </c>
      <c r="BP14" s="625">
        <v>23621</v>
      </c>
      <c r="BQ14" s="619">
        <v>3</v>
      </c>
      <c r="BR14" s="619">
        <v>5</v>
      </c>
      <c r="BS14" s="619">
        <v>0</v>
      </c>
      <c r="BT14" s="619">
        <v>1</v>
      </c>
      <c r="BU14" s="619">
        <v>-19</v>
      </c>
      <c r="BV14" s="619">
        <v>49</v>
      </c>
      <c r="BW14" s="624">
        <v>0.80902777777777779</v>
      </c>
    </row>
    <row r="15" spans="1:75" ht="28.2" thickBot="1" x14ac:dyDescent="0.35">
      <c r="A15" s="333">
        <v>13</v>
      </c>
      <c r="B15" s="550" t="s">
        <v>83</v>
      </c>
      <c r="C15" s="551" t="s">
        <v>80</v>
      </c>
      <c r="D15" s="333" t="s">
        <v>79</v>
      </c>
      <c r="E15" s="333">
        <v>13</v>
      </c>
      <c r="F15" s="336">
        <v>4.1520833333333336</v>
      </c>
      <c r="G15" s="333">
        <v>1</v>
      </c>
      <c r="H15" s="333">
        <v>0</v>
      </c>
      <c r="I15" s="333">
        <v>1</v>
      </c>
      <c r="J15" s="333">
        <v>14</v>
      </c>
      <c r="K15" s="562">
        <f t="shared" si="0"/>
        <v>7.1428571428571423</v>
      </c>
      <c r="L15" s="333">
        <v>0</v>
      </c>
      <c r="M15" s="333">
        <v>0</v>
      </c>
      <c r="N15" s="333">
        <v>0</v>
      </c>
      <c r="O15" s="333">
        <v>0</v>
      </c>
      <c r="P15" s="333">
        <v>0</v>
      </c>
      <c r="Q15" s="333">
        <v>4</v>
      </c>
      <c r="R15" s="335">
        <v>0.31875000000000003</v>
      </c>
      <c r="T15" s="333">
        <v>23</v>
      </c>
      <c r="U15" s="550" t="s">
        <v>83</v>
      </c>
      <c r="V15" s="551" t="s">
        <v>80</v>
      </c>
      <c r="W15" s="333" t="s">
        <v>79</v>
      </c>
      <c r="X15" s="333">
        <v>16</v>
      </c>
      <c r="Y15" s="336">
        <v>5.353472222222222</v>
      </c>
      <c r="Z15" s="333">
        <v>1</v>
      </c>
      <c r="AA15" s="333">
        <v>0</v>
      </c>
      <c r="AB15" s="333">
        <v>1</v>
      </c>
      <c r="AC15" s="333">
        <v>19</v>
      </c>
      <c r="AD15" s="581">
        <v>46143</v>
      </c>
      <c r="AE15" s="333">
        <v>0</v>
      </c>
      <c r="AF15" s="333">
        <v>0</v>
      </c>
      <c r="AG15" s="333">
        <v>0</v>
      </c>
      <c r="AH15" s="333">
        <v>0</v>
      </c>
      <c r="AI15" s="333">
        <v>0</v>
      </c>
      <c r="AJ15" s="333">
        <v>12</v>
      </c>
      <c r="AK15" s="335">
        <v>0.33402777777777781</v>
      </c>
      <c r="AM15" s="619">
        <v>23</v>
      </c>
      <c r="AN15" s="620" t="s">
        <v>83</v>
      </c>
      <c r="AO15" s="621" t="s">
        <v>80</v>
      </c>
      <c r="AP15" s="619" t="s">
        <v>79</v>
      </c>
      <c r="AQ15" s="619">
        <v>22</v>
      </c>
      <c r="AR15" s="622">
        <v>8.250694444444445</v>
      </c>
      <c r="AS15" s="619">
        <v>1</v>
      </c>
      <c r="AT15" s="619">
        <v>2</v>
      </c>
      <c r="AU15" s="623">
        <v>3</v>
      </c>
      <c r="AV15" s="619">
        <v>25</v>
      </c>
      <c r="AW15" s="619" t="s">
        <v>4491</v>
      </c>
      <c r="AX15" s="619">
        <v>0</v>
      </c>
      <c r="AY15" s="619">
        <v>1</v>
      </c>
      <c r="AZ15" s="619">
        <v>0</v>
      </c>
      <c r="BA15" s="619">
        <v>0</v>
      </c>
      <c r="BB15" s="619">
        <v>2</v>
      </c>
      <c r="BC15" s="619">
        <v>20</v>
      </c>
      <c r="BD15" s="624">
        <v>0.375</v>
      </c>
      <c r="BF15" s="619">
        <v>21</v>
      </c>
      <c r="BG15" s="620" t="s">
        <v>83</v>
      </c>
      <c r="BH15" s="621" t="s">
        <v>80</v>
      </c>
      <c r="BI15" s="619" t="s">
        <v>79</v>
      </c>
      <c r="BJ15" s="619">
        <v>38</v>
      </c>
      <c r="BK15" s="622">
        <v>14.322916666666666</v>
      </c>
      <c r="BL15" s="619">
        <v>2</v>
      </c>
      <c r="BM15" s="619">
        <v>3</v>
      </c>
      <c r="BN15" s="623">
        <v>5</v>
      </c>
      <c r="BO15" s="619">
        <v>32</v>
      </c>
      <c r="BP15" s="625">
        <v>45809</v>
      </c>
      <c r="BQ15" s="619">
        <v>0</v>
      </c>
      <c r="BR15" s="619">
        <v>1</v>
      </c>
      <c r="BS15" s="619">
        <v>0</v>
      </c>
      <c r="BT15" s="619">
        <v>0</v>
      </c>
      <c r="BU15" s="619">
        <v>2</v>
      </c>
      <c r="BV15" s="619">
        <v>30</v>
      </c>
      <c r="BW15" s="624">
        <v>0.37638888888888888</v>
      </c>
    </row>
    <row r="16" spans="1:75" ht="28.2" thickBot="1" x14ac:dyDescent="0.35">
      <c r="A16" s="333">
        <v>14</v>
      </c>
      <c r="B16" s="550" t="s">
        <v>4171</v>
      </c>
      <c r="C16" s="551" t="s">
        <v>80</v>
      </c>
      <c r="D16" s="333" t="s">
        <v>88</v>
      </c>
      <c r="E16" s="333">
        <v>14</v>
      </c>
      <c r="F16" s="336">
        <v>12.458333333333334</v>
      </c>
      <c r="G16" s="333">
        <v>0</v>
      </c>
      <c r="H16" s="333">
        <v>7</v>
      </c>
      <c r="I16" s="333">
        <v>7</v>
      </c>
      <c r="J16" s="333">
        <v>33</v>
      </c>
      <c r="K16" s="562">
        <f t="shared" si="0"/>
        <v>0</v>
      </c>
      <c r="L16" s="333">
        <v>0</v>
      </c>
      <c r="M16" s="333">
        <v>3</v>
      </c>
      <c r="N16" s="333">
        <v>0</v>
      </c>
      <c r="O16" s="333">
        <v>0</v>
      </c>
      <c r="P16" s="333">
        <v>3</v>
      </c>
      <c r="Q16" s="333">
        <v>8</v>
      </c>
      <c r="R16" s="335">
        <v>0.88958333333333339</v>
      </c>
      <c r="T16" s="333">
        <v>11</v>
      </c>
      <c r="U16" s="550" t="s">
        <v>4171</v>
      </c>
      <c r="V16" s="551" t="s">
        <v>80</v>
      </c>
      <c r="W16" s="333" t="s">
        <v>88</v>
      </c>
      <c r="X16" s="333">
        <v>28</v>
      </c>
      <c r="Y16" s="336">
        <v>24.419444444444448</v>
      </c>
      <c r="Z16" s="333">
        <v>1</v>
      </c>
      <c r="AA16" s="333">
        <v>9</v>
      </c>
      <c r="AB16" s="333">
        <v>10</v>
      </c>
      <c r="AC16" s="333">
        <v>55</v>
      </c>
      <c r="AD16" s="581">
        <v>29952</v>
      </c>
      <c r="AE16" s="333">
        <v>0</v>
      </c>
      <c r="AF16" s="333">
        <v>5</v>
      </c>
      <c r="AG16" s="333">
        <v>0</v>
      </c>
      <c r="AH16" s="333">
        <v>0</v>
      </c>
      <c r="AI16" s="333">
        <v>4</v>
      </c>
      <c r="AJ16" s="333">
        <v>20</v>
      </c>
      <c r="AK16" s="335">
        <v>0.87152777777777779</v>
      </c>
      <c r="AM16" s="619">
        <v>11</v>
      </c>
      <c r="AN16" s="620" t="s">
        <v>4171</v>
      </c>
      <c r="AO16" s="621" t="s">
        <v>80</v>
      </c>
      <c r="AP16" s="619" t="s">
        <v>88</v>
      </c>
      <c r="AQ16" s="619">
        <v>39</v>
      </c>
      <c r="AR16" s="622">
        <v>33.466666666666669</v>
      </c>
      <c r="AS16" s="619">
        <v>1</v>
      </c>
      <c r="AT16" s="619">
        <v>11</v>
      </c>
      <c r="AU16" s="623">
        <v>12</v>
      </c>
      <c r="AV16" s="619">
        <v>79</v>
      </c>
      <c r="AW16" s="625">
        <v>46388</v>
      </c>
      <c r="AX16" s="619">
        <v>0</v>
      </c>
      <c r="AY16" s="619">
        <v>6</v>
      </c>
      <c r="AZ16" s="619">
        <v>0</v>
      </c>
      <c r="BA16" s="619">
        <v>0</v>
      </c>
      <c r="BB16" s="619">
        <v>1</v>
      </c>
      <c r="BC16" s="619">
        <v>26</v>
      </c>
      <c r="BD16" s="624">
        <v>0.85763888888888884</v>
      </c>
      <c r="BF16" s="619">
        <v>10</v>
      </c>
      <c r="BG16" s="620" t="s">
        <v>4171</v>
      </c>
      <c r="BH16" s="621" t="s">
        <v>80</v>
      </c>
      <c r="BI16" s="619" t="s">
        <v>88</v>
      </c>
      <c r="BJ16" s="619">
        <v>56</v>
      </c>
      <c r="BK16" s="622">
        <v>45.530555555555559</v>
      </c>
      <c r="BL16" s="619">
        <v>2</v>
      </c>
      <c r="BM16" s="619">
        <v>15</v>
      </c>
      <c r="BN16" s="623">
        <v>17</v>
      </c>
      <c r="BO16" s="619">
        <v>99</v>
      </c>
      <c r="BP16" s="639">
        <v>44594</v>
      </c>
      <c r="BQ16" s="619">
        <v>1</v>
      </c>
      <c r="BR16" s="619">
        <v>7</v>
      </c>
      <c r="BS16" s="619">
        <v>0</v>
      </c>
      <c r="BT16" s="619">
        <v>0</v>
      </c>
      <c r="BU16" s="619">
        <v>2</v>
      </c>
      <c r="BV16" s="619">
        <v>30</v>
      </c>
      <c r="BW16" s="624">
        <v>0.8125</v>
      </c>
    </row>
    <row r="17" spans="1:75" ht="28.2" thickBot="1" x14ac:dyDescent="0.35">
      <c r="A17" s="333">
        <v>15</v>
      </c>
      <c r="B17" s="550" t="s">
        <v>4173</v>
      </c>
      <c r="C17" s="551" t="s">
        <v>80</v>
      </c>
      <c r="D17" s="333" t="s">
        <v>79</v>
      </c>
      <c r="E17" s="333">
        <v>1</v>
      </c>
      <c r="F17" s="335">
        <v>0.79375000000000007</v>
      </c>
      <c r="G17" s="333">
        <v>0</v>
      </c>
      <c r="H17" s="333">
        <v>0</v>
      </c>
      <c r="I17" s="333">
        <v>0</v>
      </c>
      <c r="J17" s="333">
        <v>2</v>
      </c>
      <c r="K17" s="562">
        <f t="shared" si="0"/>
        <v>0</v>
      </c>
      <c r="L17" s="333">
        <v>0</v>
      </c>
      <c r="M17" s="333">
        <v>0</v>
      </c>
      <c r="N17" s="333">
        <v>0</v>
      </c>
      <c r="O17" s="333">
        <v>0</v>
      </c>
      <c r="P17" s="333">
        <v>0</v>
      </c>
      <c r="Q17" s="333">
        <v>4</v>
      </c>
      <c r="R17" s="335">
        <v>0.79375000000000007</v>
      </c>
      <c r="T17" s="333">
        <v>22</v>
      </c>
      <c r="U17" s="550" t="s">
        <v>4173</v>
      </c>
      <c r="V17" s="551" t="s">
        <v>80</v>
      </c>
      <c r="W17" s="333" t="s">
        <v>79</v>
      </c>
      <c r="X17" s="333">
        <v>8</v>
      </c>
      <c r="Y17" s="336">
        <v>5.5020833333333341</v>
      </c>
      <c r="Z17" s="333">
        <v>1</v>
      </c>
      <c r="AA17" s="333">
        <v>0</v>
      </c>
      <c r="AB17" s="333">
        <v>1</v>
      </c>
      <c r="AC17" s="333">
        <v>10</v>
      </c>
      <c r="AD17" s="333" t="s">
        <v>121</v>
      </c>
      <c r="AE17" s="333">
        <v>0</v>
      </c>
      <c r="AF17" s="333">
        <v>0</v>
      </c>
      <c r="AG17" s="333">
        <v>0</v>
      </c>
      <c r="AH17" s="333">
        <v>0</v>
      </c>
      <c r="AI17" s="333">
        <v>-1</v>
      </c>
      <c r="AJ17" s="333">
        <v>4</v>
      </c>
      <c r="AK17" s="335">
        <v>0.6875</v>
      </c>
      <c r="AM17" s="619">
        <v>17</v>
      </c>
      <c r="AN17" s="620" t="s">
        <v>4173</v>
      </c>
      <c r="AO17" s="621" t="s">
        <v>80</v>
      </c>
      <c r="AP17" s="619" t="s">
        <v>79</v>
      </c>
      <c r="AQ17" s="619">
        <v>18</v>
      </c>
      <c r="AR17" s="622">
        <v>13.349305555555555</v>
      </c>
      <c r="AS17" s="619">
        <v>2</v>
      </c>
      <c r="AT17" s="619">
        <v>3</v>
      </c>
      <c r="AU17" s="623">
        <v>5</v>
      </c>
      <c r="AV17" s="619">
        <v>23</v>
      </c>
      <c r="AW17" s="625">
        <v>25781</v>
      </c>
      <c r="AX17" s="619">
        <v>0</v>
      </c>
      <c r="AY17" s="619">
        <v>2</v>
      </c>
      <c r="AZ17" s="619">
        <v>0</v>
      </c>
      <c r="BA17" s="619">
        <v>0</v>
      </c>
      <c r="BB17" s="619">
        <v>-3</v>
      </c>
      <c r="BC17" s="619">
        <v>8</v>
      </c>
      <c r="BD17" s="624">
        <v>0.74097222222222225</v>
      </c>
      <c r="BF17" s="619">
        <v>13</v>
      </c>
      <c r="BG17" s="620" t="s">
        <v>4173</v>
      </c>
      <c r="BH17" s="621" t="s">
        <v>80</v>
      </c>
      <c r="BI17" s="619" t="s">
        <v>79</v>
      </c>
      <c r="BJ17" s="619">
        <v>35</v>
      </c>
      <c r="BK17" s="622">
        <v>25.118750000000002</v>
      </c>
      <c r="BL17" s="619">
        <v>7</v>
      </c>
      <c r="BM17" s="619">
        <v>6</v>
      </c>
      <c r="BN17" s="623">
        <v>13</v>
      </c>
      <c r="BO17" s="619">
        <v>49</v>
      </c>
      <c r="BP17" s="619" t="s">
        <v>215</v>
      </c>
      <c r="BQ17" s="619">
        <v>1</v>
      </c>
      <c r="BR17" s="619">
        <v>3</v>
      </c>
      <c r="BS17" s="619">
        <v>0</v>
      </c>
      <c r="BT17" s="619">
        <v>0</v>
      </c>
      <c r="BU17" s="619">
        <v>-3</v>
      </c>
      <c r="BV17" s="619">
        <v>16</v>
      </c>
      <c r="BW17" s="624">
        <v>0.71736111111111101</v>
      </c>
    </row>
    <row r="18" spans="1:75" ht="27" customHeight="1" thickBot="1" x14ac:dyDescent="0.35">
      <c r="A18" s="333">
        <v>16</v>
      </c>
      <c r="B18" s="550" t="s">
        <v>4174</v>
      </c>
      <c r="C18" s="551" t="s">
        <v>80</v>
      </c>
      <c r="D18" s="333" t="s">
        <v>79</v>
      </c>
      <c r="E18" s="333">
        <v>4</v>
      </c>
      <c r="F18" s="336">
        <v>1.534027777777778</v>
      </c>
      <c r="G18" s="333">
        <v>0</v>
      </c>
      <c r="H18" s="333">
        <v>0</v>
      </c>
      <c r="I18" s="333">
        <v>0</v>
      </c>
      <c r="J18" s="333">
        <v>2</v>
      </c>
      <c r="K18" s="562">
        <f t="shared" si="0"/>
        <v>0</v>
      </c>
      <c r="L18" s="333">
        <v>0</v>
      </c>
      <c r="M18" s="333">
        <v>0</v>
      </c>
      <c r="N18" s="333">
        <v>0</v>
      </c>
      <c r="O18" s="333">
        <v>0</v>
      </c>
      <c r="P18" s="333">
        <v>-1</v>
      </c>
      <c r="Q18" s="333">
        <v>2</v>
      </c>
      <c r="R18" s="335">
        <v>0.3833333333333333</v>
      </c>
      <c r="T18" s="333">
        <v>15</v>
      </c>
      <c r="U18" s="550" t="s">
        <v>4174</v>
      </c>
      <c r="V18" s="551" t="s">
        <v>80</v>
      </c>
      <c r="W18" s="333" t="s">
        <v>79</v>
      </c>
      <c r="X18" s="333">
        <v>12</v>
      </c>
      <c r="Y18" s="336">
        <v>5.3562500000000002</v>
      </c>
      <c r="Z18" s="333">
        <v>1</v>
      </c>
      <c r="AA18" s="333">
        <v>4</v>
      </c>
      <c r="AB18" s="333">
        <v>5</v>
      </c>
      <c r="AC18" s="333">
        <v>7</v>
      </c>
      <c r="AD18" s="333" t="s">
        <v>215</v>
      </c>
      <c r="AE18" s="333">
        <v>0</v>
      </c>
      <c r="AF18" s="333">
        <v>0</v>
      </c>
      <c r="AG18" s="333">
        <v>0</v>
      </c>
      <c r="AH18" s="333">
        <v>0</v>
      </c>
      <c r="AI18" s="333">
        <v>2</v>
      </c>
      <c r="AJ18" s="333">
        <v>6</v>
      </c>
      <c r="AK18" s="335">
        <v>0.4458333333333333</v>
      </c>
      <c r="AM18" s="619">
        <v>18</v>
      </c>
      <c r="AN18" s="620" t="s">
        <v>4174</v>
      </c>
      <c r="AO18" s="621" t="s">
        <v>80</v>
      </c>
      <c r="AP18" s="619" t="s">
        <v>79</v>
      </c>
      <c r="AQ18" s="619">
        <v>12</v>
      </c>
      <c r="AR18" s="622">
        <v>5.3562500000000002</v>
      </c>
      <c r="AS18" s="619">
        <v>1</v>
      </c>
      <c r="AT18" s="619">
        <v>4</v>
      </c>
      <c r="AU18" s="623">
        <v>5</v>
      </c>
      <c r="AV18" s="619">
        <v>7</v>
      </c>
      <c r="AW18" s="619" t="s">
        <v>215</v>
      </c>
      <c r="AX18" s="619">
        <v>0</v>
      </c>
      <c r="AY18" s="619">
        <v>0</v>
      </c>
      <c r="AZ18" s="619">
        <v>0</v>
      </c>
      <c r="BA18" s="619">
        <v>0</v>
      </c>
      <c r="BB18" s="619">
        <v>2</v>
      </c>
      <c r="BC18" s="619">
        <v>6</v>
      </c>
      <c r="BD18" s="624">
        <v>0.4458333333333333</v>
      </c>
      <c r="BF18" s="619">
        <v>22</v>
      </c>
      <c r="BG18" s="620" t="s">
        <v>4174</v>
      </c>
      <c r="BH18" s="621" t="s">
        <v>80</v>
      </c>
      <c r="BI18" s="619" t="s">
        <v>79</v>
      </c>
      <c r="BJ18" s="619">
        <v>12</v>
      </c>
      <c r="BK18" s="656">
        <v>5.3562500000000002</v>
      </c>
      <c r="BL18" s="619">
        <v>1</v>
      </c>
      <c r="BM18" s="619">
        <v>4</v>
      </c>
      <c r="BN18" s="623">
        <v>5</v>
      </c>
      <c r="BO18" s="619">
        <v>7</v>
      </c>
      <c r="BP18" s="619" t="s">
        <v>215</v>
      </c>
      <c r="BQ18" s="619">
        <v>0</v>
      </c>
      <c r="BR18" s="619">
        <v>0</v>
      </c>
      <c r="BS18" s="619">
        <v>0</v>
      </c>
      <c r="BT18" s="619">
        <v>0</v>
      </c>
      <c r="BU18" s="619">
        <v>2</v>
      </c>
      <c r="BV18" s="619">
        <v>6</v>
      </c>
      <c r="BW18" s="624">
        <v>0.4458333333333333</v>
      </c>
    </row>
    <row r="19" spans="1:75" ht="28.2" thickBot="1" x14ac:dyDescent="0.35">
      <c r="A19" s="333">
        <v>17</v>
      </c>
      <c r="B19" s="550" t="s">
        <v>1224</v>
      </c>
      <c r="C19" s="551" t="s">
        <v>80</v>
      </c>
      <c r="D19" s="333" t="s">
        <v>88</v>
      </c>
      <c r="E19" s="333">
        <v>3</v>
      </c>
      <c r="F19" s="336">
        <v>1.0090277777777776</v>
      </c>
      <c r="G19" s="333">
        <v>0</v>
      </c>
      <c r="H19" s="333">
        <v>1</v>
      </c>
      <c r="I19" s="333">
        <v>1</v>
      </c>
      <c r="J19" s="333">
        <v>3</v>
      </c>
      <c r="K19" s="562">
        <f t="shared" si="0"/>
        <v>0</v>
      </c>
      <c r="L19" s="333">
        <v>0</v>
      </c>
      <c r="M19" s="333">
        <v>0</v>
      </c>
      <c r="N19" s="333">
        <v>0</v>
      </c>
      <c r="O19" s="333">
        <v>0</v>
      </c>
      <c r="P19" s="333">
        <v>-2</v>
      </c>
      <c r="Q19" s="333">
        <v>0</v>
      </c>
      <c r="R19" s="335">
        <v>0.33611111111111108</v>
      </c>
      <c r="T19" s="333">
        <v>18</v>
      </c>
      <c r="U19" s="550" t="s">
        <v>1224</v>
      </c>
      <c r="V19" s="551" t="s">
        <v>80</v>
      </c>
      <c r="W19" s="333" t="s">
        <v>88</v>
      </c>
      <c r="X19" s="333">
        <v>13</v>
      </c>
      <c r="Y19" s="336">
        <v>5.5861111111111112</v>
      </c>
      <c r="Z19" s="333">
        <v>1</v>
      </c>
      <c r="AA19" s="333">
        <v>3</v>
      </c>
      <c r="AB19" s="333">
        <v>4</v>
      </c>
      <c r="AC19" s="333">
        <v>9</v>
      </c>
      <c r="AD19" s="582">
        <v>44511</v>
      </c>
      <c r="AE19" s="333">
        <v>0</v>
      </c>
      <c r="AF19" s="333">
        <v>0</v>
      </c>
      <c r="AG19" s="333">
        <v>0</v>
      </c>
      <c r="AH19" s="333">
        <v>0</v>
      </c>
      <c r="AI19" s="333">
        <v>0</v>
      </c>
      <c r="AJ19" s="333">
        <v>0</v>
      </c>
      <c r="AK19" s="335">
        <v>0.4291666666666667</v>
      </c>
      <c r="AM19" s="619">
        <v>20</v>
      </c>
      <c r="AN19" s="620" t="s">
        <v>1224</v>
      </c>
      <c r="AO19" s="621" t="s">
        <v>80</v>
      </c>
      <c r="AP19" s="619" t="s">
        <v>88</v>
      </c>
      <c r="AQ19" s="619">
        <v>16</v>
      </c>
      <c r="AR19" s="622">
        <v>6.615277777777778</v>
      </c>
      <c r="AS19" s="619">
        <v>1</v>
      </c>
      <c r="AT19" s="619">
        <v>3</v>
      </c>
      <c r="AU19" s="623">
        <v>4</v>
      </c>
      <c r="AV19" s="619">
        <v>13</v>
      </c>
      <c r="AW19" s="625">
        <v>25385</v>
      </c>
      <c r="AX19" s="619">
        <v>0</v>
      </c>
      <c r="AY19" s="619">
        <v>0</v>
      </c>
      <c r="AZ19" s="619">
        <v>0</v>
      </c>
      <c r="BA19" s="619">
        <v>0</v>
      </c>
      <c r="BB19" s="619">
        <v>-1</v>
      </c>
      <c r="BC19" s="619">
        <v>0</v>
      </c>
      <c r="BD19" s="624">
        <v>0.41319444444444442</v>
      </c>
      <c r="BF19" s="619">
        <v>23</v>
      </c>
      <c r="BG19" s="620" t="s">
        <v>1224</v>
      </c>
      <c r="BH19" s="621" t="s">
        <v>80</v>
      </c>
      <c r="BI19" s="619" t="s">
        <v>88</v>
      </c>
      <c r="BJ19" s="619">
        <v>19</v>
      </c>
      <c r="BK19" s="622">
        <v>7.4305555555555562</v>
      </c>
      <c r="BL19" s="619">
        <v>1</v>
      </c>
      <c r="BM19" s="619">
        <v>3</v>
      </c>
      <c r="BN19" s="623">
        <v>4</v>
      </c>
      <c r="BO19" s="619">
        <v>14</v>
      </c>
      <c r="BP19" s="625">
        <v>41821</v>
      </c>
      <c r="BQ19" s="619">
        <v>0</v>
      </c>
      <c r="BR19" s="619">
        <v>0</v>
      </c>
      <c r="BS19" s="619">
        <v>0</v>
      </c>
      <c r="BT19" s="619">
        <v>0</v>
      </c>
      <c r="BU19" s="619">
        <v>-1</v>
      </c>
      <c r="BV19" s="619">
        <v>0</v>
      </c>
      <c r="BW19" s="624">
        <v>0.39097222222222222</v>
      </c>
    </row>
    <row r="20" spans="1:75" ht="28.2" thickBot="1" x14ac:dyDescent="0.35">
      <c r="A20" s="333">
        <v>18</v>
      </c>
      <c r="B20" s="550" t="s">
        <v>115</v>
      </c>
      <c r="C20" s="551" t="s">
        <v>80</v>
      </c>
      <c r="D20" s="333" t="s">
        <v>79</v>
      </c>
      <c r="E20" s="333">
        <v>3</v>
      </c>
      <c r="F20" s="335">
        <v>0.83750000000000002</v>
      </c>
      <c r="G20" s="333">
        <v>0</v>
      </c>
      <c r="H20" s="333">
        <v>0</v>
      </c>
      <c r="I20" s="333">
        <v>0</v>
      </c>
      <c r="J20" s="333">
        <v>2</v>
      </c>
      <c r="K20" s="562">
        <f t="shared" si="0"/>
        <v>0</v>
      </c>
      <c r="L20" s="333">
        <v>0</v>
      </c>
      <c r="M20" s="333">
        <v>0</v>
      </c>
      <c r="N20" s="333">
        <v>0</v>
      </c>
      <c r="O20" s="333">
        <v>0</v>
      </c>
      <c r="P20" s="333">
        <v>1</v>
      </c>
      <c r="Q20" s="333">
        <v>0</v>
      </c>
      <c r="R20" s="335">
        <v>0.27916666666666667</v>
      </c>
      <c r="T20" s="333">
        <v>24</v>
      </c>
      <c r="U20" s="550" t="s">
        <v>115</v>
      </c>
      <c r="V20" s="551" t="s">
        <v>80</v>
      </c>
      <c r="W20" s="333" t="s">
        <v>79</v>
      </c>
      <c r="X20" s="333">
        <v>5</v>
      </c>
      <c r="Y20" s="336">
        <v>1.6444444444444446</v>
      </c>
      <c r="Z20" s="333">
        <v>0</v>
      </c>
      <c r="AA20" s="333">
        <v>1</v>
      </c>
      <c r="AB20" s="333">
        <v>1</v>
      </c>
      <c r="AC20" s="333">
        <v>2</v>
      </c>
      <c r="AD20" s="333" t="s">
        <v>78</v>
      </c>
      <c r="AE20" s="333">
        <v>0</v>
      </c>
      <c r="AF20" s="333">
        <v>0</v>
      </c>
      <c r="AG20" s="333">
        <v>0</v>
      </c>
      <c r="AH20" s="333">
        <v>0</v>
      </c>
      <c r="AI20" s="333">
        <v>1</v>
      </c>
      <c r="AJ20" s="333">
        <v>2</v>
      </c>
      <c r="AK20" s="335">
        <v>0.32847222222222222</v>
      </c>
      <c r="AM20" s="619">
        <v>28</v>
      </c>
      <c r="AN20" s="620" t="s">
        <v>115</v>
      </c>
      <c r="AO20" s="621" t="s">
        <v>80</v>
      </c>
      <c r="AP20" s="619" t="s">
        <v>79</v>
      </c>
      <c r="AQ20" s="619">
        <v>8</v>
      </c>
      <c r="AR20" s="622">
        <v>2.7333333333333329</v>
      </c>
      <c r="AS20" s="619">
        <v>0</v>
      </c>
      <c r="AT20" s="619">
        <v>2</v>
      </c>
      <c r="AU20" s="623">
        <v>2</v>
      </c>
      <c r="AV20" s="619">
        <v>2</v>
      </c>
      <c r="AW20" s="619" t="s">
        <v>78</v>
      </c>
      <c r="AX20" s="619">
        <v>0</v>
      </c>
      <c r="AY20" s="619">
        <v>0</v>
      </c>
      <c r="AZ20" s="619">
        <v>0</v>
      </c>
      <c r="BA20" s="619">
        <v>0</v>
      </c>
      <c r="BB20" s="619">
        <v>3</v>
      </c>
      <c r="BC20" s="619">
        <v>2</v>
      </c>
      <c r="BD20" s="624">
        <v>0.34166666666666662</v>
      </c>
      <c r="BF20" s="619">
        <v>29</v>
      </c>
      <c r="BG20" s="620" t="s">
        <v>115</v>
      </c>
      <c r="BH20" s="621" t="s">
        <v>80</v>
      </c>
      <c r="BI20" s="619" t="s">
        <v>79</v>
      </c>
      <c r="BJ20" s="619">
        <v>10</v>
      </c>
      <c r="BK20" s="622">
        <v>3.3715277777777781</v>
      </c>
      <c r="BL20" s="619">
        <v>0</v>
      </c>
      <c r="BM20" s="619">
        <v>2</v>
      </c>
      <c r="BN20" s="623">
        <v>2</v>
      </c>
      <c r="BO20" s="619">
        <v>2</v>
      </c>
      <c r="BP20" s="619" t="s">
        <v>78</v>
      </c>
      <c r="BQ20" s="619">
        <v>0</v>
      </c>
      <c r="BR20" s="619">
        <v>0</v>
      </c>
      <c r="BS20" s="619">
        <v>0</v>
      </c>
      <c r="BT20" s="619">
        <v>0</v>
      </c>
      <c r="BU20" s="619">
        <v>1</v>
      </c>
      <c r="BV20" s="619">
        <v>2</v>
      </c>
      <c r="BW20" s="624">
        <v>0.33680555555555558</v>
      </c>
    </row>
    <row r="21" spans="1:75" ht="28.2" thickBot="1" x14ac:dyDescent="0.35">
      <c r="A21" s="333">
        <v>19</v>
      </c>
      <c r="B21" s="550" t="s">
        <v>4034</v>
      </c>
      <c r="C21" s="551" t="s">
        <v>80</v>
      </c>
      <c r="D21" s="333" t="s">
        <v>88</v>
      </c>
      <c r="E21" s="333">
        <v>14</v>
      </c>
      <c r="F21" s="336">
        <v>9.8638888888888889</v>
      </c>
      <c r="G21" s="333">
        <v>1</v>
      </c>
      <c r="H21" s="333">
        <v>3</v>
      </c>
      <c r="I21" s="333">
        <v>4</v>
      </c>
      <c r="J21" s="333">
        <v>21</v>
      </c>
      <c r="K21" s="562">
        <f t="shared" si="0"/>
        <v>4.7619047619047619</v>
      </c>
      <c r="L21" s="333">
        <v>0</v>
      </c>
      <c r="M21" s="333">
        <v>0</v>
      </c>
      <c r="N21" s="333">
        <v>0</v>
      </c>
      <c r="O21" s="333">
        <v>0</v>
      </c>
      <c r="P21" s="333">
        <v>-3</v>
      </c>
      <c r="Q21" s="333">
        <v>4</v>
      </c>
      <c r="R21" s="335">
        <v>0.70416666666666661</v>
      </c>
      <c r="T21" s="333">
        <v>6</v>
      </c>
      <c r="U21" s="550" t="s">
        <v>4034</v>
      </c>
      <c r="V21" s="551" t="s">
        <v>80</v>
      </c>
      <c r="W21" s="333" t="s">
        <v>88</v>
      </c>
      <c r="X21" s="333">
        <v>28</v>
      </c>
      <c r="Y21" s="336">
        <v>18.290277777777778</v>
      </c>
      <c r="Z21" s="333">
        <v>4</v>
      </c>
      <c r="AA21" s="333">
        <v>9</v>
      </c>
      <c r="AB21" s="333">
        <v>13</v>
      </c>
      <c r="AC21" s="333">
        <v>37</v>
      </c>
      <c r="AD21" s="581">
        <v>29860</v>
      </c>
      <c r="AE21" s="333">
        <v>0</v>
      </c>
      <c r="AF21" s="333">
        <v>0</v>
      </c>
      <c r="AG21" s="333">
        <v>1</v>
      </c>
      <c r="AH21" s="333">
        <v>1</v>
      </c>
      <c r="AI21" s="333">
        <v>-1</v>
      </c>
      <c r="AJ21" s="333">
        <v>14</v>
      </c>
      <c r="AK21" s="335">
        <v>0.65277777777777779</v>
      </c>
      <c r="AM21" s="619">
        <v>9</v>
      </c>
      <c r="AN21" s="620" t="s">
        <v>4034</v>
      </c>
      <c r="AO21" s="621" t="s">
        <v>80</v>
      </c>
      <c r="AP21" s="619" t="s">
        <v>88</v>
      </c>
      <c r="AQ21" s="619">
        <v>39</v>
      </c>
      <c r="AR21" s="622">
        <v>24.884722222222223</v>
      </c>
      <c r="AS21" s="619">
        <v>4</v>
      </c>
      <c r="AT21" s="619">
        <v>11</v>
      </c>
      <c r="AU21" s="623">
        <v>15</v>
      </c>
      <c r="AV21" s="619">
        <v>46</v>
      </c>
      <c r="AW21" s="625">
        <v>25781</v>
      </c>
      <c r="AX21" s="619">
        <v>0</v>
      </c>
      <c r="AY21" s="619">
        <v>0</v>
      </c>
      <c r="AZ21" s="619">
        <v>1</v>
      </c>
      <c r="BA21" s="619">
        <v>1</v>
      </c>
      <c r="BB21" s="619">
        <v>-2</v>
      </c>
      <c r="BC21" s="619">
        <v>18</v>
      </c>
      <c r="BD21" s="624">
        <v>0.63750000000000007</v>
      </c>
      <c r="BF21" s="619">
        <v>9</v>
      </c>
      <c r="BG21" s="620" t="s">
        <v>4034</v>
      </c>
      <c r="BH21" s="621" t="s">
        <v>80</v>
      </c>
      <c r="BI21" s="619" t="s">
        <v>88</v>
      </c>
      <c r="BJ21" s="619">
        <v>56</v>
      </c>
      <c r="BK21" s="622">
        <v>38.468055555555559</v>
      </c>
      <c r="BL21" s="619">
        <v>4</v>
      </c>
      <c r="BM21" s="619">
        <v>14</v>
      </c>
      <c r="BN21" s="623">
        <v>18</v>
      </c>
      <c r="BO21" s="619">
        <v>70</v>
      </c>
      <c r="BP21" s="625">
        <v>26054</v>
      </c>
      <c r="BQ21" s="619">
        <v>0</v>
      </c>
      <c r="BR21" s="619">
        <v>0</v>
      </c>
      <c r="BS21" s="619">
        <v>1</v>
      </c>
      <c r="BT21" s="619">
        <v>1</v>
      </c>
      <c r="BU21" s="619">
        <v>-2</v>
      </c>
      <c r="BV21" s="619">
        <v>30</v>
      </c>
      <c r="BW21" s="624">
        <v>0.68680555555555556</v>
      </c>
    </row>
    <row r="22" spans="1:75" ht="28.2" thickBot="1" x14ac:dyDescent="0.35">
      <c r="A22" s="333">
        <v>20</v>
      </c>
      <c r="B22" s="550" t="s">
        <v>4031</v>
      </c>
      <c r="C22" s="551" t="s">
        <v>80</v>
      </c>
      <c r="D22" s="333" t="s">
        <v>79</v>
      </c>
      <c r="E22" s="333">
        <v>14</v>
      </c>
      <c r="F22" s="336">
        <v>10.344444444444445</v>
      </c>
      <c r="G22" s="333">
        <v>6</v>
      </c>
      <c r="H22" s="333">
        <v>8</v>
      </c>
      <c r="I22" s="333">
        <v>14</v>
      </c>
      <c r="J22" s="333">
        <v>31</v>
      </c>
      <c r="K22" s="562">
        <f t="shared" si="0"/>
        <v>19.35483870967742</v>
      </c>
      <c r="L22" s="333">
        <v>1</v>
      </c>
      <c r="M22" s="333">
        <v>3</v>
      </c>
      <c r="N22" s="333">
        <v>0</v>
      </c>
      <c r="O22" s="333">
        <v>3</v>
      </c>
      <c r="P22" s="333">
        <v>6</v>
      </c>
      <c r="Q22" s="333">
        <v>2</v>
      </c>
      <c r="R22" s="335">
        <v>0.73888888888888893</v>
      </c>
      <c r="T22" s="333">
        <v>1</v>
      </c>
      <c r="U22" s="550" t="s">
        <v>4031</v>
      </c>
      <c r="V22" s="551" t="s">
        <v>80</v>
      </c>
      <c r="W22" s="333" t="s">
        <v>79</v>
      </c>
      <c r="X22" s="333">
        <v>28</v>
      </c>
      <c r="Y22" s="336">
        <v>20.461111111111112</v>
      </c>
      <c r="Z22" s="333">
        <v>11</v>
      </c>
      <c r="AA22" s="333">
        <v>13</v>
      </c>
      <c r="AB22" s="333">
        <v>24</v>
      </c>
      <c r="AC22" s="333">
        <v>64</v>
      </c>
      <c r="AD22" s="333" t="s">
        <v>2263</v>
      </c>
      <c r="AE22" s="333">
        <v>1</v>
      </c>
      <c r="AF22" s="333">
        <v>7</v>
      </c>
      <c r="AG22" s="333">
        <v>0</v>
      </c>
      <c r="AH22" s="333">
        <v>5</v>
      </c>
      <c r="AI22" s="333">
        <v>3</v>
      </c>
      <c r="AJ22" s="333">
        <v>4</v>
      </c>
      <c r="AK22" s="335">
        <v>0.73055555555555562</v>
      </c>
      <c r="AM22" s="619">
        <v>2</v>
      </c>
      <c r="AN22" s="620" t="s">
        <v>4031</v>
      </c>
      <c r="AO22" s="621" t="s">
        <v>80</v>
      </c>
      <c r="AP22" s="619" t="s">
        <v>79</v>
      </c>
      <c r="AQ22" s="619">
        <v>31</v>
      </c>
      <c r="AR22" s="622">
        <v>22.827777777777779</v>
      </c>
      <c r="AS22" s="619">
        <v>12</v>
      </c>
      <c r="AT22" s="619">
        <v>14</v>
      </c>
      <c r="AU22" s="623">
        <v>26</v>
      </c>
      <c r="AV22" s="619">
        <v>72</v>
      </c>
      <c r="AW22" s="619" t="s">
        <v>1367</v>
      </c>
      <c r="AX22" s="619">
        <v>1</v>
      </c>
      <c r="AY22" s="619">
        <v>7</v>
      </c>
      <c r="AZ22" s="619">
        <v>0</v>
      </c>
      <c r="BA22" s="619">
        <v>4</v>
      </c>
      <c r="BB22" s="619">
        <v>3</v>
      </c>
      <c r="BC22" s="619">
        <v>4</v>
      </c>
      <c r="BD22" s="624">
        <v>0.73611111111111116</v>
      </c>
      <c r="BF22" s="619">
        <v>2</v>
      </c>
      <c r="BG22" s="620" t="s">
        <v>4031</v>
      </c>
      <c r="BH22" s="621" t="s">
        <v>80</v>
      </c>
      <c r="BI22" s="619" t="s">
        <v>79</v>
      </c>
      <c r="BJ22" s="619">
        <v>48</v>
      </c>
      <c r="BK22" s="622">
        <v>37.213194444444447</v>
      </c>
      <c r="BL22" s="619">
        <v>20</v>
      </c>
      <c r="BM22" s="619">
        <v>22</v>
      </c>
      <c r="BN22" s="623">
        <v>42</v>
      </c>
      <c r="BO22" s="619">
        <v>128</v>
      </c>
      <c r="BP22" s="619" t="s">
        <v>2056</v>
      </c>
      <c r="BQ22" s="619">
        <v>4</v>
      </c>
      <c r="BR22" s="619">
        <v>11</v>
      </c>
      <c r="BS22" s="619">
        <v>0</v>
      </c>
      <c r="BT22" s="619">
        <v>4</v>
      </c>
      <c r="BU22" s="619">
        <v>-1</v>
      </c>
      <c r="BV22" s="619">
        <v>6</v>
      </c>
      <c r="BW22" s="624">
        <v>0.77500000000000002</v>
      </c>
    </row>
    <row r="23" spans="1:75" ht="28.2" thickBot="1" x14ac:dyDescent="0.35">
      <c r="A23" s="333">
        <v>21</v>
      </c>
      <c r="B23" s="550" t="s">
        <v>3622</v>
      </c>
      <c r="C23" s="551" t="s">
        <v>80</v>
      </c>
      <c r="D23" s="333" t="s">
        <v>79</v>
      </c>
      <c r="E23" s="333">
        <v>7</v>
      </c>
      <c r="F23" s="336">
        <v>2.9506944444444443</v>
      </c>
      <c r="G23" s="333">
        <v>2</v>
      </c>
      <c r="H23" s="333">
        <v>0</v>
      </c>
      <c r="I23" s="333">
        <v>2</v>
      </c>
      <c r="J23" s="333">
        <v>11</v>
      </c>
      <c r="K23" s="562">
        <f t="shared" si="0"/>
        <v>18.181818181818183</v>
      </c>
      <c r="L23" s="333">
        <v>0</v>
      </c>
      <c r="M23" s="333">
        <v>0</v>
      </c>
      <c r="N23" s="333">
        <v>0</v>
      </c>
      <c r="O23" s="333">
        <v>0</v>
      </c>
      <c r="P23" s="333">
        <v>-1</v>
      </c>
      <c r="Q23" s="333">
        <v>4</v>
      </c>
      <c r="R23" s="335">
        <v>0.42152777777777778</v>
      </c>
      <c r="T23" s="333">
        <v>17</v>
      </c>
      <c r="U23" s="550" t="s">
        <v>3622</v>
      </c>
      <c r="V23" s="551" t="s">
        <v>80</v>
      </c>
      <c r="W23" s="333" t="s">
        <v>79</v>
      </c>
      <c r="X23" s="333">
        <v>20</v>
      </c>
      <c r="Y23" s="336">
        <v>9.1951388888888896</v>
      </c>
      <c r="Z23" s="333">
        <v>3</v>
      </c>
      <c r="AA23" s="333">
        <v>1</v>
      </c>
      <c r="AB23" s="333">
        <v>4</v>
      </c>
      <c r="AC23" s="333">
        <v>27</v>
      </c>
      <c r="AD23" s="582">
        <v>44511</v>
      </c>
      <c r="AE23" s="333">
        <v>0</v>
      </c>
      <c r="AF23" s="333">
        <v>0</v>
      </c>
      <c r="AG23" s="333">
        <v>0</v>
      </c>
      <c r="AH23" s="333">
        <v>0</v>
      </c>
      <c r="AI23" s="333">
        <v>-2</v>
      </c>
      <c r="AJ23" s="333">
        <v>8</v>
      </c>
      <c r="AK23" s="335">
        <v>0.4597222222222222</v>
      </c>
      <c r="AM23" s="619">
        <v>14</v>
      </c>
      <c r="AN23" s="620" t="s">
        <v>3622</v>
      </c>
      <c r="AO23" s="621" t="s">
        <v>80</v>
      </c>
      <c r="AP23" s="619" t="s">
        <v>79</v>
      </c>
      <c r="AQ23" s="619">
        <v>31</v>
      </c>
      <c r="AR23" s="622">
        <v>13.40486111111111</v>
      </c>
      <c r="AS23" s="619">
        <v>5</v>
      </c>
      <c r="AT23" s="619">
        <v>1</v>
      </c>
      <c r="AU23" s="623">
        <v>6</v>
      </c>
      <c r="AV23" s="619">
        <v>35</v>
      </c>
      <c r="AW23" s="619" t="s">
        <v>215</v>
      </c>
      <c r="AX23" s="619">
        <v>0</v>
      </c>
      <c r="AY23" s="619">
        <v>0</v>
      </c>
      <c r="AZ23" s="619">
        <v>0</v>
      </c>
      <c r="BA23" s="619">
        <v>0</v>
      </c>
      <c r="BB23" s="619">
        <v>0</v>
      </c>
      <c r="BC23" s="619">
        <v>10</v>
      </c>
      <c r="BD23" s="624">
        <v>0.43194444444444446</v>
      </c>
      <c r="BF23" s="619">
        <v>15</v>
      </c>
      <c r="BG23" s="620" t="s">
        <v>3622</v>
      </c>
      <c r="BH23" s="621" t="s">
        <v>80</v>
      </c>
      <c r="BI23" s="619" t="s">
        <v>79</v>
      </c>
      <c r="BJ23" s="619">
        <v>45</v>
      </c>
      <c r="BK23" s="622">
        <v>21.595138888888886</v>
      </c>
      <c r="BL23" s="619">
        <v>7</v>
      </c>
      <c r="BM23" s="619">
        <v>2</v>
      </c>
      <c r="BN23" s="623">
        <v>9</v>
      </c>
      <c r="BO23" s="619">
        <v>54</v>
      </c>
      <c r="BP23" s="625">
        <v>35400</v>
      </c>
      <c r="BQ23" s="619">
        <v>0</v>
      </c>
      <c r="BR23" s="619">
        <v>0</v>
      </c>
      <c r="BS23" s="619">
        <v>0</v>
      </c>
      <c r="BT23" s="619">
        <v>0</v>
      </c>
      <c r="BU23" s="619">
        <v>-5</v>
      </c>
      <c r="BV23" s="619">
        <v>41</v>
      </c>
      <c r="BW23" s="624">
        <v>0.47986111111111113</v>
      </c>
    </row>
    <row r="24" spans="1:75" ht="28.2" thickBot="1" x14ac:dyDescent="0.35">
      <c r="A24" s="333">
        <v>22</v>
      </c>
      <c r="B24" s="550" t="s">
        <v>4068</v>
      </c>
      <c r="C24" s="551" t="s">
        <v>80</v>
      </c>
      <c r="D24" s="333" t="s">
        <v>79</v>
      </c>
      <c r="E24" s="333">
        <v>13</v>
      </c>
      <c r="F24" s="336">
        <v>10.163194444444445</v>
      </c>
      <c r="G24" s="333">
        <v>3</v>
      </c>
      <c r="H24" s="333">
        <v>2</v>
      </c>
      <c r="I24" s="333">
        <v>5</v>
      </c>
      <c r="J24" s="333">
        <v>35</v>
      </c>
      <c r="K24" s="562">
        <f t="shared" si="0"/>
        <v>8.5714285714285712</v>
      </c>
      <c r="L24" s="333">
        <v>1</v>
      </c>
      <c r="M24" s="333">
        <v>1</v>
      </c>
      <c r="N24" s="333">
        <v>1</v>
      </c>
      <c r="O24" s="333">
        <v>1</v>
      </c>
      <c r="P24" s="333">
        <v>0</v>
      </c>
      <c r="Q24" s="333">
        <v>10</v>
      </c>
      <c r="R24" s="335">
        <v>0.78125</v>
      </c>
      <c r="T24" s="333">
        <v>8</v>
      </c>
      <c r="U24" s="550" t="s">
        <v>4068</v>
      </c>
      <c r="V24" s="551" t="s">
        <v>80</v>
      </c>
      <c r="W24" s="333" t="s">
        <v>79</v>
      </c>
      <c r="X24" s="333">
        <v>27</v>
      </c>
      <c r="Y24" s="336">
        <v>20.990972222222222</v>
      </c>
      <c r="Z24" s="333">
        <v>3</v>
      </c>
      <c r="AA24" s="333">
        <v>9</v>
      </c>
      <c r="AB24" s="333">
        <v>12</v>
      </c>
      <c r="AC24" s="333">
        <v>59</v>
      </c>
      <c r="AD24" s="582">
        <v>44413</v>
      </c>
      <c r="AE24" s="333">
        <v>1</v>
      </c>
      <c r="AF24" s="333">
        <v>1</v>
      </c>
      <c r="AG24" s="333">
        <v>1</v>
      </c>
      <c r="AH24" s="333">
        <v>1</v>
      </c>
      <c r="AI24" s="333">
        <v>-7</v>
      </c>
      <c r="AJ24" s="333">
        <v>12</v>
      </c>
      <c r="AK24" s="335">
        <v>0.77708333333333324</v>
      </c>
      <c r="AM24" s="619">
        <v>8</v>
      </c>
      <c r="AN24" s="620" t="s">
        <v>4068</v>
      </c>
      <c r="AO24" s="621" t="s">
        <v>80</v>
      </c>
      <c r="AP24" s="619" t="s">
        <v>79</v>
      </c>
      <c r="AQ24" s="619">
        <v>38</v>
      </c>
      <c r="AR24" s="622">
        <v>29.130555555555556</v>
      </c>
      <c r="AS24" s="619">
        <v>7</v>
      </c>
      <c r="AT24" s="619">
        <v>9</v>
      </c>
      <c r="AU24" s="623">
        <v>16</v>
      </c>
      <c r="AV24" s="619">
        <v>85</v>
      </c>
      <c r="AW24" s="625">
        <v>45505</v>
      </c>
      <c r="AX24" s="619">
        <v>1</v>
      </c>
      <c r="AY24" s="619">
        <v>1</v>
      </c>
      <c r="AZ24" s="619">
        <v>1</v>
      </c>
      <c r="BA24" s="619">
        <v>2</v>
      </c>
      <c r="BB24" s="619">
        <v>-10</v>
      </c>
      <c r="BC24" s="619">
        <v>14</v>
      </c>
      <c r="BD24" s="624">
        <v>0.76597222222222217</v>
      </c>
      <c r="BF24" s="619">
        <v>8</v>
      </c>
      <c r="BG24" s="620" t="s">
        <v>4068</v>
      </c>
      <c r="BH24" s="621" t="s">
        <v>80</v>
      </c>
      <c r="BI24" s="619" t="s">
        <v>79</v>
      </c>
      <c r="BJ24" s="619">
        <v>55</v>
      </c>
      <c r="BK24" s="622">
        <v>42.430555555555557</v>
      </c>
      <c r="BL24" s="619">
        <v>9</v>
      </c>
      <c r="BM24" s="619">
        <v>12</v>
      </c>
      <c r="BN24" s="623">
        <v>21</v>
      </c>
      <c r="BO24" s="619">
        <v>126</v>
      </c>
      <c r="BP24" s="625">
        <v>41821</v>
      </c>
      <c r="BQ24" s="619">
        <v>2</v>
      </c>
      <c r="BR24" s="619">
        <v>2</v>
      </c>
      <c r="BS24" s="619">
        <v>1</v>
      </c>
      <c r="BT24" s="619">
        <v>2</v>
      </c>
      <c r="BU24" s="619">
        <v>-17</v>
      </c>
      <c r="BV24" s="619">
        <v>20</v>
      </c>
      <c r="BW24" s="624">
        <v>0.77083333333333337</v>
      </c>
    </row>
    <row r="25" spans="1:75" ht="28.2" thickBot="1" x14ac:dyDescent="0.35">
      <c r="A25" s="333">
        <v>23</v>
      </c>
      <c r="B25" s="550" t="s">
        <v>1176</v>
      </c>
      <c r="C25" s="551" t="s">
        <v>80</v>
      </c>
      <c r="D25" s="333" t="s">
        <v>79</v>
      </c>
      <c r="E25" s="333">
        <v>2</v>
      </c>
      <c r="F25" s="335">
        <v>0.82708333333333339</v>
      </c>
      <c r="G25" s="333">
        <v>0</v>
      </c>
      <c r="H25" s="333">
        <v>2</v>
      </c>
      <c r="I25" s="333">
        <v>2</v>
      </c>
      <c r="J25" s="333">
        <v>0</v>
      </c>
      <c r="K25" s="562">
        <v>0</v>
      </c>
      <c r="L25" s="333">
        <v>0</v>
      </c>
      <c r="M25" s="333">
        <v>0</v>
      </c>
      <c r="N25" s="333">
        <v>0</v>
      </c>
      <c r="O25" s="333">
        <v>0</v>
      </c>
      <c r="P25" s="333">
        <v>2</v>
      </c>
      <c r="Q25" s="333">
        <v>0</v>
      </c>
      <c r="R25" s="335">
        <v>0.41319444444444442</v>
      </c>
      <c r="T25" s="333">
        <v>16</v>
      </c>
      <c r="U25" s="550" t="s">
        <v>1176</v>
      </c>
      <c r="V25" s="551" t="s">
        <v>80</v>
      </c>
      <c r="W25" s="333" t="s">
        <v>79</v>
      </c>
      <c r="X25" s="333">
        <v>13</v>
      </c>
      <c r="Y25" s="336">
        <v>5.2027777777777775</v>
      </c>
      <c r="Z25" s="333">
        <v>1</v>
      </c>
      <c r="AA25" s="333">
        <v>4</v>
      </c>
      <c r="AB25" s="333">
        <v>5</v>
      </c>
      <c r="AC25" s="333">
        <v>12</v>
      </c>
      <c r="AD25" s="581">
        <v>12267</v>
      </c>
      <c r="AE25" s="333">
        <v>0</v>
      </c>
      <c r="AF25" s="333">
        <v>0</v>
      </c>
      <c r="AG25" s="333">
        <v>0</v>
      </c>
      <c r="AH25" s="333">
        <v>0</v>
      </c>
      <c r="AI25" s="333">
        <v>7</v>
      </c>
      <c r="AJ25" s="333">
        <v>2</v>
      </c>
      <c r="AK25" s="335">
        <v>0.39999999999999997</v>
      </c>
      <c r="AM25" s="619">
        <v>15</v>
      </c>
      <c r="AN25" s="620" t="s">
        <v>1176</v>
      </c>
      <c r="AO25" s="621" t="s">
        <v>80</v>
      </c>
      <c r="AP25" s="619" t="s">
        <v>79</v>
      </c>
      <c r="AQ25" s="619">
        <v>22</v>
      </c>
      <c r="AR25" s="622">
        <v>9.2256944444444446</v>
      </c>
      <c r="AS25" s="619">
        <v>2</v>
      </c>
      <c r="AT25" s="619">
        <v>4</v>
      </c>
      <c r="AU25" s="623">
        <v>6</v>
      </c>
      <c r="AV25" s="619">
        <v>17</v>
      </c>
      <c r="AW25" s="625">
        <v>28065</v>
      </c>
      <c r="AX25" s="619">
        <v>0</v>
      </c>
      <c r="AY25" s="619">
        <v>0</v>
      </c>
      <c r="AZ25" s="619">
        <v>0</v>
      </c>
      <c r="BA25" s="619">
        <v>0</v>
      </c>
      <c r="BB25" s="619">
        <v>7</v>
      </c>
      <c r="BC25" s="619">
        <v>2</v>
      </c>
      <c r="BD25" s="624">
        <v>0.41875000000000001</v>
      </c>
      <c r="BF25" s="619">
        <v>14</v>
      </c>
      <c r="BG25" s="620" t="s">
        <v>1176</v>
      </c>
      <c r="BH25" s="621" t="s">
        <v>80</v>
      </c>
      <c r="BI25" s="619" t="s">
        <v>79</v>
      </c>
      <c r="BJ25" s="619">
        <v>34</v>
      </c>
      <c r="BK25" s="622">
        <v>14.852777777777776</v>
      </c>
      <c r="BL25" s="619">
        <v>4</v>
      </c>
      <c r="BM25" s="619">
        <v>7</v>
      </c>
      <c r="BN25" s="623">
        <v>11</v>
      </c>
      <c r="BO25" s="619">
        <v>28</v>
      </c>
      <c r="BP25" s="619" t="s">
        <v>215</v>
      </c>
      <c r="BQ25" s="619">
        <v>0</v>
      </c>
      <c r="BR25" s="619">
        <v>0</v>
      </c>
      <c r="BS25" s="619">
        <v>0</v>
      </c>
      <c r="BT25" s="619">
        <v>1</v>
      </c>
      <c r="BU25" s="619">
        <v>12</v>
      </c>
      <c r="BV25" s="619">
        <v>2</v>
      </c>
      <c r="BW25" s="624">
        <v>0.4368055555555555</v>
      </c>
    </row>
    <row r="26" spans="1:75" ht="28.2" thickBot="1" x14ac:dyDescent="0.35">
      <c r="A26" s="333">
        <v>24</v>
      </c>
      <c r="B26" s="550" t="s">
        <v>3614</v>
      </c>
      <c r="C26" s="551" t="s">
        <v>80</v>
      </c>
      <c r="D26" s="333" t="s">
        <v>79</v>
      </c>
      <c r="E26" s="333">
        <v>14</v>
      </c>
      <c r="F26" s="336">
        <v>9.0659722222222232</v>
      </c>
      <c r="G26" s="333">
        <v>7</v>
      </c>
      <c r="H26" s="333">
        <v>3</v>
      </c>
      <c r="I26" s="333">
        <v>10</v>
      </c>
      <c r="J26" s="333">
        <v>41</v>
      </c>
      <c r="K26" s="562">
        <f t="shared" si="0"/>
        <v>17.073170731707318</v>
      </c>
      <c r="L26" s="333">
        <v>1</v>
      </c>
      <c r="M26" s="333">
        <v>1</v>
      </c>
      <c r="N26" s="333">
        <v>0</v>
      </c>
      <c r="O26" s="333">
        <v>0</v>
      </c>
      <c r="P26" s="333">
        <v>-3</v>
      </c>
      <c r="Q26" s="333">
        <v>12</v>
      </c>
      <c r="R26" s="335">
        <v>0.64722222222222225</v>
      </c>
      <c r="T26" s="333">
        <v>3</v>
      </c>
      <c r="U26" s="550" t="s">
        <v>3614</v>
      </c>
      <c r="V26" s="551" t="s">
        <v>80</v>
      </c>
      <c r="W26" s="333" t="s">
        <v>79</v>
      </c>
      <c r="X26" s="333">
        <v>27</v>
      </c>
      <c r="Y26" s="336">
        <v>17.034027777777776</v>
      </c>
      <c r="Z26" s="333">
        <v>10</v>
      </c>
      <c r="AA26" s="333">
        <v>5</v>
      </c>
      <c r="AB26" s="333">
        <v>15</v>
      </c>
      <c r="AC26" s="333">
        <v>59</v>
      </c>
      <c r="AD26" s="333" t="s">
        <v>4419</v>
      </c>
      <c r="AE26" s="333">
        <v>2</v>
      </c>
      <c r="AF26" s="333">
        <v>2</v>
      </c>
      <c r="AG26" s="333">
        <v>0</v>
      </c>
      <c r="AH26" s="333">
        <v>2</v>
      </c>
      <c r="AI26" s="333">
        <v>-6</v>
      </c>
      <c r="AJ26" s="333">
        <v>18</v>
      </c>
      <c r="AK26" s="335">
        <v>0.63055555555555554</v>
      </c>
      <c r="AM26" s="619">
        <v>4</v>
      </c>
      <c r="AN26" s="620" t="s">
        <v>3614</v>
      </c>
      <c r="AO26" s="621" t="s">
        <v>80</v>
      </c>
      <c r="AP26" s="619" t="s">
        <v>79</v>
      </c>
      <c r="AQ26" s="619">
        <v>38</v>
      </c>
      <c r="AR26" s="622">
        <v>24.120138888888889</v>
      </c>
      <c r="AS26" s="619">
        <v>10</v>
      </c>
      <c r="AT26" s="619">
        <v>8</v>
      </c>
      <c r="AU26" s="623">
        <v>18</v>
      </c>
      <c r="AV26" s="619">
        <v>85</v>
      </c>
      <c r="AW26" s="625">
        <v>28065</v>
      </c>
      <c r="AX26" s="619">
        <v>2</v>
      </c>
      <c r="AY26" s="619">
        <v>3</v>
      </c>
      <c r="AZ26" s="619">
        <v>0</v>
      </c>
      <c r="BA26" s="619">
        <v>2</v>
      </c>
      <c r="BB26" s="619">
        <v>-11</v>
      </c>
      <c r="BC26" s="619">
        <v>30</v>
      </c>
      <c r="BD26" s="624">
        <v>0.63472222222222219</v>
      </c>
      <c r="BF26" s="619">
        <v>4</v>
      </c>
      <c r="BG26" s="620" t="s">
        <v>3614</v>
      </c>
      <c r="BH26" s="621" t="s">
        <v>80</v>
      </c>
      <c r="BI26" s="619" t="s">
        <v>79</v>
      </c>
      <c r="BJ26" s="619">
        <v>51</v>
      </c>
      <c r="BK26" s="622">
        <v>31.857638888888889</v>
      </c>
      <c r="BL26" s="619">
        <v>10</v>
      </c>
      <c r="BM26" s="619">
        <v>14</v>
      </c>
      <c r="BN26" s="623">
        <v>24</v>
      </c>
      <c r="BO26" s="619">
        <v>101</v>
      </c>
      <c r="BP26" s="625">
        <v>33117</v>
      </c>
      <c r="BQ26" s="619">
        <v>2</v>
      </c>
      <c r="BR26" s="619">
        <v>4</v>
      </c>
      <c r="BS26" s="619">
        <v>0</v>
      </c>
      <c r="BT26" s="619">
        <v>2</v>
      </c>
      <c r="BU26" s="619">
        <v>-13</v>
      </c>
      <c r="BV26" s="619">
        <v>34</v>
      </c>
      <c r="BW26" s="624">
        <v>0.62430555555555556</v>
      </c>
    </row>
    <row r="27" spans="1:75" ht="28.2" thickBot="1" x14ac:dyDescent="0.35">
      <c r="A27" s="333">
        <v>25</v>
      </c>
      <c r="B27" s="550" t="s">
        <v>3617</v>
      </c>
      <c r="C27" s="551" t="s">
        <v>80</v>
      </c>
      <c r="D27" s="333" t="s">
        <v>79</v>
      </c>
      <c r="E27" s="333">
        <v>14</v>
      </c>
      <c r="F27" s="336">
        <v>8.4340277777777768</v>
      </c>
      <c r="G27" s="333">
        <v>2</v>
      </c>
      <c r="H27" s="333">
        <v>3</v>
      </c>
      <c r="I27" s="333">
        <v>5</v>
      </c>
      <c r="J27" s="333">
        <v>26</v>
      </c>
      <c r="K27" s="562">
        <f t="shared" si="0"/>
        <v>7.6923076923076925</v>
      </c>
      <c r="L27" s="333">
        <v>0</v>
      </c>
      <c r="M27" s="333">
        <v>2</v>
      </c>
      <c r="N27" s="333">
        <v>0</v>
      </c>
      <c r="O27" s="333">
        <v>0</v>
      </c>
      <c r="P27" s="333">
        <v>-9</v>
      </c>
      <c r="Q27" s="333">
        <v>8</v>
      </c>
      <c r="R27" s="335">
        <v>0.6020833333333333</v>
      </c>
      <c r="T27" s="333">
        <v>14</v>
      </c>
      <c r="U27" s="550" t="s">
        <v>3617</v>
      </c>
      <c r="V27" s="551" t="s">
        <v>80</v>
      </c>
      <c r="W27" s="333" t="s">
        <v>79</v>
      </c>
      <c r="X27" s="333">
        <v>17</v>
      </c>
      <c r="Y27" s="336">
        <v>9.7770833333333336</v>
      </c>
      <c r="Z27" s="333">
        <v>2</v>
      </c>
      <c r="AA27" s="333">
        <v>3</v>
      </c>
      <c r="AB27" s="333">
        <v>5</v>
      </c>
      <c r="AC27" s="333">
        <v>30</v>
      </c>
      <c r="AD27" s="581">
        <v>24624</v>
      </c>
      <c r="AE27" s="333">
        <v>0</v>
      </c>
      <c r="AF27" s="333">
        <v>2</v>
      </c>
      <c r="AG27" s="333">
        <v>0</v>
      </c>
      <c r="AH27" s="333">
        <v>0</v>
      </c>
      <c r="AI27" s="333">
        <v>-8</v>
      </c>
      <c r="AJ27" s="333">
        <v>8</v>
      </c>
      <c r="AK27" s="335">
        <v>0.57500000000000007</v>
      </c>
      <c r="AM27" s="619">
        <v>16</v>
      </c>
      <c r="AN27" s="620" t="s">
        <v>3617</v>
      </c>
      <c r="AO27" s="621" t="s">
        <v>80</v>
      </c>
      <c r="AP27" s="619" t="s">
        <v>79</v>
      </c>
      <c r="AQ27" s="619">
        <v>17</v>
      </c>
      <c r="AR27" s="622">
        <v>9.7770833333333336</v>
      </c>
      <c r="AS27" s="619">
        <v>2</v>
      </c>
      <c r="AT27" s="619">
        <v>3</v>
      </c>
      <c r="AU27" s="623">
        <v>5</v>
      </c>
      <c r="AV27" s="619">
        <v>30</v>
      </c>
      <c r="AW27" s="625">
        <v>24624</v>
      </c>
      <c r="AX27" s="619">
        <v>0</v>
      </c>
      <c r="AY27" s="619">
        <v>2</v>
      </c>
      <c r="AZ27" s="619">
        <v>0</v>
      </c>
      <c r="BA27" s="619">
        <v>0</v>
      </c>
      <c r="BB27" s="619">
        <v>-8</v>
      </c>
      <c r="BC27" s="619">
        <v>8</v>
      </c>
      <c r="BD27" s="624">
        <v>0.57500000000000007</v>
      </c>
      <c r="BF27" s="619">
        <v>20</v>
      </c>
      <c r="BG27" s="620" t="s">
        <v>3617</v>
      </c>
      <c r="BH27" s="621" t="s">
        <v>80</v>
      </c>
      <c r="BI27" s="619" t="s">
        <v>79</v>
      </c>
      <c r="BJ27" s="619">
        <v>17</v>
      </c>
      <c r="BK27" s="622">
        <v>9.7770833333333336</v>
      </c>
      <c r="BL27" s="619">
        <v>2</v>
      </c>
      <c r="BM27" s="619">
        <v>3</v>
      </c>
      <c r="BN27" s="623">
        <v>5</v>
      </c>
      <c r="BO27" s="619">
        <v>30</v>
      </c>
      <c r="BP27" s="625">
        <v>24624</v>
      </c>
      <c r="BQ27" s="619">
        <v>0</v>
      </c>
      <c r="BR27" s="619">
        <v>2</v>
      </c>
      <c r="BS27" s="619">
        <v>0</v>
      </c>
      <c r="BT27" s="619">
        <v>0</v>
      </c>
      <c r="BU27" s="619">
        <v>-8</v>
      </c>
      <c r="BV27" s="619">
        <v>8</v>
      </c>
      <c r="BW27" s="624">
        <v>0.57500000000000007</v>
      </c>
    </row>
    <row r="28" spans="1:75" ht="27.75" customHeight="1" thickBot="1" x14ac:dyDescent="0.35">
      <c r="A28" s="333">
        <v>26</v>
      </c>
      <c r="B28" s="550" t="s">
        <v>4033</v>
      </c>
      <c r="C28" s="551" t="s">
        <v>80</v>
      </c>
      <c r="D28" s="333" t="s">
        <v>88</v>
      </c>
      <c r="E28" s="333">
        <v>14</v>
      </c>
      <c r="F28" s="336">
        <v>12.868055555555555</v>
      </c>
      <c r="G28" s="333">
        <v>1</v>
      </c>
      <c r="H28" s="333">
        <v>4</v>
      </c>
      <c r="I28" s="333">
        <v>5</v>
      </c>
      <c r="J28" s="333">
        <v>25</v>
      </c>
      <c r="K28" s="562">
        <f t="shared" si="0"/>
        <v>4</v>
      </c>
      <c r="L28" s="333">
        <v>0</v>
      </c>
      <c r="M28" s="333">
        <v>0</v>
      </c>
      <c r="N28" s="333">
        <v>0</v>
      </c>
      <c r="O28" s="333">
        <v>0</v>
      </c>
      <c r="P28" s="333">
        <v>0</v>
      </c>
      <c r="Q28" s="333">
        <v>10</v>
      </c>
      <c r="R28" s="335">
        <v>0.91875000000000007</v>
      </c>
      <c r="T28" s="333">
        <v>5</v>
      </c>
      <c r="U28" s="550" t="s">
        <v>4033</v>
      </c>
      <c r="V28" s="551" t="s">
        <v>80</v>
      </c>
      <c r="W28" s="333" t="s">
        <v>88</v>
      </c>
      <c r="X28" s="333">
        <v>28</v>
      </c>
      <c r="Y28" s="336">
        <v>25.513888888888889</v>
      </c>
      <c r="Z28" s="333">
        <v>4</v>
      </c>
      <c r="AA28" s="333">
        <v>9</v>
      </c>
      <c r="AB28" s="333">
        <v>13</v>
      </c>
      <c r="AC28" s="333">
        <v>51</v>
      </c>
      <c r="AD28" s="581">
        <v>30864</v>
      </c>
      <c r="AE28" s="333">
        <v>2</v>
      </c>
      <c r="AF28" s="333">
        <v>4</v>
      </c>
      <c r="AG28" s="333">
        <v>0</v>
      </c>
      <c r="AH28" s="333">
        <v>1</v>
      </c>
      <c r="AI28" s="333">
        <v>3</v>
      </c>
      <c r="AJ28" s="333">
        <v>14</v>
      </c>
      <c r="AK28" s="335">
        <v>0.91111111111111109</v>
      </c>
      <c r="AM28" s="619">
        <v>6</v>
      </c>
      <c r="AN28" s="620" t="s">
        <v>4033</v>
      </c>
      <c r="AO28" s="621" t="s">
        <v>80</v>
      </c>
      <c r="AP28" s="619" t="s">
        <v>88</v>
      </c>
      <c r="AQ28" s="619">
        <v>37</v>
      </c>
      <c r="AR28" s="622">
        <v>34.023611111111116</v>
      </c>
      <c r="AS28" s="619">
        <v>7</v>
      </c>
      <c r="AT28" s="619">
        <v>11</v>
      </c>
      <c r="AU28" s="623">
        <v>18</v>
      </c>
      <c r="AV28" s="619">
        <v>75</v>
      </c>
      <c r="AW28" s="625">
        <v>12298</v>
      </c>
      <c r="AX28" s="619">
        <v>2</v>
      </c>
      <c r="AY28" s="619">
        <v>4</v>
      </c>
      <c r="AZ28" s="619">
        <v>0</v>
      </c>
      <c r="BA28" s="619">
        <v>1</v>
      </c>
      <c r="BB28" s="619">
        <v>2</v>
      </c>
      <c r="BC28" s="619">
        <v>18</v>
      </c>
      <c r="BD28" s="624">
        <v>0.9194444444444444</v>
      </c>
      <c r="BF28" s="619">
        <v>7</v>
      </c>
      <c r="BG28" s="620" t="s">
        <v>4033</v>
      </c>
      <c r="BH28" s="621" t="s">
        <v>80</v>
      </c>
      <c r="BI28" s="619" t="s">
        <v>88</v>
      </c>
      <c r="BJ28" s="619">
        <v>42</v>
      </c>
      <c r="BK28" s="622">
        <v>38.53402777777778</v>
      </c>
      <c r="BL28" s="619">
        <v>9</v>
      </c>
      <c r="BM28" s="619">
        <v>14</v>
      </c>
      <c r="BN28" s="623">
        <v>23</v>
      </c>
      <c r="BO28" s="619">
        <v>91</v>
      </c>
      <c r="BP28" s="625">
        <v>32752</v>
      </c>
      <c r="BQ28" s="619">
        <v>3</v>
      </c>
      <c r="BR28" s="619">
        <v>5</v>
      </c>
      <c r="BS28" s="619">
        <v>0</v>
      </c>
      <c r="BT28" s="619">
        <v>1</v>
      </c>
      <c r="BU28" s="619">
        <v>8</v>
      </c>
      <c r="BV28" s="619">
        <v>22</v>
      </c>
      <c r="BW28" s="624">
        <v>0.91736111111111107</v>
      </c>
    </row>
    <row r="29" spans="1:75" ht="28.2" thickBot="1" x14ac:dyDescent="0.35">
      <c r="A29" s="333">
        <v>27</v>
      </c>
      <c r="B29" s="550" t="s">
        <v>122</v>
      </c>
      <c r="C29" s="551" t="s">
        <v>80</v>
      </c>
      <c r="D29" s="333" t="s">
        <v>79</v>
      </c>
      <c r="E29" s="333">
        <v>14</v>
      </c>
      <c r="F29" s="336">
        <v>8.8493055555555546</v>
      </c>
      <c r="G29" s="333">
        <v>3</v>
      </c>
      <c r="H29" s="333">
        <v>4</v>
      </c>
      <c r="I29" s="333">
        <v>7</v>
      </c>
      <c r="J29" s="333">
        <v>33</v>
      </c>
      <c r="K29" s="562">
        <f t="shared" si="0"/>
        <v>9.0909090909090917</v>
      </c>
      <c r="L29" s="333">
        <v>0</v>
      </c>
      <c r="M29" s="333">
        <v>1</v>
      </c>
      <c r="N29" s="333">
        <v>0</v>
      </c>
      <c r="O29" s="333">
        <v>1</v>
      </c>
      <c r="P29" s="333">
        <v>-4</v>
      </c>
      <c r="Q29" s="333">
        <v>2</v>
      </c>
      <c r="R29" s="335">
        <v>0.63194444444444442</v>
      </c>
      <c r="T29" s="333">
        <v>4</v>
      </c>
      <c r="U29" s="550" t="s">
        <v>122</v>
      </c>
      <c r="V29" s="551" t="s">
        <v>80</v>
      </c>
      <c r="W29" s="333" t="s">
        <v>79</v>
      </c>
      <c r="X29" s="333">
        <v>28</v>
      </c>
      <c r="Y29" s="336">
        <v>17.489583333333332</v>
      </c>
      <c r="Z29" s="333">
        <v>6</v>
      </c>
      <c r="AA29" s="333">
        <v>7</v>
      </c>
      <c r="AB29" s="333">
        <v>13</v>
      </c>
      <c r="AC29" s="333">
        <v>47</v>
      </c>
      <c r="AD29" s="581">
        <v>28460</v>
      </c>
      <c r="AE29" s="333">
        <v>1</v>
      </c>
      <c r="AF29" s="333">
        <v>2</v>
      </c>
      <c r="AG29" s="333">
        <v>0</v>
      </c>
      <c r="AH29" s="333">
        <v>1</v>
      </c>
      <c r="AI29" s="333">
        <v>-5</v>
      </c>
      <c r="AJ29" s="333">
        <v>8</v>
      </c>
      <c r="AK29" s="335">
        <v>0.62430555555555556</v>
      </c>
      <c r="AM29" s="626">
        <v>3</v>
      </c>
      <c r="AN29" s="627" t="s">
        <v>122</v>
      </c>
      <c r="AO29" s="628" t="s">
        <v>80</v>
      </c>
      <c r="AP29" s="626" t="s">
        <v>79</v>
      </c>
      <c r="AQ29" s="626">
        <v>39</v>
      </c>
      <c r="AR29" s="631">
        <v>24.629166666666666</v>
      </c>
      <c r="AS29" s="626">
        <v>7</v>
      </c>
      <c r="AT29" s="626">
        <v>12</v>
      </c>
      <c r="AU29" s="630">
        <v>19</v>
      </c>
      <c r="AV29" s="626">
        <v>67</v>
      </c>
      <c r="AW29" s="633">
        <v>16711</v>
      </c>
      <c r="AX29" s="626">
        <v>2</v>
      </c>
      <c r="AY29" s="626">
        <v>4</v>
      </c>
      <c r="AZ29" s="626">
        <v>0</v>
      </c>
      <c r="BA29" s="626">
        <v>1</v>
      </c>
      <c r="BB29" s="626">
        <v>-6</v>
      </c>
      <c r="BC29" s="626">
        <v>18</v>
      </c>
      <c r="BD29" s="629">
        <v>0.63124999999999998</v>
      </c>
      <c r="BF29" s="626">
        <v>5</v>
      </c>
      <c r="BG29" s="627" t="s">
        <v>122</v>
      </c>
      <c r="BH29" s="628" t="s">
        <v>80</v>
      </c>
      <c r="BI29" s="626" t="s">
        <v>79</v>
      </c>
      <c r="BJ29" s="626">
        <v>56</v>
      </c>
      <c r="BK29" s="631">
        <v>34.333333333333336</v>
      </c>
      <c r="BL29" s="626">
        <v>8</v>
      </c>
      <c r="BM29" s="626">
        <v>16</v>
      </c>
      <c r="BN29" s="630">
        <v>24</v>
      </c>
      <c r="BO29" s="626">
        <v>85</v>
      </c>
      <c r="BP29" s="633">
        <v>15220</v>
      </c>
      <c r="BQ29" s="626">
        <v>2</v>
      </c>
      <c r="BR29" s="626">
        <v>6</v>
      </c>
      <c r="BS29" s="626">
        <v>0</v>
      </c>
      <c r="BT29" s="626">
        <v>1</v>
      </c>
      <c r="BU29" s="626">
        <v>-7</v>
      </c>
      <c r="BV29" s="626">
        <v>24</v>
      </c>
      <c r="BW29" s="629">
        <v>0.61249999999999993</v>
      </c>
    </row>
    <row r="30" spans="1:75" ht="15" thickTop="1" x14ac:dyDescent="0.3"/>
    <row r="31" spans="1:75" ht="15" thickBot="1" x14ac:dyDescent="0.35"/>
    <row r="32" spans="1:75" ht="27" thickBot="1" x14ac:dyDescent="0.35">
      <c r="AM32" s="619">
        <v>27</v>
      </c>
      <c r="AN32" s="620" t="s">
        <v>1227</v>
      </c>
      <c r="AO32" s="621" t="s">
        <v>80</v>
      </c>
      <c r="AP32" s="619" t="s">
        <v>79</v>
      </c>
      <c r="AQ32" s="619">
        <v>1</v>
      </c>
      <c r="AR32" s="624">
        <v>0.33194444444444443</v>
      </c>
      <c r="AS32" s="619">
        <v>0</v>
      </c>
      <c r="AT32" s="619">
        <v>2</v>
      </c>
      <c r="AU32" s="623">
        <v>2</v>
      </c>
      <c r="AV32" s="619">
        <v>2</v>
      </c>
      <c r="AW32" s="619" t="s">
        <v>78</v>
      </c>
      <c r="AX32" s="619">
        <v>0</v>
      </c>
      <c r="AY32" s="619">
        <v>0</v>
      </c>
      <c r="AZ32" s="619">
        <v>0</v>
      </c>
      <c r="BA32" s="619">
        <v>0</v>
      </c>
      <c r="BB32" s="619">
        <v>3</v>
      </c>
      <c r="BC32" s="619">
        <v>0</v>
      </c>
      <c r="BD32" s="624">
        <v>0.33194444444444443</v>
      </c>
      <c r="BF32" s="619">
        <v>28</v>
      </c>
      <c r="BG32" s="620" t="s">
        <v>1227</v>
      </c>
      <c r="BH32" s="621" t="s">
        <v>80</v>
      </c>
      <c r="BI32" s="619" t="s">
        <v>79</v>
      </c>
      <c r="BJ32" s="619">
        <v>1</v>
      </c>
      <c r="BK32" s="624">
        <v>0.33194444444444443</v>
      </c>
      <c r="BL32" s="619">
        <v>0</v>
      </c>
      <c r="BM32" s="619">
        <v>2</v>
      </c>
      <c r="BN32" s="623">
        <v>2</v>
      </c>
      <c r="BO32" s="619">
        <v>2</v>
      </c>
      <c r="BP32" s="619" t="s">
        <v>78</v>
      </c>
      <c r="BQ32" s="619">
        <v>0</v>
      </c>
      <c r="BR32" s="619">
        <v>0</v>
      </c>
      <c r="BS32" s="619">
        <v>0</v>
      </c>
      <c r="BT32" s="619">
        <v>0</v>
      </c>
      <c r="BU32" s="619">
        <v>3</v>
      </c>
      <c r="BV32" s="619">
        <v>0</v>
      </c>
      <c r="BW32" s="624">
        <v>0.33194444444444443</v>
      </c>
    </row>
    <row r="33" spans="2:75" ht="27" thickBot="1" x14ac:dyDescent="0.35">
      <c r="AM33" s="619">
        <v>30</v>
      </c>
      <c r="AN33" s="620" t="s">
        <v>4040</v>
      </c>
      <c r="AO33" s="621" t="s">
        <v>80</v>
      </c>
      <c r="AP33" s="619" t="s">
        <v>79</v>
      </c>
      <c r="AQ33" s="619">
        <v>1</v>
      </c>
      <c r="AR33" s="624">
        <v>0.42638888888888887</v>
      </c>
      <c r="AS33" s="619">
        <v>0</v>
      </c>
      <c r="AT33" s="619">
        <v>0</v>
      </c>
      <c r="AU33" s="623">
        <v>0</v>
      </c>
      <c r="AV33" s="619">
        <v>1</v>
      </c>
      <c r="AW33" s="619" t="s">
        <v>78</v>
      </c>
      <c r="AX33" s="619">
        <v>0</v>
      </c>
      <c r="AY33" s="619">
        <v>0</v>
      </c>
      <c r="AZ33" s="619">
        <v>0</v>
      </c>
      <c r="BA33" s="619">
        <v>0</v>
      </c>
      <c r="BB33" s="619">
        <v>1</v>
      </c>
      <c r="BC33" s="619">
        <v>2</v>
      </c>
      <c r="BD33" s="624">
        <v>0.42638888888888887</v>
      </c>
      <c r="BF33" s="619">
        <v>32</v>
      </c>
      <c r="BG33" s="640" t="s">
        <v>4040</v>
      </c>
      <c r="BH33" s="621" t="s">
        <v>80</v>
      </c>
      <c r="BI33" s="619" t="s">
        <v>79</v>
      </c>
      <c r="BJ33" s="619">
        <v>3</v>
      </c>
      <c r="BK33" s="624">
        <v>0.96944444444444444</v>
      </c>
      <c r="BL33" s="619">
        <v>0</v>
      </c>
      <c r="BM33" s="619">
        <v>0</v>
      </c>
      <c r="BN33" s="623">
        <v>0</v>
      </c>
      <c r="BO33" s="619">
        <v>1</v>
      </c>
      <c r="BP33" s="619" t="s">
        <v>78</v>
      </c>
      <c r="BQ33" s="619">
        <v>0</v>
      </c>
      <c r="BR33" s="619">
        <v>0</v>
      </c>
      <c r="BS33" s="619">
        <v>0</v>
      </c>
      <c r="BT33" s="619">
        <v>0</v>
      </c>
      <c r="BU33" s="619">
        <v>1</v>
      </c>
      <c r="BV33" s="619">
        <v>2</v>
      </c>
      <c r="BW33" s="624">
        <v>0.32291666666666669</v>
      </c>
    </row>
    <row r="34" spans="2:75" ht="28.2" thickBot="1" x14ac:dyDescent="0.35">
      <c r="T34" s="333">
        <v>28</v>
      </c>
      <c r="U34" s="550" t="s">
        <v>112</v>
      </c>
      <c r="V34" s="551" t="s">
        <v>80</v>
      </c>
      <c r="W34" s="333" t="s">
        <v>79</v>
      </c>
      <c r="X34" s="333">
        <v>1</v>
      </c>
      <c r="Y34" s="335">
        <v>0.17847222222222223</v>
      </c>
      <c r="Z34" s="333">
        <v>0</v>
      </c>
      <c r="AA34" s="333">
        <v>0</v>
      </c>
      <c r="AB34" s="333">
        <v>0</v>
      </c>
      <c r="AC34" s="333">
        <v>1</v>
      </c>
      <c r="AD34" s="333" t="s">
        <v>78</v>
      </c>
      <c r="AE34" s="333">
        <v>0</v>
      </c>
      <c r="AF34" s="333">
        <v>0</v>
      </c>
      <c r="AG34" s="333">
        <v>0</v>
      </c>
      <c r="AH34" s="333">
        <v>0</v>
      </c>
      <c r="AI34" s="333">
        <v>0</v>
      </c>
      <c r="AJ34" s="333">
        <v>0</v>
      </c>
      <c r="AK34" s="335">
        <v>0.17847222222222223</v>
      </c>
      <c r="AM34" s="619">
        <v>31</v>
      </c>
      <c r="AN34" s="620" t="s">
        <v>112</v>
      </c>
      <c r="AO34" s="621" t="s">
        <v>80</v>
      </c>
      <c r="AP34" s="619" t="s">
        <v>79</v>
      </c>
      <c r="AQ34" s="619">
        <v>1</v>
      </c>
      <c r="AR34" s="624">
        <v>0.17847222222222223</v>
      </c>
      <c r="AS34" s="619">
        <v>0</v>
      </c>
      <c r="AT34" s="619">
        <v>0</v>
      </c>
      <c r="AU34" s="623">
        <v>0</v>
      </c>
      <c r="AV34" s="619">
        <v>1</v>
      </c>
      <c r="AW34" s="619" t="s">
        <v>78</v>
      </c>
      <c r="AX34" s="619">
        <v>0</v>
      </c>
      <c r="AY34" s="619">
        <v>0</v>
      </c>
      <c r="AZ34" s="619">
        <v>0</v>
      </c>
      <c r="BA34" s="619">
        <v>0</v>
      </c>
      <c r="BB34" s="619">
        <v>0</v>
      </c>
      <c r="BC34" s="619">
        <v>0</v>
      </c>
      <c r="BD34" s="624">
        <v>0.17847222222222223</v>
      </c>
      <c r="BF34" s="619">
        <v>30</v>
      </c>
      <c r="BG34" s="620" t="s">
        <v>112</v>
      </c>
      <c r="BH34" s="621" t="s">
        <v>80</v>
      </c>
      <c r="BI34" s="619" t="s">
        <v>79</v>
      </c>
      <c r="BJ34" s="619">
        <v>1</v>
      </c>
      <c r="BK34" s="624">
        <v>0.17847222222222223</v>
      </c>
      <c r="BL34" s="619">
        <v>0</v>
      </c>
      <c r="BM34" s="619">
        <v>0</v>
      </c>
      <c r="BN34" s="623">
        <v>0</v>
      </c>
      <c r="BO34" s="619">
        <v>1</v>
      </c>
      <c r="BP34" s="619" t="s">
        <v>78</v>
      </c>
      <c r="BQ34" s="619">
        <v>0</v>
      </c>
      <c r="BR34" s="619">
        <v>0</v>
      </c>
      <c r="BS34" s="619">
        <v>0</v>
      </c>
      <c r="BT34" s="619">
        <v>0</v>
      </c>
      <c r="BU34" s="619">
        <v>0</v>
      </c>
      <c r="BV34" s="619">
        <v>0</v>
      </c>
      <c r="BW34" s="624">
        <v>0.17847222222222223</v>
      </c>
    </row>
    <row r="35" spans="2:75" ht="27" thickBot="1" x14ac:dyDescent="0.35">
      <c r="AM35" s="619">
        <v>25</v>
      </c>
      <c r="AN35" s="620" t="s">
        <v>4037</v>
      </c>
      <c r="AO35" s="621" t="s">
        <v>80</v>
      </c>
      <c r="AP35" s="619" t="s">
        <v>79</v>
      </c>
      <c r="AQ35" s="619">
        <v>5</v>
      </c>
      <c r="AR35" s="622">
        <v>2.6180555555555558</v>
      </c>
      <c r="AS35" s="619">
        <v>0</v>
      </c>
      <c r="AT35" s="619">
        <v>3</v>
      </c>
      <c r="AU35" s="623">
        <v>3</v>
      </c>
      <c r="AV35" s="619">
        <v>5</v>
      </c>
      <c r="AW35" s="619" t="s">
        <v>78</v>
      </c>
      <c r="AX35" s="619">
        <v>0</v>
      </c>
      <c r="AY35" s="619">
        <v>0</v>
      </c>
      <c r="AZ35" s="619">
        <v>0</v>
      </c>
      <c r="BA35" s="619">
        <v>0</v>
      </c>
      <c r="BB35" s="619">
        <v>2</v>
      </c>
      <c r="BC35" s="619">
        <v>2</v>
      </c>
      <c r="BD35" s="624">
        <v>0.52361111111111114</v>
      </c>
      <c r="BF35" s="619">
        <v>18</v>
      </c>
      <c r="BG35" s="620" t="s">
        <v>4037</v>
      </c>
      <c r="BH35" s="621" t="s">
        <v>80</v>
      </c>
      <c r="BI35" s="619" t="s">
        <v>79</v>
      </c>
      <c r="BJ35" s="619">
        <v>20</v>
      </c>
      <c r="BK35" s="622">
        <v>10.427777777777779</v>
      </c>
      <c r="BL35" s="619">
        <v>3</v>
      </c>
      <c r="BM35" s="619">
        <v>4</v>
      </c>
      <c r="BN35" s="623">
        <v>7</v>
      </c>
      <c r="BO35" s="619">
        <v>27</v>
      </c>
      <c r="BP35" s="639">
        <v>44876</v>
      </c>
      <c r="BQ35" s="619">
        <v>0</v>
      </c>
      <c r="BR35" s="619">
        <v>0</v>
      </c>
      <c r="BS35" s="619">
        <v>0</v>
      </c>
      <c r="BT35" s="619">
        <v>0</v>
      </c>
      <c r="BU35" s="619">
        <v>-1</v>
      </c>
      <c r="BV35" s="619">
        <v>10</v>
      </c>
      <c r="BW35" s="624">
        <v>0.52083333333333337</v>
      </c>
    </row>
    <row r="36" spans="2:75" ht="27.6" x14ac:dyDescent="0.3">
      <c r="T36" s="333">
        <v>13</v>
      </c>
      <c r="U36" s="550" t="s">
        <v>4398</v>
      </c>
      <c r="V36" s="551" t="s">
        <v>80</v>
      </c>
      <c r="W36" s="333" t="s">
        <v>79</v>
      </c>
      <c r="X36" s="333">
        <v>11</v>
      </c>
      <c r="Y36" s="336">
        <v>7.2694444444444448</v>
      </c>
      <c r="Z36" s="333">
        <v>3</v>
      </c>
      <c r="AA36" s="333">
        <v>3</v>
      </c>
      <c r="AB36" s="333">
        <v>6</v>
      </c>
      <c r="AC36" s="333">
        <v>23</v>
      </c>
      <c r="AD36" s="582">
        <v>44299</v>
      </c>
      <c r="AE36" s="333">
        <v>1</v>
      </c>
      <c r="AF36" s="333">
        <v>2</v>
      </c>
      <c r="AG36" s="333">
        <v>0</v>
      </c>
      <c r="AH36" s="333">
        <v>0</v>
      </c>
      <c r="AI36" s="333">
        <v>1</v>
      </c>
      <c r="AJ36" s="333">
        <v>0</v>
      </c>
      <c r="AK36" s="335">
        <v>0.66041666666666665</v>
      </c>
      <c r="AM36" s="619">
        <v>13</v>
      </c>
      <c r="AN36" s="620" t="s">
        <v>4398</v>
      </c>
      <c r="AO36" s="621" t="s">
        <v>80</v>
      </c>
      <c r="AP36" s="619" t="s">
        <v>79</v>
      </c>
      <c r="AQ36" s="619">
        <v>22</v>
      </c>
      <c r="AR36" s="622">
        <v>14.081249999999999</v>
      </c>
      <c r="AS36" s="619">
        <v>4</v>
      </c>
      <c r="AT36" s="619">
        <v>4</v>
      </c>
      <c r="AU36" s="623">
        <v>8</v>
      </c>
      <c r="AV36" s="619">
        <v>43</v>
      </c>
      <c r="AW36" s="625">
        <v>11202</v>
      </c>
      <c r="AX36" s="619">
        <v>1</v>
      </c>
      <c r="AY36" s="619">
        <v>2</v>
      </c>
      <c r="AZ36" s="619">
        <v>0</v>
      </c>
      <c r="BA36" s="619">
        <v>0</v>
      </c>
      <c r="BB36" s="619">
        <v>-2</v>
      </c>
      <c r="BC36" s="619">
        <v>4</v>
      </c>
      <c r="BD36" s="624">
        <v>0.63958333333333328</v>
      </c>
      <c r="BF36" s="619">
        <v>16</v>
      </c>
      <c r="BG36" s="620" t="s">
        <v>4398</v>
      </c>
      <c r="BH36" s="621" t="s">
        <v>80</v>
      </c>
      <c r="BI36" s="619" t="s">
        <v>79</v>
      </c>
      <c r="BJ36" s="619">
        <v>32</v>
      </c>
      <c r="BK36" s="622">
        <v>18.636111111111109</v>
      </c>
      <c r="BL36" s="619">
        <v>4</v>
      </c>
      <c r="BM36" s="619">
        <v>5</v>
      </c>
      <c r="BN36" s="623">
        <v>9</v>
      </c>
      <c r="BO36" s="619">
        <v>51</v>
      </c>
      <c r="BP36" s="625">
        <v>30864</v>
      </c>
      <c r="BQ36" s="619">
        <v>1</v>
      </c>
      <c r="BR36" s="619">
        <v>2</v>
      </c>
      <c r="BS36" s="619">
        <v>0</v>
      </c>
      <c r="BT36" s="619">
        <v>0</v>
      </c>
      <c r="BU36" s="619">
        <v>-2</v>
      </c>
      <c r="BV36" s="619">
        <v>4</v>
      </c>
      <c r="BW36" s="624">
        <v>0.58194444444444449</v>
      </c>
    </row>
    <row r="38" spans="2:75" ht="15" thickBot="1" x14ac:dyDescent="0.35"/>
    <row r="39" spans="2:75" ht="15" thickBot="1" x14ac:dyDescent="0.35">
      <c r="B39" s="556"/>
      <c r="C39" s="1164" t="s">
        <v>4180</v>
      </c>
      <c r="D39" s="1164"/>
      <c r="E39" s="1164"/>
      <c r="F39" s="1165"/>
      <c r="G39" s="1163" t="s">
        <v>4181</v>
      </c>
      <c r="H39" s="1164"/>
      <c r="I39" s="1164"/>
      <c r="J39" s="1165"/>
      <c r="K39" s="1146" t="s">
        <v>4182</v>
      </c>
      <c r="L39" s="1147"/>
      <c r="M39" s="1147"/>
      <c r="N39" s="1148"/>
      <c r="O39" s="1163" t="s">
        <v>4183</v>
      </c>
      <c r="P39" s="1164"/>
      <c r="Q39" s="1164"/>
      <c r="R39" s="1165"/>
    </row>
    <row r="40" spans="2:75" ht="15" thickBot="1" x14ac:dyDescent="0.35">
      <c r="B40" s="559" t="s">
        <v>0</v>
      </c>
      <c r="C40" s="560" t="s">
        <v>4176</v>
      </c>
      <c r="D40" s="560" t="s">
        <v>4177</v>
      </c>
      <c r="E40" s="560" t="s">
        <v>4178</v>
      </c>
      <c r="F40" s="561" t="s">
        <v>4179</v>
      </c>
      <c r="G40" s="559" t="s">
        <v>4176</v>
      </c>
      <c r="H40" s="560" t="s">
        <v>4177</v>
      </c>
      <c r="I40" s="560" t="s">
        <v>4178</v>
      </c>
      <c r="J40" s="561" t="s">
        <v>4179</v>
      </c>
      <c r="K40" s="559" t="s">
        <v>4176</v>
      </c>
      <c r="L40" s="560" t="s">
        <v>4177</v>
      </c>
      <c r="M40" s="560" t="s">
        <v>4178</v>
      </c>
      <c r="N40" s="561" t="s">
        <v>4179</v>
      </c>
      <c r="O40" s="559" t="s">
        <v>4176</v>
      </c>
      <c r="P40" s="560" t="s">
        <v>4177</v>
      </c>
      <c r="Q40" s="560" t="s">
        <v>4178</v>
      </c>
      <c r="R40" s="561" t="s">
        <v>4179</v>
      </c>
    </row>
    <row r="41" spans="2:75" x14ac:dyDescent="0.3">
      <c r="B41" s="641" t="s">
        <v>4032</v>
      </c>
      <c r="C41" s="558">
        <v>14</v>
      </c>
      <c r="D41" s="558">
        <v>2</v>
      </c>
      <c r="E41" s="558">
        <v>5</v>
      </c>
      <c r="F41" s="279">
        <f t="shared" ref="F41:F51" si="1">(D41+E41)/C41</f>
        <v>0.5</v>
      </c>
      <c r="G41" s="277">
        <v>14</v>
      </c>
      <c r="H41" s="278">
        <v>2</v>
      </c>
      <c r="I41" s="278">
        <v>2</v>
      </c>
      <c r="J41" s="279">
        <f>(H41+I41)/G41</f>
        <v>0.2857142857142857</v>
      </c>
      <c r="K41" s="647">
        <f>AQ3-X3</f>
        <v>11</v>
      </c>
      <c r="L41" s="558">
        <f>AS3-Z3</f>
        <v>2</v>
      </c>
      <c r="M41" s="558">
        <f>AT3-AA3</f>
        <v>4</v>
      </c>
      <c r="N41" s="279">
        <f>(L41+M41)/K41</f>
        <v>0.54545454545454541</v>
      </c>
      <c r="O41" s="277">
        <f>BJ3-AQ3</f>
        <v>13</v>
      </c>
      <c r="P41" s="278">
        <f>BL3-AS3</f>
        <v>4</v>
      </c>
      <c r="Q41" s="278">
        <f>BM3-AT3</f>
        <v>4</v>
      </c>
      <c r="R41" s="279">
        <f>(P41+Q41)/O41</f>
        <v>0.61538461538461542</v>
      </c>
    </row>
    <row r="42" spans="2:75" x14ac:dyDescent="0.3">
      <c r="B42" s="642" t="s">
        <v>4069</v>
      </c>
      <c r="C42" s="412">
        <v>13</v>
      </c>
      <c r="D42" s="412">
        <v>3</v>
      </c>
      <c r="E42" s="412">
        <v>5</v>
      </c>
      <c r="F42" s="275">
        <f t="shared" si="1"/>
        <v>0.61538461538461542</v>
      </c>
      <c r="G42" s="198">
        <v>12</v>
      </c>
      <c r="H42" s="183">
        <v>2</v>
      </c>
      <c r="I42" s="183">
        <v>2</v>
      </c>
      <c r="J42" s="279">
        <f t="shared" ref="J42:J69" si="2">(H42+I42)/G42</f>
        <v>0.33333333333333331</v>
      </c>
      <c r="K42" s="648">
        <f>AQ4-X4</f>
        <v>9</v>
      </c>
      <c r="L42" s="412">
        <f t="shared" ref="L42:M42" si="3">AS4-Z4</f>
        <v>3</v>
      </c>
      <c r="M42" s="412">
        <f t="shared" si="3"/>
        <v>3</v>
      </c>
      <c r="N42" s="279">
        <f t="shared" ref="N42:N70" si="4">(L42+M42)/K42</f>
        <v>0.66666666666666663</v>
      </c>
      <c r="O42" s="198">
        <f t="shared" ref="O42:O48" si="5">BJ4-AQ4</f>
        <v>17</v>
      </c>
      <c r="P42" s="183">
        <f t="shared" ref="P42:Q42" si="6">BL4-AS4</f>
        <v>3</v>
      </c>
      <c r="Q42" s="183">
        <f t="shared" si="6"/>
        <v>2</v>
      </c>
      <c r="R42" s="275">
        <f t="shared" ref="R42:R72" si="7">(P42+Q42)/O42</f>
        <v>0.29411764705882354</v>
      </c>
    </row>
    <row r="43" spans="2:75" x14ac:dyDescent="0.3">
      <c r="B43" s="642" t="s">
        <v>4041</v>
      </c>
      <c r="C43" s="412">
        <v>6</v>
      </c>
      <c r="D43" s="412">
        <v>0</v>
      </c>
      <c r="E43" s="412">
        <v>0</v>
      </c>
      <c r="F43" s="275">
        <f t="shared" si="1"/>
        <v>0</v>
      </c>
      <c r="G43" s="198"/>
      <c r="H43" s="183"/>
      <c r="I43" s="183"/>
      <c r="J43" s="279"/>
      <c r="K43" s="648">
        <f>AQ5-X5</f>
        <v>9</v>
      </c>
      <c r="L43" s="412">
        <f t="shared" ref="L43:M43" si="8">AS5-Z5</f>
        <v>0</v>
      </c>
      <c r="M43" s="412">
        <f t="shared" si="8"/>
        <v>2</v>
      </c>
      <c r="N43" s="279">
        <f t="shared" si="4"/>
        <v>0.22222222222222221</v>
      </c>
      <c r="O43" s="198">
        <f t="shared" si="5"/>
        <v>14</v>
      </c>
      <c r="P43" s="183">
        <f t="shared" ref="P43:Q43" si="9">BL5-AS5</f>
        <v>0</v>
      </c>
      <c r="Q43" s="183">
        <f t="shared" si="9"/>
        <v>1</v>
      </c>
      <c r="R43" s="275">
        <f t="shared" si="7"/>
        <v>7.1428571428571425E-2</v>
      </c>
    </row>
    <row r="44" spans="2:75" x14ac:dyDescent="0.3">
      <c r="B44" s="642" t="s">
        <v>4039</v>
      </c>
      <c r="C44" s="412">
        <v>13</v>
      </c>
      <c r="D44" s="412">
        <v>0</v>
      </c>
      <c r="E44" s="412">
        <v>2</v>
      </c>
      <c r="F44" s="275">
        <f t="shared" si="1"/>
        <v>0.15384615384615385</v>
      </c>
      <c r="G44" s="198">
        <v>10</v>
      </c>
      <c r="H44" s="183">
        <v>0</v>
      </c>
      <c r="I44" s="183">
        <v>1</v>
      </c>
      <c r="J44" s="279">
        <f t="shared" si="2"/>
        <v>0.1</v>
      </c>
      <c r="K44" s="648">
        <f>AQ6-X6</f>
        <v>1</v>
      </c>
      <c r="L44" s="412">
        <f t="shared" ref="L44:M44" si="10">AS6-Z6</f>
        <v>0</v>
      </c>
      <c r="M44" s="412">
        <f t="shared" si="10"/>
        <v>0</v>
      </c>
      <c r="N44" s="279">
        <f t="shared" si="4"/>
        <v>0</v>
      </c>
      <c r="O44" s="198">
        <f t="shared" si="5"/>
        <v>11</v>
      </c>
      <c r="P44" s="183">
        <f t="shared" ref="P44:Q44" si="11">BL6-AS6</f>
        <v>0</v>
      </c>
      <c r="Q44" s="183">
        <f t="shared" si="11"/>
        <v>0</v>
      </c>
      <c r="R44" s="275">
        <f t="shared" si="7"/>
        <v>0</v>
      </c>
    </row>
    <row r="45" spans="2:75" x14ac:dyDescent="0.3">
      <c r="B45" s="642" t="s">
        <v>97</v>
      </c>
      <c r="C45" s="412">
        <v>1</v>
      </c>
      <c r="D45" s="412">
        <v>0</v>
      </c>
      <c r="E45" s="412">
        <v>0</v>
      </c>
      <c r="F45" s="275">
        <f t="shared" si="1"/>
        <v>0</v>
      </c>
      <c r="G45" s="198"/>
      <c r="H45" s="183"/>
      <c r="I45" s="183"/>
      <c r="J45" s="279"/>
      <c r="K45" s="648"/>
      <c r="L45" s="412"/>
      <c r="M45" s="412"/>
      <c r="N45" s="279"/>
      <c r="O45" s="198"/>
      <c r="P45" s="183"/>
      <c r="Q45" s="183"/>
      <c r="R45" s="275"/>
    </row>
    <row r="46" spans="2:75" ht="16.5" customHeight="1" x14ac:dyDescent="0.3">
      <c r="B46" s="642" t="s">
        <v>108</v>
      </c>
      <c r="C46" s="412">
        <v>7</v>
      </c>
      <c r="D46" s="412">
        <v>0</v>
      </c>
      <c r="E46" s="412">
        <v>1</v>
      </c>
      <c r="F46" s="275">
        <f t="shared" si="1"/>
        <v>0.14285714285714285</v>
      </c>
      <c r="G46" s="198">
        <v>14</v>
      </c>
      <c r="H46" s="183">
        <v>1</v>
      </c>
      <c r="I46" s="183">
        <v>1</v>
      </c>
      <c r="J46" s="279">
        <f t="shared" si="2"/>
        <v>0.14285714285714285</v>
      </c>
      <c r="K46" s="648">
        <f>AQ8-X8</f>
        <v>5</v>
      </c>
      <c r="L46" s="412">
        <f t="shared" ref="L46:M46" si="12">AS8-Z8</f>
        <v>0</v>
      </c>
      <c r="M46" s="412">
        <f t="shared" si="12"/>
        <v>0</v>
      </c>
      <c r="N46" s="279">
        <f t="shared" si="4"/>
        <v>0</v>
      </c>
      <c r="O46" s="198">
        <f>BJ8-AQ8</f>
        <v>15</v>
      </c>
      <c r="P46" s="183">
        <f t="shared" ref="P46:Q46" si="13">BL8-AS8</f>
        <v>1</v>
      </c>
      <c r="Q46" s="183">
        <f t="shared" si="13"/>
        <v>3</v>
      </c>
      <c r="R46" s="275">
        <f t="shared" si="7"/>
        <v>0.26666666666666666</v>
      </c>
    </row>
    <row r="47" spans="2:75" x14ac:dyDescent="0.3">
      <c r="B47" s="642" t="s">
        <v>124</v>
      </c>
      <c r="C47" s="412">
        <v>14</v>
      </c>
      <c r="D47" s="412">
        <v>1</v>
      </c>
      <c r="E47" s="412">
        <v>6</v>
      </c>
      <c r="F47" s="275">
        <f t="shared" si="1"/>
        <v>0.5</v>
      </c>
      <c r="G47" s="198">
        <v>11</v>
      </c>
      <c r="H47" s="183">
        <v>1</v>
      </c>
      <c r="I47" s="183">
        <v>3</v>
      </c>
      <c r="J47" s="279">
        <f t="shared" si="2"/>
        <v>0.36363636363636365</v>
      </c>
      <c r="K47" s="648">
        <f>AQ9-X9</f>
        <v>9</v>
      </c>
      <c r="L47" s="412">
        <f t="shared" ref="L47:M47" si="14">AS9-Z9</f>
        <v>0</v>
      </c>
      <c r="M47" s="412">
        <f t="shared" si="14"/>
        <v>2</v>
      </c>
      <c r="N47" s="279">
        <f t="shared" si="4"/>
        <v>0.22222222222222221</v>
      </c>
      <c r="O47" s="198">
        <f t="shared" si="5"/>
        <v>7</v>
      </c>
      <c r="P47" s="183">
        <f t="shared" ref="P47:Q47" si="15">BL9-AS9</f>
        <v>0</v>
      </c>
      <c r="Q47" s="183">
        <f t="shared" si="15"/>
        <v>3</v>
      </c>
      <c r="R47" s="275">
        <f t="shared" si="7"/>
        <v>0.42857142857142855</v>
      </c>
    </row>
    <row r="48" spans="2:75" x14ac:dyDescent="0.3">
      <c r="B48" s="642" t="s">
        <v>4170</v>
      </c>
      <c r="C48" s="412">
        <v>14</v>
      </c>
      <c r="D48" s="412">
        <v>5</v>
      </c>
      <c r="E48" s="412">
        <v>7</v>
      </c>
      <c r="F48" s="275">
        <f t="shared" si="1"/>
        <v>0.8571428571428571</v>
      </c>
      <c r="G48" s="198">
        <v>14</v>
      </c>
      <c r="H48" s="183">
        <v>4</v>
      </c>
      <c r="I48" s="183">
        <v>8</v>
      </c>
      <c r="J48" s="279">
        <f t="shared" si="2"/>
        <v>0.8571428571428571</v>
      </c>
      <c r="K48" s="648">
        <f>AQ10-X10</f>
        <v>11</v>
      </c>
      <c r="L48" s="412">
        <f t="shared" ref="L48:M48" si="16">AS10-Z10</f>
        <v>3</v>
      </c>
      <c r="M48" s="412">
        <f t="shared" si="16"/>
        <v>3</v>
      </c>
      <c r="N48" s="279">
        <f t="shared" si="4"/>
        <v>0.54545454545454541</v>
      </c>
      <c r="O48" s="198">
        <f t="shared" si="5"/>
        <v>17</v>
      </c>
      <c r="P48" s="183">
        <f t="shared" ref="P48:Q48" si="17">BL10-AS10</f>
        <v>6</v>
      </c>
      <c r="Q48" s="183">
        <f t="shared" si="17"/>
        <v>12</v>
      </c>
      <c r="R48" s="275">
        <f t="shared" si="7"/>
        <v>1.0588235294117647</v>
      </c>
    </row>
    <row r="49" spans="2:18" x14ac:dyDescent="0.3">
      <c r="B49" s="642" t="s">
        <v>1173</v>
      </c>
      <c r="C49" s="412">
        <v>5</v>
      </c>
      <c r="D49" s="412">
        <v>0</v>
      </c>
      <c r="E49" s="412">
        <v>1</v>
      </c>
      <c r="F49" s="275">
        <f t="shared" si="1"/>
        <v>0.2</v>
      </c>
      <c r="G49" s="198">
        <v>5</v>
      </c>
      <c r="H49" s="183">
        <v>0</v>
      </c>
      <c r="I49" s="183">
        <v>0</v>
      </c>
      <c r="J49" s="279">
        <f t="shared" si="2"/>
        <v>0</v>
      </c>
      <c r="K49" s="648">
        <f>AQ11-X11</f>
        <v>10</v>
      </c>
      <c r="L49" s="412">
        <f t="shared" ref="L49:M49" si="18">AS11-Z11</f>
        <v>2</v>
      </c>
      <c r="M49" s="412">
        <f t="shared" si="18"/>
        <v>1</v>
      </c>
      <c r="N49" s="279">
        <f t="shared" si="4"/>
        <v>0.3</v>
      </c>
      <c r="O49" s="198">
        <f>BJ11-AQ11</f>
        <v>17</v>
      </c>
      <c r="P49" s="183">
        <f t="shared" ref="P49:Q49" si="19">BL11-AS11</f>
        <v>2</v>
      </c>
      <c r="Q49" s="183">
        <f t="shared" si="19"/>
        <v>2</v>
      </c>
      <c r="R49" s="275">
        <f t="shared" si="7"/>
        <v>0.23529411764705882</v>
      </c>
    </row>
    <row r="50" spans="2:18" ht="16.5" customHeight="1" x14ac:dyDescent="0.3">
      <c r="B50" s="642" t="s">
        <v>82</v>
      </c>
      <c r="C50" s="412">
        <v>8</v>
      </c>
      <c r="D50" s="412">
        <v>0</v>
      </c>
      <c r="E50" s="412">
        <v>1</v>
      </c>
      <c r="F50" s="275">
        <f t="shared" si="1"/>
        <v>0.125</v>
      </c>
      <c r="G50" s="198">
        <v>1</v>
      </c>
      <c r="H50" s="183">
        <v>0</v>
      </c>
      <c r="I50" s="183">
        <v>0</v>
      </c>
      <c r="J50" s="279">
        <f t="shared" si="2"/>
        <v>0</v>
      </c>
      <c r="K50" s="648">
        <f>AQ12-X12</f>
        <v>5</v>
      </c>
      <c r="L50" s="412">
        <f t="shared" ref="L50:M50" si="20">AS12-Z12</f>
        <v>1</v>
      </c>
      <c r="M50" s="412">
        <f t="shared" si="20"/>
        <v>1</v>
      </c>
      <c r="N50" s="279">
        <f t="shared" si="4"/>
        <v>0.4</v>
      </c>
      <c r="O50" s="198"/>
      <c r="P50" s="183"/>
      <c r="Q50" s="183"/>
      <c r="R50" s="275"/>
    </row>
    <row r="51" spans="2:18" x14ac:dyDescent="0.3">
      <c r="B51" s="642" t="s">
        <v>1226</v>
      </c>
      <c r="C51" s="412">
        <v>12</v>
      </c>
      <c r="D51" s="412">
        <v>1</v>
      </c>
      <c r="E51" s="412">
        <v>2</v>
      </c>
      <c r="F51" s="275">
        <f t="shared" si="1"/>
        <v>0.25</v>
      </c>
      <c r="G51" s="198">
        <v>2</v>
      </c>
      <c r="H51" s="183">
        <v>0</v>
      </c>
      <c r="I51" s="183">
        <v>0</v>
      </c>
      <c r="J51" s="279">
        <f t="shared" si="2"/>
        <v>0</v>
      </c>
      <c r="K51" s="648"/>
      <c r="L51" s="412"/>
      <c r="M51" s="412"/>
      <c r="N51" s="279"/>
      <c r="O51" s="198"/>
      <c r="P51" s="183"/>
      <c r="Q51" s="183"/>
      <c r="R51" s="275"/>
    </row>
    <row r="52" spans="2:18" x14ac:dyDescent="0.3">
      <c r="B52" s="642" t="s">
        <v>112</v>
      </c>
      <c r="C52" s="412"/>
      <c r="D52" s="412"/>
      <c r="E52" s="412"/>
      <c r="F52" s="275"/>
      <c r="G52" s="198">
        <v>1</v>
      </c>
      <c r="H52" s="183">
        <v>0</v>
      </c>
      <c r="I52" s="183">
        <v>0</v>
      </c>
      <c r="J52" s="279">
        <f t="shared" si="2"/>
        <v>0</v>
      </c>
      <c r="K52" s="648"/>
      <c r="L52" s="412"/>
      <c r="M52" s="412"/>
      <c r="N52" s="279"/>
      <c r="O52" s="198"/>
      <c r="P52" s="183"/>
      <c r="Q52" s="183"/>
      <c r="R52" s="275"/>
    </row>
    <row r="53" spans="2:18" x14ac:dyDescent="0.3">
      <c r="B53" s="642" t="s">
        <v>4172</v>
      </c>
      <c r="C53" s="412">
        <v>12</v>
      </c>
      <c r="D53" s="412">
        <v>2</v>
      </c>
      <c r="E53" s="412">
        <v>3</v>
      </c>
      <c r="F53" s="275">
        <f>(D53+E53)/C53</f>
        <v>0.41666666666666669</v>
      </c>
      <c r="G53" s="198">
        <v>14</v>
      </c>
      <c r="H53" s="183">
        <v>2</v>
      </c>
      <c r="I53" s="183">
        <v>1</v>
      </c>
      <c r="J53" s="279">
        <f t="shared" si="2"/>
        <v>0.21428571428571427</v>
      </c>
      <c r="K53" s="648">
        <f>AQ14-X14</f>
        <v>11</v>
      </c>
      <c r="L53" s="412">
        <f>AS14-Z14</f>
        <v>1</v>
      </c>
      <c r="M53" s="412">
        <f>AT14-AA14</f>
        <v>0</v>
      </c>
      <c r="N53" s="279">
        <f t="shared" si="4"/>
        <v>9.0909090909090912E-2</v>
      </c>
      <c r="O53" s="198">
        <f>BJ14-AQ14</f>
        <v>16</v>
      </c>
      <c r="P53" s="183">
        <f>BL14-AS14</f>
        <v>3</v>
      </c>
      <c r="Q53" s="183">
        <f>BM14-AT14</f>
        <v>1</v>
      </c>
      <c r="R53" s="275">
        <f t="shared" si="7"/>
        <v>0.25</v>
      </c>
    </row>
    <row r="54" spans="2:18" x14ac:dyDescent="0.3">
      <c r="B54" s="642" t="s">
        <v>83</v>
      </c>
      <c r="C54" s="412">
        <v>13</v>
      </c>
      <c r="D54" s="412">
        <v>1</v>
      </c>
      <c r="E54" s="412">
        <v>0</v>
      </c>
      <c r="F54" s="275">
        <f>(D54+E54)/C54</f>
        <v>7.6923076923076927E-2</v>
      </c>
      <c r="G54" s="198">
        <v>3</v>
      </c>
      <c r="H54" s="183">
        <v>0</v>
      </c>
      <c r="I54" s="183">
        <v>0</v>
      </c>
      <c r="J54" s="279">
        <f t="shared" si="2"/>
        <v>0</v>
      </c>
      <c r="K54" s="648">
        <f>AQ15-X15</f>
        <v>6</v>
      </c>
      <c r="L54" s="412">
        <f>AS15-Z15</f>
        <v>0</v>
      </c>
      <c r="M54" s="412">
        <f>AT15-AA15</f>
        <v>2</v>
      </c>
      <c r="N54" s="279">
        <f t="shared" si="4"/>
        <v>0.33333333333333331</v>
      </c>
      <c r="O54" s="198">
        <f>BJ15-AQ15</f>
        <v>16</v>
      </c>
      <c r="P54" s="183">
        <f>BL15-AS15</f>
        <v>1</v>
      </c>
      <c r="Q54" s="183">
        <f>BM15-AT15</f>
        <v>1</v>
      </c>
      <c r="R54" s="275">
        <f t="shared" si="7"/>
        <v>0.125</v>
      </c>
    </row>
    <row r="55" spans="2:18" x14ac:dyDescent="0.3">
      <c r="B55" s="642" t="s">
        <v>4398</v>
      </c>
      <c r="C55" s="183"/>
      <c r="D55" s="183"/>
      <c r="E55" s="183"/>
      <c r="F55" s="643"/>
      <c r="G55" s="198">
        <v>11</v>
      </c>
      <c r="H55" s="183">
        <v>3</v>
      </c>
      <c r="I55" s="183">
        <v>3</v>
      </c>
      <c r="J55" s="279">
        <f t="shared" si="2"/>
        <v>0.54545454545454541</v>
      </c>
      <c r="K55" s="648">
        <f>AQ36-X36</f>
        <v>11</v>
      </c>
      <c r="L55" s="412">
        <f>AS36-Z36</f>
        <v>1</v>
      </c>
      <c r="M55" s="412">
        <f>AT36-AA36</f>
        <v>1</v>
      </c>
      <c r="N55" s="279">
        <f t="shared" si="4"/>
        <v>0.18181818181818182</v>
      </c>
      <c r="O55" s="198">
        <f>BJ36-AQ36</f>
        <v>10</v>
      </c>
      <c r="P55" s="183">
        <f>BL36-AS36</f>
        <v>0</v>
      </c>
      <c r="Q55" s="183">
        <f>BM36-AT36</f>
        <v>1</v>
      </c>
      <c r="R55" s="275">
        <f t="shared" si="7"/>
        <v>0.1</v>
      </c>
    </row>
    <row r="56" spans="2:18" x14ac:dyDescent="0.3">
      <c r="B56" s="642" t="s">
        <v>4171</v>
      </c>
      <c r="C56" s="412">
        <v>14</v>
      </c>
      <c r="D56" s="412">
        <v>0</v>
      </c>
      <c r="E56" s="412">
        <v>7</v>
      </c>
      <c r="F56" s="275">
        <f t="shared" ref="F56:F68" si="21">(D56+E56)/C56</f>
        <v>0.5</v>
      </c>
      <c r="G56" s="198">
        <v>14</v>
      </c>
      <c r="H56" s="183">
        <v>1</v>
      </c>
      <c r="I56" s="183">
        <v>2</v>
      </c>
      <c r="J56" s="279">
        <f t="shared" si="2"/>
        <v>0.21428571428571427</v>
      </c>
      <c r="K56" s="648">
        <f>AQ16-X16</f>
        <v>11</v>
      </c>
      <c r="L56" s="412">
        <f>AS16-Z16</f>
        <v>0</v>
      </c>
      <c r="M56" s="412">
        <f>AT16-AA16</f>
        <v>2</v>
      </c>
      <c r="N56" s="279">
        <f t="shared" si="4"/>
        <v>0.18181818181818182</v>
      </c>
      <c r="O56" s="198">
        <f>BJ16-AQ16</f>
        <v>17</v>
      </c>
      <c r="P56" s="183">
        <f>BL16-AS16</f>
        <v>1</v>
      </c>
      <c r="Q56" s="183">
        <f>BM16-AT16</f>
        <v>4</v>
      </c>
      <c r="R56" s="275">
        <f t="shared" si="7"/>
        <v>0.29411764705882354</v>
      </c>
    </row>
    <row r="57" spans="2:18" x14ac:dyDescent="0.3">
      <c r="B57" s="642" t="s">
        <v>4173</v>
      </c>
      <c r="C57" s="412">
        <v>1</v>
      </c>
      <c r="D57" s="412">
        <v>0</v>
      </c>
      <c r="E57" s="412">
        <v>0</v>
      </c>
      <c r="F57" s="275">
        <f t="shared" si="21"/>
        <v>0</v>
      </c>
      <c r="G57" s="198">
        <v>7</v>
      </c>
      <c r="H57" s="183">
        <v>1</v>
      </c>
      <c r="I57" s="183">
        <v>0</v>
      </c>
      <c r="J57" s="279">
        <f t="shared" si="2"/>
        <v>0.14285714285714285</v>
      </c>
      <c r="K57" s="648">
        <f>AQ17-X17</f>
        <v>10</v>
      </c>
      <c r="L57" s="412">
        <f>AS17-Z17</f>
        <v>1</v>
      </c>
      <c r="M57" s="412">
        <f>AT17-AA17</f>
        <v>3</v>
      </c>
      <c r="N57" s="279">
        <f t="shared" si="4"/>
        <v>0.4</v>
      </c>
      <c r="O57" s="198">
        <f>BJ17-AQ17</f>
        <v>17</v>
      </c>
      <c r="P57" s="183">
        <f t="shared" ref="P57:Q57" si="22">BL17-AS17</f>
        <v>5</v>
      </c>
      <c r="Q57" s="183">
        <f t="shared" si="22"/>
        <v>3</v>
      </c>
      <c r="R57" s="275">
        <f t="shared" si="7"/>
        <v>0.47058823529411764</v>
      </c>
    </row>
    <row r="58" spans="2:18" x14ac:dyDescent="0.3">
      <c r="B58" s="642" t="s">
        <v>4174</v>
      </c>
      <c r="C58" s="412">
        <v>4</v>
      </c>
      <c r="D58" s="412">
        <v>0</v>
      </c>
      <c r="E58" s="412">
        <v>0</v>
      </c>
      <c r="F58" s="275">
        <f t="shared" si="21"/>
        <v>0</v>
      </c>
      <c r="G58" s="198">
        <v>8</v>
      </c>
      <c r="H58" s="183">
        <v>1</v>
      </c>
      <c r="I58" s="183">
        <v>4</v>
      </c>
      <c r="J58" s="279">
        <f t="shared" si="2"/>
        <v>0.625</v>
      </c>
      <c r="K58" s="648"/>
      <c r="L58" s="412"/>
      <c r="M58" s="412"/>
      <c r="N58" s="279"/>
      <c r="O58" s="198"/>
      <c r="P58" s="183"/>
      <c r="Q58" s="183"/>
      <c r="R58" s="275"/>
    </row>
    <row r="59" spans="2:18" x14ac:dyDescent="0.3">
      <c r="B59" s="642" t="s">
        <v>1224</v>
      </c>
      <c r="C59" s="412">
        <v>3</v>
      </c>
      <c r="D59" s="412">
        <v>0</v>
      </c>
      <c r="E59" s="412">
        <v>1</v>
      </c>
      <c r="F59" s="275">
        <f t="shared" si="21"/>
        <v>0.33333333333333331</v>
      </c>
      <c r="G59" s="198">
        <v>10</v>
      </c>
      <c r="H59" s="183">
        <v>1</v>
      </c>
      <c r="I59" s="183">
        <v>2</v>
      </c>
      <c r="J59" s="279">
        <f t="shared" si="2"/>
        <v>0.3</v>
      </c>
      <c r="K59" s="648">
        <f t="shared" ref="K59:K66" si="23">AQ19-X19</f>
        <v>3</v>
      </c>
      <c r="L59" s="412">
        <f t="shared" ref="L59:M66" si="24">AS19-Z19</f>
        <v>0</v>
      </c>
      <c r="M59" s="412">
        <f t="shared" si="24"/>
        <v>0</v>
      </c>
      <c r="N59" s="279">
        <f t="shared" si="4"/>
        <v>0</v>
      </c>
      <c r="O59" s="198">
        <f t="shared" ref="O59:O68" si="25">BJ19-AQ19</f>
        <v>3</v>
      </c>
      <c r="P59" s="183">
        <f t="shared" ref="P59:Q59" si="26">BL19-AS19</f>
        <v>0</v>
      </c>
      <c r="Q59" s="183">
        <f t="shared" si="26"/>
        <v>0</v>
      </c>
      <c r="R59" s="275">
        <f t="shared" si="7"/>
        <v>0</v>
      </c>
    </row>
    <row r="60" spans="2:18" x14ac:dyDescent="0.3">
      <c r="B60" s="642" t="s">
        <v>115</v>
      </c>
      <c r="C60" s="412">
        <v>3</v>
      </c>
      <c r="D60" s="412">
        <v>0</v>
      </c>
      <c r="E60" s="412">
        <v>0</v>
      </c>
      <c r="F60" s="275">
        <f t="shared" si="21"/>
        <v>0</v>
      </c>
      <c r="G60" s="198">
        <v>2</v>
      </c>
      <c r="H60" s="183">
        <v>0</v>
      </c>
      <c r="I60" s="183">
        <v>1</v>
      </c>
      <c r="J60" s="279">
        <f t="shared" si="2"/>
        <v>0.5</v>
      </c>
      <c r="K60" s="648">
        <f t="shared" si="23"/>
        <v>3</v>
      </c>
      <c r="L60" s="412">
        <f t="shared" si="24"/>
        <v>0</v>
      </c>
      <c r="M60" s="412">
        <f t="shared" si="24"/>
        <v>1</v>
      </c>
      <c r="N60" s="279">
        <f t="shared" si="4"/>
        <v>0.33333333333333331</v>
      </c>
      <c r="O60" s="198">
        <f t="shared" si="25"/>
        <v>2</v>
      </c>
      <c r="P60" s="183">
        <f t="shared" ref="P60:Q60" si="27">BL20-AS20</f>
        <v>0</v>
      </c>
      <c r="Q60" s="183">
        <f t="shared" si="27"/>
        <v>0</v>
      </c>
      <c r="R60" s="275">
        <f t="shared" si="7"/>
        <v>0</v>
      </c>
    </row>
    <row r="61" spans="2:18" x14ac:dyDescent="0.3">
      <c r="B61" s="642" t="s">
        <v>4034</v>
      </c>
      <c r="C61" s="412">
        <v>14</v>
      </c>
      <c r="D61" s="412">
        <v>1</v>
      </c>
      <c r="E61" s="412">
        <v>3</v>
      </c>
      <c r="F61" s="275">
        <f t="shared" si="21"/>
        <v>0.2857142857142857</v>
      </c>
      <c r="G61" s="198">
        <v>14</v>
      </c>
      <c r="H61" s="183">
        <v>3</v>
      </c>
      <c r="I61" s="183">
        <v>6</v>
      </c>
      <c r="J61" s="279">
        <f t="shared" si="2"/>
        <v>0.6428571428571429</v>
      </c>
      <c r="K61" s="648">
        <f t="shared" si="23"/>
        <v>11</v>
      </c>
      <c r="L61" s="412">
        <f t="shared" si="24"/>
        <v>0</v>
      </c>
      <c r="M61" s="412">
        <f t="shared" si="24"/>
        <v>2</v>
      </c>
      <c r="N61" s="279">
        <f t="shared" si="4"/>
        <v>0.18181818181818182</v>
      </c>
      <c r="O61" s="198">
        <f t="shared" si="25"/>
        <v>17</v>
      </c>
      <c r="P61" s="183">
        <f t="shared" ref="P61" si="28">BL21-AS21</f>
        <v>0</v>
      </c>
      <c r="Q61" s="183">
        <f>BM21-AT21</f>
        <v>3</v>
      </c>
      <c r="R61" s="275">
        <f t="shared" si="7"/>
        <v>0.17647058823529413</v>
      </c>
    </row>
    <row r="62" spans="2:18" x14ac:dyDescent="0.3">
      <c r="B62" s="642" t="s">
        <v>4031</v>
      </c>
      <c r="C62" s="412">
        <v>14</v>
      </c>
      <c r="D62" s="412">
        <v>6</v>
      </c>
      <c r="E62" s="412">
        <v>8</v>
      </c>
      <c r="F62" s="275">
        <f t="shared" si="21"/>
        <v>1</v>
      </c>
      <c r="G62" s="198">
        <v>14</v>
      </c>
      <c r="H62" s="183">
        <v>5</v>
      </c>
      <c r="I62" s="183">
        <v>5</v>
      </c>
      <c r="J62" s="279">
        <f t="shared" si="2"/>
        <v>0.7142857142857143</v>
      </c>
      <c r="K62" s="648">
        <f t="shared" si="23"/>
        <v>3</v>
      </c>
      <c r="L62" s="412">
        <f t="shared" si="24"/>
        <v>1</v>
      </c>
      <c r="M62" s="412">
        <f t="shared" si="24"/>
        <v>1</v>
      </c>
      <c r="N62" s="279">
        <f t="shared" si="4"/>
        <v>0.66666666666666663</v>
      </c>
      <c r="O62" s="198">
        <f t="shared" si="25"/>
        <v>17</v>
      </c>
      <c r="P62" s="183">
        <f t="shared" ref="P62:Q62" si="29">BL22-AS22</f>
        <v>8</v>
      </c>
      <c r="Q62" s="183">
        <f t="shared" si="29"/>
        <v>8</v>
      </c>
      <c r="R62" s="275">
        <f t="shared" si="7"/>
        <v>0.94117647058823528</v>
      </c>
    </row>
    <row r="63" spans="2:18" x14ac:dyDescent="0.3">
      <c r="B63" s="642" t="s">
        <v>3622</v>
      </c>
      <c r="C63" s="412">
        <v>7</v>
      </c>
      <c r="D63" s="412">
        <v>2</v>
      </c>
      <c r="E63" s="412">
        <v>0</v>
      </c>
      <c r="F63" s="275">
        <f t="shared" si="21"/>
        <v>0.2857142857142857</v>
      </c>
      <c r="G63" s="198">
        <v>13</v>
      </c>
      <c r="H63" s="183">
        <v>1</v>
      </c>
      <c r="I63" s="183">
        <v>1</v>
      </c>
      <c r="J63" s="279">
        <f t="shared" si="2"/>
        <v>0.15384615384615385</v>
      </c>
      <c r="K63" s="648">
        <f t="shared" si="23"/>
        <v>11</v>
      </c>
      <c r="L63" s="412">
        <f t="shared" si="24"/>
        <v>2</v>
      </c>
      <c r="M63" s="412">
        <f t="shared" si="24"/>
        <v>0</v>
      </c>
      <c r="N63" s="279">
        <f t="shared" si="4"/>
        <v>0.18181818181818182</v>
      </c>
      <c r="O63" s="198">
        <f t="shared" si="25"/>
        <v>14</v>
      </c>
      <c r="P63" s="183">
        <f t="shared" ref="P63:Q63" si="30">BL23-AS23</f>
        <v>2</v>
      </c>
      <c r="Q63" s="183">
        <f t="shared" si="30"/>
        <v>1</v>
      </c>
      <c r="R63" s="275">
        <f t="shared" si="7"/>
        <v>0.21428571428571427</v>
      </c>
    </row>
    <row r="64" spans="2:18" x14ac:dyDescent="0.3">
      <c r="B64" s="642" t="s">
        <v>4068</v>
      </c>
      <c r="C64" s="412">
        <v>13</v>
      </c>
      <c r="D64" s="412">
        <v>3</v>
      </c>
      <c r="E64" s="412">
        <v>2</v>
      </c>
      <c r="F64" s="275">
        <f t="shared" si="21"/>
        <v>0.38461538461538464</v>
      </c>
      <c r="G64" s="198">
        <v>14</v>
      </c>
      <c r="H64" s="183">
        <v>0</v>
      </c>
      <c r="I64" s="183">
        <v>7</v>
      </c>
      <c r="J64" s="279">
        <f t="shared" si="2"/>
        <v>0.5</v>
      </c>
      <c r="K64" s="648">
        <f t="shared" si="23"/>
        <v>11</v>
      </c>
      <c r="L64" s="412">
        <f t="shared" si="24"/>
        <v>4</v>
      </c>
      <c r="M64" s="412">
        <f t="shared" si="24"/>
        <v>0</v>
      </c>
      <c r="N64" s="279">
        <f t="shared" si="4"/>
        <v>0.36363636363636365</v>
      </c>
      <c r="O64" s="198">
        <f t="shared" si="25"/>
        <v>17</v>
      </c>
      <c r="P64" s="183">
        <f t="shared" ref="P64:Q64" si="31">BL24-AS24</f>
        <v>2</v>
      </c>
      <c r="Q64" s="183">
        <f t="shared" si="31"/>
        <v>3</v>
      </c>
      <c r="R64" s="275">
        <f t="shared" si="7"/>
        <v>0.29411764705882354</v>
      </c>
    </row>
    <row r="65" spans="1:18" x14ac:dyDescent="0.3">
      <c r="B65" s="642" t="s">
        <v>1176</v>
      </c>
      <c r="C65" s="412">
        <v>2</v>
      </c>
      <c r="D65" s="412">
        <v>0</v>
      </c>
      <c r="E65" s="412">
        <v>2</v>
      </c>
      <c r="F65" s="275">
        <f t="shared" si="21"/>
        <v>1</v>
      </c>
      <c r="G65" s="198">
        <v>11</v>
      </c>
      <c r="H65" s="183">
        <v>1</v>
      </c>
      <c r="I65" s="183">
        <v>2</v>
      </c>
      <c r="J65" s="279">
        <f t="shared" si="2"/>
        <v>0.27272727272727271</v>
      </c>
      <c r="K65" s="648">
        <f t="shared" si="23"/>
        <v>9</v>
      </c>
      <c r="L65" s="412">
        <f t="shared" si="24"/>
        <v>1</v>
      </c>
      <c r="M65" s="412">
        <f t="shared" si="24"/>
        <v>0</v>
      </c>
      <c r="N65" s="279">
        <f t="shared" si="4"/>
        <v>0.1111111111111111</v>
      </c>
      <c r="O65" s="198">
        <f t="shared" si="25"/>
        <v>12</v>
      </c>
      <c r="P65" s="183">
        <f t="shared" ref="P65:Q65" si="32">BL25-AS25</f>
        <v>2</v>
      </c>
      <c r="Q65" s="183">
        <f t="shared" si="32"/>
        <v>3</v>
      </c>
      <c r="R65" s="275">
        <f t="shared" si="7"/>
        <v>0.41666666666666669</v>
      </c>
    </row>
    <row r="66" spans="1:18" x14ac:dyDescent="0.3">
      <c r="B66" s="642" t="s">
        <v>3614</v>
      </c>
      <c r="C66" s="412">
        <v>14</v>
      </c>
      <c r="D66" s="412">
        <v>7</v>
      </c>
      <c r="E66" s="412">
        <v>3</v>
      </c>
      <c r="F66" s="275">
        <f t="shared" si="21"/>
        <v>0.7142857142857143</v>
      </c>
      <c r="G66" s="198">
        <v>13</v>
      </c>
      <c r="H66" s="183">
        <v>3</v>
      </c>
      <c r="I66" s="183">
        <v>2</v>
      </c>
      <c r="J66" s="279">
        <f t="shared" si="2"/>
        <v>0.38461538461538464</v>
      </c>
      <c r="K66" s="648">
        <f t="shared" si="23"/>
        <v>11</v>
      </c>
      <c r="L66" s="412">
        <f t="shared" si="24"/>
        <v>0</v>
      </c>
      <c r="M66" s="412">
        <f t="shared" si="24"/>
        <v>3</v>
      </c>
      <c r="N66" s="279">
        <f t="shared" si="4"/>
        <v>0.27272727272727271</v>
      </c>
      <c r="O66" s="198">
        <f t="shared" si="25"/>
        <v>13</v>
      </c>
      <c r="P66" s="183">
        <f t="shared" ref="P66:Q66" si="33">BL26-AS26</f>
        <v>0</v>
      </c>
      <c r="Q66" s="183">
        <f t="shared" si="33"/>
        <v>6</v>
      </c>
      <c r="R66" s="275">
        <f t="shared" si="7"/>
        <v>0.46153846153846156</v>
      </c>
    </row>
    <row r="67" spans="1:18" ht="16.5" customHeight="1" x14ac:dyDescent="0.3">
      <c r="B67" s="642" t="s">
        <v>3617</v>
      </c>
      <c r="C67" s="412">
        <v>14</v>
      </c>
      <c r="D67" s="412">
        <v>2</v>
      </c>
      <c r="E67" s="412">
        <v>3</v>
      </c>
      <c r="F67" s="275">
        <f t="shared" si="21"/>
        <v>0.35714285714285715</v>
      </c>
      <c r="G67" s="198">
        <v>3</v>
      </c>
      <c r="H67" s="183">
        <v>0</v>
      </c>
      <c r="I67" s="183">
        <v>0</v>
      </c>
      <c r="J67" s="279">
        <f t="shared" si="2"/>
        <v>0</v>
      </c>
      <c r="K67" s="648"/>
      <c r="L67" s="412"/>
      <c r="M67" s="412"/>
      <c r="N67" s="279"/>
      <c r="O67" s="198"/>
      <c r="P67" s="183"/>
      <c r="Q67" s="183"/>
      <c r="R67" s="275"/>
    </row>
    <row r="68" spans="1:18" ht="17.25" customHeight="1" x14ac:dyDescent="0.3">
      <c r="B68" s="642" t="s">
        <v>4033</v>
      </c>
      <c r="C68" s="412">
        <v>14</v>
      </c>
      <c r="D68" s="412">
        <v>1</v>
      </c>
      <c r="E68" s="412">
        <v>4</v>
      </c>
      <c r="F68" s="275">
        <f t="shared" si="21"/>
        <v>0.35714285714285715</v>
      </c>
      <c r="G68" s="198">
        <v>14</v>
      </c>
      <c r="H68" s="183">
        <v>3</v>
      </c>
      <c r="I68" s="183">
        <v>5</v>
      </c>
      <c r="J68" s="279">
        <f t="shared" si="2"/>
        <v>0.5714285714285714</v>
      </c>
      <c r="K68" s="648">
        <f>AQ28-X28</f>
        <v>9</v>
      </c>
      <c r="L68" s="412">
        <f>AS28-Z28</f>
        <v>3</v>
      </c>
      <c r="M68" s="412">
        <f>AT28-AA28</f>
        <v>2</v>
      </c>
      <c r="N68" s="279">
        <f t="shared" si="4"/>
        <v>0.55555555555555558</v>
      </c>
      <c r="O68" s="198">
        <f t="shared" si="25"/>
        <v>5</v>
      </c>
      <c r="P68" s="183">
        <f t="shared" ref="P68:Q68" si="34">BL28-AS28</f>
        <v>2</v>
      </c>
      <c r="Q68" s="183">
        <f t="shared" si="34"/>
        <v>3</v>
      </c>
      <c r="R68" s="275">
        <f t="shared" si="7"/>
        <v>1</v>
      </c>
    </row>
    <row r="69" spans="1:18" ht="17.25" customHeight="1" x14ac:dyDescent="0.3">
      <c r="B69" s="642" t="s">
        <v>122</v>
      </c>
      <c r="C69" s="412">
        <v>14</v>
      </c>
      <c r="D69" s="412">
        <v>3</v>
      </c>
      <c r="E69" s="412">
        <v>4</v>
      </c>
      <c r="F69" s="275">
        <f>(D69+E69)/C69</f>
        <v>0.5</v>
      </c>
      <c r="G69" s="198">
        <v>14</v>
      </c>
      <c r="H69" s="183">
        <v>3</v>
      </c>
      <c r="I69" s="183">
        <v>3</v>
      </c>
      <c r="J69" s="279">
        <f t="shared" si="2"/>
        <v>0.42857142857142855</v>
      </c>
      <c r="K69" s="648">
        <f>AQ29-X29</f>
        <v>11</v>
      </c>
      <c r="L69" s="412">
        <f>AS29-Z29</f>
        <v>1</v>
      </c>
      <c r="M69" s="412">
        <f>AT29-AA29</f>
        <v>5</v>
      </c>
      <c r="N69" s="279">
        <f t="shared" si="4"/>
        <v>0.54545454545454541</v>
      </c>
      <c r="O69" s="198">
        <f>BJ29-AQ29</f>
        <v>17</v>
      </c>
      <c r="P69" s="183">
        <f t="shared" ref="P69" si="35">BL29-AS29</f>
        <v>1</v>
      </c>
      <c r="Q69" s="183">
        <f>BM29-AT29</f>
        <v>4</v>
      </c>
      <c r="R69" s="275">
        <f t="shared" si="7"/>
        <v>0.29411764705882354</v>
      </c>
    </row>
    <row r="70" spans="1:18" x14ac:dyDescent="0.3">
      <c r="B70" s="642" t="s">
        <v>4037</v>
      </c>
      <c r="C70" s="557"/>
      <c r="D70" s="557"/>
      <c r="E70" s="557"/>
      <c r="F70" s="643"/>
      <c r="G70" s="642"/>
      <c r="H70" s="557"/>
      <c r="I70" s="557"/>
      <c r="J70" s="643"/>
      <c r="K70" s="648">
        <f>AQ35</f>
        <v>5</v>
      </c>
      <c r="L70" s="412">
        <f>AS35</f>
        <v>0</v>
      </c>
      <c r="M70" s="412">
        <f>AT35</f>
        <v>3</v>
      </c>
      <c r="N70" s="275">
        <f t="shared" si="4"/>
        <v>0.6</v>
      </c>
      <c r="O70" s="198">
        <f>BJ35-AQ35</f>
        <v>15</v>
      </c>
      <c r="P70" s="183">
        <f>BL35-AS35</f>
        <v>3</v>
      </c>
      <c r="Q70" s="183">
        <f>BM35-AT35</f>
        <v>1</v>
      </c>
      <c r="R70" s="275">
        <f t="shared" si="7"/>
        <v>0.26666666666666666</v>
      </c>
    </row>
    <row r="71" spans="1:18" x14ac:dyDescent="0.3">
      <c r="B71" s="642" t="s">
        <v>1227</v>
      </c>
      <c r="C71" s="557"/>
      <c r="D71" s="557"/>
      <c r="E71" s="557"/>
      <c r="F71" s="643"/>
      <c r="G71" s="642"/>
      <c r="H71" s="557"/>
      <c r="I71" s="557"/>
      <c r="J71" s="643"/>
      <c r="K71" s="648">
        <f t="shared" ref="K71:K72" si="36">AQ32</f>
        <v>1</v>
      </c>
      <c r="L71" s="412">
        <f t="shared" ref="L71:M71" si="37">AS32</f>
        <v>0</v>
      </c>
      <c r="M71" s="412">
        <f t="shared" si="37"/>
        <v>2</v>
      </c>
      <c r="N71" s="275">
        <f t="shared" ref="N71:N72" si="38">(L71+M71)/K71</f>
        <v>2</v>
      </c>
      <c r="O71" s="642"/>
      <c r="P71" s="557"/>
      <c r="Q71" s="557"/>
      <c r="R71" s="275"/>
    </row>
    <row r="72" spans="1:18" ht="15" thickBot="1" x14ac:dyDescent="0.35">
      <c r="B72" s="644" t="s">
        <v>4040</v>
      </c>
      <c r="C72" s="645"/>
      <c r="D72" s="645"/>
      <c r="E72" s="645"/>
      <c r="F72" s="646"/>
      <c r="G72" s="644"/>
      <c r="H72" s="645"/>
      <c r="I72" s="645"/>
      <c r="J72" s="646"/>
      <c r="K72" s="649">
        <f t="shared" si="36"/>
        <v>1</v>
      </c>
      <c r="L72" s="650">
        <f t="shared" ref="L72:M72" si="39">AS33</f>
        <v>0</v>
      </c>
      <c r="M72" s="650">
        <f t="shared" si="39"/>
        <v>0</v>
      </c>
      <c r="N72" s="276">
        <f t="shared" si="38"/>
        <v>0</v>
      </c>
      <c r="O72" s="199">
        <f>BJ33-AQ33</f>
        <v>2</v>
      </c>
      <c r="P72" s="200">
        <v>0</v>
      </c>
      <c r="Q72" s="200">
        <v>0</v>
      </c>
      <c r="R72" s="276">
        <f t="shared" si="7"/>
        <v>0</v>
      </c>
    </row>
    <row r="73" spans="1:18" ht="8.25" customHeight="1" thickBot="1" x14ac:dyDescent="0.35"/>
    <row r="74" spans="1:18" ht="15" thickBot="1" x14ac:dyDescent="0.35">
      <c r="B74" s="556"/>
      <c r="C74" s="1164" t="s">
        <v>4586</v>
      </c>
      <c r="D74" s="1164"/>
      <c r="E74" s="1164"/>
      <c r="F74" s="1165"/>
    </row>
    <row r="75" spans="1:18" ht="15" thickBot="1" x14ac:dyDescent="0.35">
      <c r="B75" s="559" t="s">
        <v>0</v>
      </c>
      <c r="C75" s="560" t="s">
        <v>4176</v>
      </c>
      <c r="D75" s="560" t="s">
        <v>4177</v>
      </c>
      <c r="E75" s="560" t="s">
        <v>4178</v>
      </c>
      <c r="F75" s="561" t="s">
        <v>4179</v>
      </c>
      <c r="K75" s="2"/>
    </row>
    <row r="76" spans="1:18" x14ac:dyDescent="0.3">
      <c r="A76" s="2">
        <v>1</v>
      </c>
      <c r="B76" s="652" t="s">
        <v>4031</v>
      </c>
      <c r="C76" s="653">
        <v>48</v>
      </c>
      <c r="D76" s="653">
        <v>20</v>
      </c>
      <c r="E76" s="653">
        <v>22</v>
      </c>
      <c r="F76" s="654">
        <v>0.875</v>
      </c>
      <c r="K76" s="597"/>
      <c r="L76" s="496"/>
    </row>
    <row r="77" spans="1:18" x14ac:dyDescent="0.3">
      <c r="A77" s="2">
        <v>2</v>
      </c>
      <c r="B77" s="642" t="s">
        <v>4170</v>
      </c>
      <c r="C77" s="558">
        <v>56</v>
      </c>
      <c r="D77" s="558">
        <v>18</v>
      </c>
      <c r="E77" s="558">
        <v>30</v>
      </c>
      <c r="F77" s="279">
        <v>0.8571428571428571</v>
      </c>
      <c r="K77" s="597"/>
      <c r="L77" s="496"/>
    </row>
    <row r="78" spans="1:18" x14ac:dyDescent="0.3">
      <c r="A78" s="2">
        <v>3</v>
      </c>
      <c r="B78" s="642" t="s">
        <v>4033</v>
      </c>
      <c r="C78" s="558">
        <v>42</v>
      </c>
      <c r="D78" s="558">
        <v>9</v>
      </c>
      <c r="E78" s="558">
        <v>14</v>
      </c>
      <c r="F78" s="279">
        <v>0.54761904761904767</v>
      </c>
      <c r="L78" s="496"/>
    </row>
    <row r="79" spans="1:18" x14ac:dyDescent="0.3">
      <c r="A79" s="2">
        <v>4</v>
      </c>
      <c r="B79" s="642" t="s">
        <v>4032</v>
      </c>
      <c r="C79" s="558">
        <v>52</v>
      </c>
      <c r="D79" s="558">
        <v>10</v>
      </c>
      <c r="E79" s="558">
        <v>15</v>
      </c>
      <c r="F79" s="279">
        <v>0.48076923076923078</v>
      </c>
      <c r="K79" s="597"/>
      <c r="L79" s="496"/>
    </row>
    <row r="80" spans="1:18" x14ac:dyDescent="0.3">
      <c r="A80" s="2">
        <v>5</v>
      </c>
      <c r="B80" s="642" t="s">
        <v>3614</v>
      </c>
      <c r="C80" s="558">
        <v>51</v>
      </c>
      <c r="D80" s="558">
        <v>10</v>
      </c>
      <c r="E80" s="558">
        <v>14</v>
      </c>
      <c r="F80" s="279">
        <v>0.47058823529411764</v>
      </c>
      <c r="K80" s="597"/>
      <c r="L80" s="496"/>
    </row>
    <row r="81" spans="1:12" x14ac:dyDescent="0.3">
      <c r="A81" s="2">
        <v>6</v>
      </c>
      <c r="B81" s="642" t="s">
        <v>4069</v>
      </c>
      <c r="C81" s="558">
        <v>51</v>
      </c>
      <c r="D81" s="558">
        <v>11</v>
      </c>
      <c r="E81" s="558">
        <v>12</v>
      </c>
      <c r="F81" s="279">
        <v>0.45098039215686275</v>
      </c>
      <c r="K81" s="597"/>
      <c r="L81" s="496"/>
    </row>
    <row r="82" spans="1:12" x14ac:dyDescent="0.3">
      <c r="A82" s="2">
        <v>7</v>
      </c>
      <c r="B82" s="642" t="s">
        <v>122</v>
      </c>
      <c r="C82" s="558">
        <v>56</v>
      </c>
      <c r="D82" s="558">
        <v>8</v>
      </c>
      <c r="E82" s="558">
        <v>16</v>
      </c>
      <c r="F82" s="279">
        <v>0.42857142857142855</v>
      </c>
      <c r="K82" s="597"/>
      <c r="L82" s="496"/>
    </row>
    <row r="83" spans="1:12" x14ac:dyDescent="0.3">
      <c r="A83" s="2">
        <v>8</v>
      </c>
      <c r="B83" s="642" t="s">
        <v>4174</v>
      </c>
      <c r="C83" s="558">
        <v>12</v>
      </c>
      <c r="D83" s="558">
        <v>1</v>
      </c>
      <c r="E83" s="558">
        <v>4</v>
      </c>
      <c r="F83" s="279">
        <v>0.41666666666666669</v>
      </c>
      <c r="K83" s="597"/>
      <c r="L83" s="496"/>
    </row>
    <row r="84" spans="1:12" x14ac:dyDescent="0.3">
      <c r="A84" s="2">
        <v>9</v>
      </c>
      <c r="B84" s="642" t="s">
        <v>124</v>
      </c>
      <c r="C84" s="558">
        <v>41</v>
      </c>
      <c r="D84" s="558">
        <v>2</v>
      </c>
      <c r="E84" s="558">
        <v>14</v>
      </c>
      <c r="F84" s="279">
        <v>0.3902439024390244</v>
      </c>
      <c r="K84" s="597"/>
      <c r="L84" s="496"/>
    </row>
    <row r="85" spans="1:12" x14ac:dyDescent="0.3">
      <c r="A85" s="2">
        <v>10</v>
      </c>
      <c r="B85" s="642" t="s">
        <v>4068</v>
      </c>
      <c r="C85" s="558">
        <v>55</v>
      </c>
      <c r="D85" s="558">
        <v>9</v>
      </c>
      <c r="E85" s="558">
        <v>12</v>
      </c>
      <c r="F85" s="279">
        <v>0.38181818181818183</v>
      </c>
      <c r="K85" s="597"/>
      <c r="L85" s="496"/>
    </row>
    <row r="86" spans="1:12" x14ac:dyDescent="0.3">
      <c r="A86" s="2">
        <v>11</v>
      </c>
      <c r="B86" s="642" t="s">
        <v>4173</v>
      </c>
      <c r="C86" s="558">
        <v>35</v>
      </c>
      <c r="D86" s="558">
        <v>7</v>
      </c>
      <c r="E86" s="558">
        <v>6</v>
      </c>
      <c r="F86" s="279">
        <v>0.37142857142857144</v>
      </c>
      <c r="K86" s="597"/>
      <c r="L86" s="496"/>
    </row>
    <row r="87" spans="1:12" ht="15" customHeight="1" x14ac:dyDescent="0.3">
      <c r="A87" s="2">
        <v>12</v>
      </c>
      <c r="B87" s="642" t="s">
        <v>4037</v>
      </c>
      <c r="C87" s="558">
        <v>20</v>
      </c>
      <c r="D87" s="558">
        <v>3</v>
      </c>
      <c r="E87" s="558">
        <v>4</v>
      </c>
      <c r="F87" s="279">
        <v>0.35</v>
      </c>
      <c r="K87" s="597"/>
      <c r="L87" s="496"/>
    </row>
    <row r="88" spans="1:12" ht="16.5" customHeight="1" x14ac:dyDescent="0.3">
      <c r="A88" s="2">
        <v>13</v>
      </c>
      <c r="B88" s="642" t="s">
        <v>1176</v>
      </c>
      <c r="C88" s="558">
        <v>34</v>
      </c>
      <c r="D88" s="558">
        <v>4</v>
      </c>
      <c r="E88" s="558">
        <v>7</v>
      </c>
      <c r="F88" s="279">
        <v>0.3235294117647059</v>
      </c>
      <c r="K88" s="597"/>
      <c r="L88" s="496"/>
    </row>
    <row r="89" spans="1:12" x14ac:dyDescent="0.3">
      <c r="A89" s="2">
        <v>14</v>
      </c>
      <c r="B89" s="642" t="s">
        <v>4034</v>
      </c>
      <c r="C89" s="558">
        <v>56</v>
      </c>
      <c r="D89" s="558">
        <v>4</v>
      </c>
      <c r="E89" s="558">
        <v>14</v>
      </c>
      <c r="F89" s="279">
        <v>0.32142857142857145</v>
      </c>
      <c r="K89" s="597"/>
      <c r="L89" s="496"/>
    </row>
    <row r="90" spans="1:12" x14ac:dyDescent="0.3">
      <c r="A90" s="2">
        <v>15</v>
      </c>
      <c r="B90" s="642" t="s">
        <v>4171</v>
      </c>
      <c r="C90" s="558">
        <v>56</v>
      </c>
      <c r="D90" s="558">
        <v>2</v>
      </c>
      <c r="E90" s="558">
        <v>15</v>
      </c>
      <c r="F90" s="279">
        <v>0.30357142857142855</v>
      </c>
      <c r="K90" s="597"/>
      <c r="L90" s="496"/>
    </row>
    <row r="91" spans="1:12" x14ac:dyDescent="0.3">
      <c r="A91" s="2">
        <v>16</v>
      </c>
      <c r="B91" s="642" t="s">
        <v>3617</v>
      </c>
      <c r="C91" s="558">
        <v>17</v>
      </c>
      <c r="D91" s="558">
        <v>2</v>
      </c>
      <c r="E91" s="558">
        <v>3</v>
      </c>
      <c r="F91" s="279">
        <v>0.29411764705882354</v>
      </c>
      <c r="K91" s="597"/>
      <c r="L91" s="496"/>
    </row>
    <row r="92" spans="1:12" x14ac:dyDescent="0.3">
      <c r="A92" s="2">
        <v>17</v>
      </c>
      <c r="B92" s="642" t="s">
        <v>4398</v>
      </c>
      <c r="C92" s="558">
        <v>32</v>
      </c>
      <c r="D92" s="558">
        <v>4</v>
      </c>
      <c r="E92" s="558">
        <v>5</v>
      </c>
      <c r="F92" s="279">
        <v>0.28125</v>
      </c>
      <c r="K92" s="597"/>
      <c r="L92" s="496"/>
    </row>
    <row r="93" spans="1:12" x14ac:dyDescent="0.3">
      <c r="A93" s="2">
        <v>18</v>
      </c>
      <c r="B93" s="642" t="s">
        <v>4172</v>
      </c>
      <c r="C93" s="558">
        <v>53</v>
      </c>
      <c r="D93" s="558">
        <v>8</v>
      </c>
      <c r="E93" s="558">
        <v>5</v>
      </c>
      <c r="F93" s="279">
        <v>0.24528301886792453</v>
      </c>
      <c r="K93" s="597"/>
      <c r="L93" s="496"/>
    </row>
    <row r="94" spans="1:12" x14ac:dyDescent="0.3">
      <c r="A94" s="2">
        <v>19</v>
      </c>
      <c r="B94" s="642" t="s">
        <v>1173</v>
      </c>
      <c r="C94" s="558">
        <v>37</v>
      </c>
      <c r="D94" s="558">
        <v>4</v>
      </c>
      <c r="E94" s="558">
        <v>4</v>
      </c>
      <c r="F94" s="279">
        <v>0.21621621621621623</v>
      </c>
      <c r="K94" s="597"/>
      <c r="L94" s="496"/>
    </row>
    <row r="95" spans="1:12" x14ac:dyDescent="0.3">
      <c r="A95" s="2">
        <v>20</v>
      </c>
      <c r="B95" s="642" t="s">
        <v>82</v>
      </c>
      <c r="C95" s="558">
        <v>14</v>
      </c>
      <c r="D95" s="558">
        <v>1</v>
      </c>
      <c r="E95" s="558">
        <v>2</v>
      </c>
      <c r="F95" s="279">
        <v>0.21428571428571427</v>
      </c>
      <c r="K95" s="597"/>
      <c r="L95" s="496"/>
    </row>
    <row r="96" spans="1:12" x14ac:dyDescent="0.3">
      <c r="A96" s="2">
        <v>21</v>
      </c>
      <c r="B96" s="642" t="s">
        <v>1226</v>
      </c>
      <c r="C96" s="558">
        <v>14</v>
      </c>
      <c r="D96" s="558">
        <v>1</v>
      </c>
      <c r="E96" s="558">
        <v>2</v>
      </c>
      <c r="F96" s="279">
        <v>0.21428571428571427</v>
      </c>
      <c r="K96" s="597"/>
      <c r="L96" s="496"/>
    </row>
    <row r="97" spans="1:12" x14ac:dyDescent="0.3">
      <c r="A97" s="2">
        <v>22</v>
      </c>
      <c r="B97" s="642" t="s">
        <v>1224</v>
      </c>
      <c r="C97" s="558">
        <v>19</v>
      </c>
      <c r="D97" s="558">
        <v>1</v>
      </c>
      <c r="E97" s="558">
        <v>3</v>
      </c>
      <c r="F97" s="279">
        <v>0.21052631578947367</v>
      </c>
      <c r="K97" s="597"/>
      <c r="L97" s="496"/>
    </row>
    <row r="98" spans="1:12" x14ac:dyDescent="0.3">
      <c r="A98" s="2">
        <v>23</v>
      </c>
      <c r="B98" s="642" t="s">
        <v>3622</v>
      </c>
      <c r="C98" s="558">
        <v>45</v>
      </c>
      <c r="D98" s="558">
        <v>7</v>
      </c>
      <c r="E98" s="558">
        <v>2</v>
      </c>
      <c r="F98" s="279">
        <v>0.2</v>
      </c>
      <c r="K98" s="597"/>
      <c r="L98" s="496"/>
    </row>
    <row r="99" spans="1:12" x14ac:dyDescent="0.3">
      <c r="A99" s="2">
        <v>24</v>
      </c>
      <c r="B99" s="642" t="s">
        <v>115</v>
      </c>
      <c r="C99" s="558">
        <v>10</v>
      </c>
      <c r="D99" s="558">
        <v>0</v>
      </c>
      <c r="E99" s="558">
        <v>2</v>
      </c>
      <c r="F99" s="279">
        <v>0.2</v>
      </c>
      <c r="K99" s="597"/>
      <c r="L99" s="496"/>
    </row>
    <row r="100" spans="1:12" x14ac:dyDescent="0.3">
      <c r="A100" s="2">
        <v>25</v>
      </c>
      <c r="B100" s="642" t="s">
        <v>108</v>
      </c>
      <c r="C100" s="558">
        <v>41</v>
      </c>
      <c r="D100" s="558">
        <v>2</v>
      </c>
      <c r="E100" s="558">
        <v>5</v>
      </c>
      <c r="F100" s="279">
        <v>0.17073170731707318</v>
      </c>
      <c r="K100" s="597"/>
      <c r="L100" s="496"/>
    </row>
    <row r="101" spans="1:12" x14ac:dyDescent="0.3">
      <c r="A101" s="2">
        <v>26</v>
      </c>
      <c r="B101" s="642" t="s">
        <v>83</v>
      </c>
      <c r="C101" s="558">
        <v>38</v>
      </c>
      <c r="D101" s="558">
        <v>2</v>
      </c>
      <c r="E101" s="558">
        <v>3</v>
      </c>
      <c r="F101" s="279">
        <v>0.13157894736842105</v>
      </c>
      <c r="K101" s="597"/>
      <c r="L101" s="496"/>
    </row>
    <row r="102" spans="1:12" x14ac:dyDescent="0.3">
      <c r="A102" s="2">
        <v>27</v>
      </c>
      <c r="B102" s="642" t="s">
        <v>4041</v>
      </c>
      <c r="C102" s="558">
        <v>29</v>
      </c>
      <c r="D102" s="558">
        <v>0</v>
      </c>
      <c r="E102" s="558">
        <v>3</v>
      </c>
      <c r="F102" s="279">
        <v>0.10344827586206896</v>
      </c>
      <c r="K102" s="597"/>
      <c r="L102" s="496"/>
    </row>
    <row r="103" spans="1:12" x14ac:dyDescent="0.3">
      <c r="A103" s="2">
        <v>28</v>
      </c>
      <c r="B103" s="642" t="s">
        <v>4039</v>
      </c>
      <c r="C103" s="558">
        <v>35</v>
      </c>
      <c r="D103" s="558">
        <v>0</v>
      </c>
      <c r="E103" s="558">
        <v>3</v>
      </c>
      <c r="F103" s="279">
        <v>8.5714285714285715E-2</v>
      </c>
      <c r="K103" s="597"/>
      <c r="L103" s="496"/>
    </row>
    <row r="104" spans="1:12" x14ac:dyDescent="0.3">
      <c r="B104" s="642" t="s">
        <v>1227</v>
      </c>
      <c r="C104" s="558">
        <v>1</v>
      </c>
      <c r="D104" s="558">
        <v>0</v>
      </c>
      <c r="E104" s="558">
        <v>2</v>
      </c>
      <c r="F104" s="279">
        <v>2</v>
      </c>
      <c r="K104" s="597"/>
      <c r="L104" s="496"/>
    </row>
    <row r="105" spans="1:12" x14ac:dyDescent="0.3">
      <c r="B105" s="642" t="s">
        <v>112</v>
      </c>
      <c r="C105" s="558">
        <v>1</v>
      </c>
      <c r="D105" s="558">
        <v>0</v>
      </c>
      <c r="E105" s="558">
        <v>0</v>
      </c>
      <c r="F105" s="279">
        <v>0</v>
      </c>
    </row>
    <row r="106" spans="1:12" x14ac:dyDescent="0.3">
      <c r="B106" s="642" t="s">
        <v>97</v>
      </c>
      <c r="C106" s="558">
        <v>1</v>
      </c>
      <c r="D106" s="558">
        <v>0</v>
      </c>
      <c r="E106" s="558">
        <v>0</v>
      </c>
      <c r="F106" s="279">
        <v>0</v>
      </c>
    </row>
    <row r="107" spans="1:12" ht="15" thickBot="1" x14ac:dyDescent="0.35">
      <c r="B107" s="644" t="s">
        <v>4040</v>
      </c>
      <c r="C107" s="651">
        <v>3</v>
      </c>
      <c r="D107" s="651">
        <v>0</v>
      </c>
      <c r="E107" s="651">
        <v>0</v>
      </c>
      <c r="F107" s="655">
        <v>0</v>
      </c>
    </row>
    <row r="117" spans="1:17" s="2" customFormat="1" x14ac:dyDescent="0.3">
      <c r="A117" s="1162" t="s">
        <v>4099</v>
      </c>
      <c r="B117" s="1162"/>
      <c r="C117" s="1162"/>
      <c r="D117" s="491" t="s">
        <v>213</v>
      </c>
      <c r="E117" s="491" t="s">
        <v>4051</v>
      </c>
      <c r="F117" s="491" t="s">
        <v>4052</v>
      </c>
      <c r="G117" s="491" t="s">
        <v>4053</v>
      </c>
      <c r="H117" s="491" t="s">
        <v>4054</v>
      </c>
      <c r="I117" s="491" t="s">
        <v>4055</v>
      </c>
      <c r="J117" s="491"/>
      <c r="K117" s="491" t="s">
        <v>4056</v>
      </c>
      <c r="L117" s="491" t="s">
        <v>213</v>
      </c>
      <c r="M117" s="491" t="s">
        <v>4051</v>
      </c>
      <c r="N117" s="491" t="s">
        <v>4052</v>
      </c>
      <c r="O117" s="491" t="s">
        <v>4053</v>
      </c>
      <c r="P117" s="491" t="s">
        <v>4054</v>
      </c>
      <c r="Q117" s="491" t="s">
        <v>4055</v>
      </c>
    </row>
    <row r="118" spans="1:17" s="2" customFormat="1" x14ac:dyDescent="0.3">
      <c r="A118" s="521" t="s">
        <v>4092</v>
      </c>
      <c r="B118" s="522" t="s">
        <v>4093</v>
      </c>
      <c r="C118" s="522" t="s">
        <v>4094</v>
      </c>
      <c r="D118" s="523">
        <v>40</v>
      </c>
      <c r="E118" s="523">
        <v>2</v>
      </c>
      <c r="F118" s="523">
        <v>5</v>
      </c>
      <c r="G118" s="524">
        <v>7</v>
      </c>
      <c r="H118" s="523">
        <v>18</v>
      </c>
      <c r="I118" s="523">
        <v>-4</v>
      </c>
      <c r="J118" s="523" t="s">
        <v>4046</v>
      </c>
      <c r="K118" s="522" t="s">
        <v>4095</v>
      </c>
      <c r="L118" s="523">
        <v>3</v>
      </c>
      <c r="M118" s="523">
        <v>0</v>
      </c>
      <c r="N118" s="523">
        <v>0</v>
      </c>
      <c r="O118" s="524">
        <v>0</v>
      </c>
      <c r="P118" s="523">
        <v>2</v>
      </c>
      <c r="Q118" s="525">
        <v>-1</v>
      </c>
    </row>
    <row r="119" spans="1:17" s="2" customFormat="1" ht="17.25" customHeight="1" x14ac:dyDescent="0.3">
      <c r="A119" s="526" t="s">
        <v>4096</v>
      </c>
      <c r="B119" s="527" t="s">
        <v>4097</v>
      </c>
      <c r="C119" s="527" t="s">
        <v>4094</v>
      </c>
      <c r="D119" s="528">
        <v>43</v>
      </c>
      <c r="E119" s="528">
        <v>9</v>
      </c>
      <c r="F119" s="528">
        <v>10</v>
      </c>
      <c r="G119" s="529">
        <v>19</v>
      </c>
      <c r="H119" s="528">
        <v>26</v>
      </c>
      <c r="I119" s="528">
        <v>-7</v>
      </c>
      <c r="J119" s="528" t="s">
        <v>4046</v>
      </c>
      <c r="K119" s="527" t="s">
        <v>4095</v>
      </c>
      <c r="L119" s="528">
        <v>2</v>
      </c>
      <c r="M119" s="528">
        <v>0</v>
      </c>
      <c r="N119" s="528">
        <v>0</v>
      </c>
      <c r="O119" s="529">
        <v>0</v>
      </c>
      <c r="P119" s="528">
        <v>0</v>
      </c>
      <c r="Q119" s="530">
        <v>1</v>
      </c>
    </row>
    <row r="120" spans="1:17" s="2" customFormat="1" ht="15" thickBot="1" x14ac:dyDescent="0.35">
      <c r="A120" s="531" t="s">
        <v>4081</v>
      </c>
      <c r="B120" s="532" t="s">
        <v>4098</v>
      </c>
      <c r="C120" s="532" t="s">
        <v>4094</v>
      </c>
      <c r="D120" s="533">
        <v>48</v>
      </c>
      <c r="E120" s="533">
        <v>4</v>
      </c>
      <c r="F120" s="533">
        <v>13</v>
      </c>
      <c r="G120" s="534">
        <v>17</v>
      </c>
      <c r="H120" s="533">
        <v>40</v>
      </c>
      <c r="I120" s="533">
        <v>12</v>
      </c>
      <c r="J120" s="533" t="s">
        <v>4046</v>
      </c>
      <c r="K120" s="532" t="s">
        <v>4095</v>
      </c>
      <c r="L120" s="533">
        <v>3</v>
      </c>
      <c r="M120" s="533">
        <v>0</v>
      </c>
      <c r="N120" s="533">
        <v>0</v>
      </c>
      <c r="O120" s="534">
        <v>0</v>
      </c>
      <c r="P120" s="533">
        <v>0</v>
      </c>
      <c r="Q120" s="535">
        <v>-2</v>
      </c>
    </row>
    <row r="121" spans="1:17" s="2" customFormat="1" ht="15" thickBot="1" x14ac:dyDescent="0.35">
      <c r="A121" s="667" t="s">
        <v>4589</v>
      </c>
      <c r="B121" s="541" t="s">
        <v>4590</v>
      </c>
      <c r="C121" s="541" t="s">
        <v>4591</v>
      </c>
      <c r="D121" s="668">
        <v>56</v>
      </c>
      <c r="E121" s="668">
        <v>2</v>
      </c>
      <c r="F121" s="668">
        <v>15</v>
      </c>
      <c r="G121" s="669">
        <v>17</v>
      </c>
      <c r="H121" s="668">
        <v>30</v>
      </c>
      <c r="I121" s="673">
        <v>2</v>
      </c>
      <c r="J121" s="523"/>
      <c r="K121" s="675"/>
      <c r="L121" s="523"/>
      <c r="M121" s="523"/>
      <c r="N121" s="523"/>
      <c r="O121" s="524"/>
      <c r="P121" s="523"/>
      <c r="Q121" s="523"/>
    </row>
    <row r="122" spans="1:17" customFormat="1" x14ac:dyDescent="0.3">
      <c r="A122" s="2"/>
      <c r="C122" s="2"/>
    </row>
    <row r="123" spans="1:17" customFormat="1" x14ac:dyDescent="0.3">
      <c r="A123" s="2"/>
      <c r="C123" s="2"/>
    </row>
    <row r="124" spans="1:17" s="2" customFormat="1" x14ac:dyDescent="0.3">
      <c r="A124" s="1162" t="s">
        <v>4106</v>
      </c>
      <c r="B124" s="1162"/>
      <c r="C124" s="1162"/>
      <c r="D124" s="491" t="s">
        <v>213</v>
      </c>
      <c r="E124" s="491" t="s">
        <v>4051</v>
      </c>
      <c r="F124" s="491" t="s">
        <v>4052</v>
      </c>
      <c r="G124" s="491" t="s">
        <v>4053</v>
      </c>
      <c r="H124" s="491" t="s">
        <v>4054</v>
      </c>
      <c r="I124" s="491" t="s">
        <v>4055</v>
      </c>
      <c r="J124" s="491"/>
      <c r="K124" s="491" t="s">
        <v>4056</v>
      </c>
      <c r="L124" s="491" t="s">
        <v>213</v>
      </c>
      <c r="M124" s="491" t="s">
        <v>4051</v>
      </c>
      <c r="N124" s="491" t="s">
        <v>4052</v>
      </c>
      <c r="O124" s="491" t="s">
        <v>4053</v>
      </c>
      <c r="P124" s="491" t="s">
        <v>4054</v>
      </c>
      <c r="Q124" s="491" t="s">
        <v>4055</v>
      </c>
    </row>
    <row r="125" spans="1:17" s="2" customFormat="1" x14ac:dyDescent="0.3">
      <c r="A125" s="521" t="s">
        <v>4092</v>
      </c>
      <c r="B125" s="522" t="s">
        <v>4101</v>
      </c>
      <c r="C125" s="522" t="s">
        <v>4094</v>
      </c>
      <c r="D125" s="523">
        <v>22</v>
      </c>
      <c r="E125" s="523">
        <v>1</v>
      </c>
      <c r="F125" s="523">
        <v>3</v>
      </c>
      <c r="G125" s="524">
        <v>4</v>
      </c>
      <c r="H125" s="523">
        <v>6</v>
      </c>
      <c r="I125" s="523">
        <v>2</v>
      </c>
      <c r="J125" s="523" t="s">
        <v>4046</v>
      </c>
      <c r="K125" s="522"/>
      <c r="L125" s="523"/>
      <c r="M125" s="523"/>
      <c r="N125" s="523"/>
      <c r="O125" s="524"/>
      <c r="P125" s="523"/>
      <c r="Q125" s="525"/>
    </row>
    <row r="126" spans="1:17" s="2" customFormat="1" x14ac:dyDescent="0.3">
      <c r="A126" s="526"/>
      <c r="B126" s="527" t="s">
        <v>4102</v>
      </c>
      <c r="C126" s="527" t="s">
        <v>3731</v>
      </c>
      <c r="D126" s="528">
        <v>25</v>
      </c>
      <c r="E126" s="528">
        <v>1</v>
      </c>
      <c r="F126" s="528">
        <v>2</v>
      </c>
      <c r="G126" s="529">
        <v>3</v>
      </c>
      <c r="H126" s="528">
        <v>12</v>
      </c>
      <c r="I126" s="528">
        <v>-9</v>
      </c>
      <c r="J126" s="528" t="s">
        <v>4046</v>
      </c>
      <c r="K126" s="528"/>
      <c r="L126" s="528"/>
      <c r="M126" s="528"/>
      <c r="N126" s="528"/>
      <c r="O126" s="529"/>
      <c r="P126" s="528"/>
      <c r="Q126" s="530"/>
    </row>
    <row r="127" spans="1:17" s="2" customFormat="1" x14ac:dyDescent="0.3">
      <c r="A127" s="536"/>
      <c r="B127" s="522" t="s">
        <v>4103</v>
      </c>
      <c r="C127" s="522" t="s">
        <v>4104</v>
      </c>
      <c r="D127" s="537">
        <v>2</v>
      </c>
      <c r="E127" s="537">
        <v>0</v>
      </c>
      <c r="F127" s="537">
        <v>0</v>
      </c>
      <c r="G127" s="538">
        <v>0</v>
      </c>
      <c r="H127" s="537">
        <v>0</v>
      </c>
      <c r="I127" s="537">
        <v>1</v>
      </c>
      <c r="J127" s="537" t="s">
        <v>4046</v>
      </c>
      <c r="K127" s="522"/>
      <c r="L127" s="537"/>
      <c r="M127" s="537"/>
      <c r="N127" s="537"/>
      <c r="O127" s="538"/>
      <c r="P127" s="537"/>
      <c r="Q127" s="539"/>
    </row>
    <row r="128" spans="1:17" s="2" customFormat="1" x14ac:dyDescent="0.3">
      <c r="A128" s="526" t="s">
        <v>4096</v>
      </c>
      <c r="B128" s="527" t="s">
        <v>4105</v>
      </c>
      <c r="C128" s="527" t="s">
        <v>4094</v>
      </c>
      <c r="D128" s="528">
        <v>52</v>
      </c>
      <c r="E128" s="528">
        <v>7</v>
      </c>
      <c r="F128" s="528">
        <v>11</v>
      </c>
      <c r="G128" s="529">
        <v>18</v>
      </c>
      <c r="H128" s="528">
        <v>18</v>
      </c>
      <c r="I128" s="528">
        <v>14</v>
      </c>
      <c r="J128" s="528" t="s">
        <v>4046</v>
      </c>
      <c r="K128" s="528"/>
      <c r="L128" s="528"/>
      <c r="M128" s="528"/>
      <c r="N128" s="528"/>
      <c r="O128" s="529"/>
      <c r="P128" s="528"/>
      <c r="Q128" s="530"/>
    </row>
    <row r="129" spans="1:57" s="2" customFormat="1" x14ac:dyDescent="0.3">
      <c r="A129" s="536"/>
      <c r="B129" s="522" t="s">
        <v>4103</v>
      </c>
      <c r="C129" s="522" t="s">
        <v>4104</v>
      </c>
      <c r="D129" s="537">
        <v>2</v>
      </c>
      <c r="E129" s="537">
        <v>0</v>
      </c>
      <c r="F129" s="537">
        <v>0</v>
      </c>
      <c r="G129" s="538">
        <v>0</v>
      </c>
      <c r="H129" s="537">
        <v>0</v>
      </c>
      <c r="I129" s="537">
        <v>1</v>
      </c>
      <c r="J129" s="537" t="s">
        <v>4046</v>
      </c>
      <c r="K129" s="522"/>
      <c r="L129" s="537"/>
      <c r="M129" s="537"/>
      <c r="N129" s="537"/>
      <c r="O129" s="538"/>
      <c r="P129" s="537"/>
      <c r="Q129" s="539"/>
    </row>
    <row r="130" spans="1:57" s="2" customFormat="1" ht="15" thickBot="1" x14ac:dyDescent="0.35">
      <c r="A130" s="540" t="s">
        <v>4081</v>
      </c>
      <c r="B130" s="541" t="s">
        <v>4105</v>
      </c>
      <c r="C130" s="541" t="s">
        <v>4094</v>
      </c>
      <c r="D130" s="542">
        <v>20</v>
      </c>
      <c r="E130" s="542">
        <v>0</v>
      </c>
      <c r="F130" s="542">
        <v>3</v>
      </c>
      <c r="G130" s="543">
        <v>3</v>
      </c>
      <c r="H130" s="542">
        <v>8</v>
      </c>
      <c r="I130" s="542">
        <v>2</v>
      </c>
      <c r="J130" s="542" t="s">
        <v>4046</v>
      </c>
      <c r="K130" s="541" t="s">
        <v>4095</v>
      </c>
      <c r="L130" s="542">
        <v>6</v>
      </c>
      <c r="M130" s="542">
        <v>0</v>
      </c>
      <c r="N130" s="542">
        <v>2</v>
      </c>
      <c r="O130" s="543">
        <v>2</v>
      </c>
      <c r="P130" s="542">
        <v>0</v>
      </c>
      <c r="Q130" s="544">
        <v>2</v>
      </c>
    </row>
    <row r="131" spans="1:57" s="2" customFormat="1" ht="15" thickBot="1" x14ac:dyDescent="0.35">
      <c r="A131" s="683" t="s">
        <v>4589</v>
      </c>
      <c r="B131" s="532" t="s">
        <v>4590</v>
      </c>
      <c r="C131" s="532" t="s">
        <v>4591</v>
      </c>
      <c r="D131" s="684">
        <v>53</v>
      </c>
      <c r="E131" s="684">
        <v>8</v>
      </c>
      <c r="F131" s="684">
        <v>5</v>
      </c>
      <c r="G131" s="685">
        <v>13</v>
      </c>
      <c r="H131" s="684">
        <v>49</v>
      </c>
      <c r="I131" s="686">
        <v>-19</v>
      </c>
      <c r="J131" s="528"/>
      <c r="K131" s="676"/>
      <c r="L131" s="528"/>
      <c r="M131" s="528"/>
      <c r="N131" s="528"/>
      <c r="O131" s="529"/>
      <c r="P131" s="528"/>
      <c r="Q131" s="528"/>
    </row>
    <row r="132" spans="1:57" s="2" customFormat="1" x14ac:dyDescent="0.3"/>
    <row r="133" spans="1:57" s="2" customFormat="1" x14ac:dyDescent="0.3"/>
    <row r="134" spans="1:57" s="2" customFormat="1" x14ac:dyDescent="0.3">
      <c r="A134" s="1162" t="s">
        <v>4107</v>
      </c>
      <c r="B134" s="1162"/>
      <c r="C134" s="1162"/>
      <c r="D134" s="491" t="s">
        <v>213</v>
      </c>
      <c r="E134" s="491" t="s">
        <v>4051</v>
      </c>
      <c r="F134" s="491" t="s">
        <v>4052</v>
      </c>
      <c r="G134" s="491" t="s">
        <v>4053</v>
      </c>
      <c r="H134" s="491" t="s">
        <v>4054</v>
      </c>
      <c r="I134" s="491" t="s">
        <v>4055</v>
      </c>
      <c r="J134" s="491"/>
      <c r="K134" s="491" t="s">
        <v>4056</v>
      </c>
      <c r="L134" s="491" t="s">
        <v>213</v>
      </c>
      <c r="M134" s="491" t="s">
        <v>4051</v>
      </c>
      <c r="N134" s="491" t="s">
        <v>4052</v>
      </c>
      <c r="O134" s="491" t="s">
        <v>4053</v>
      </c>
      <c r="P134" s="491" t="s">
        <v>4054</v>
      </c>
      <c r="Q134" s="491" t="s">
        <v>4055</v>
      </c>
    </row>
    <row r="135" spans="1:57" s="2" customFormat="1" x14ac:dyDescent="0.3">
      <c r="A135" s="526" t="s">
        <v>4092</v>
      </c>
      <c r="B135" s="527" t="s">
        <v>4108</v>
      </c>
      <c r="C135" s="527" t="s">
        <v>4109</v>
      </c>
      <c r="D135" s="528">
        <v>53</v>
      </c>
      <c r="E135" s="528">
        <v>1</v>
      </c>
      <c r="F135" s="528">
        <v>10</v>
      </c>
      <c r="G135" s="529">
        <v>11</v>
      </c>
      <c r="H135" s="528">
        <v>24</v>
      </c>
      <c r="I135" s="528">
        <v>16</v>
      </c>
      <c r="J135" s="528" t="s">
        <v>4046</v>
      </c>
      <c r="K135" s="527" t="s">
        <v>4095</v>
      </c>
      <c r="L135" s="528">
        <v>7</v>
      </c>
      <c r="M135" s="528">
        <v>1</v>
      </c>
      <c r="N135" s="528">
        <v>1</v>
      </c>
      <c r="O135" s="529">
        <v>2</v>
      </c>
      <c r="P135" s="528">
        <v>10</v>
      </c>
      <c r="Q135" s="530">
        <v>0</v>
      </c>
    </row>
    <row r="136" spans="1:57" s="2" customFormat="1" x14ac:dyDescent="0.3">
      <c r="A136" s="521"/>
      <c r="B136" s="522" t="s">
        <v>4110</v>
      </c>
      <c r="C136" s="522" t="s">
        <v>4094</v>
      </c>
      <c r="D136" s="523">
        <v>1</v>
      </c>
      <c r="E136" s="523">
        <v>0</v>
      </c>
      <c r="F136" s="523">
        <v>0</v>
      </c>
      <c r="G136" s="524">
        <v>0</v>
      </c>
      <c r="H136" s="523">
        <v>0</v>
      </c>
      <c r="I136" s="523">
        <v>-2</v>
      </c>
      <c r="J136" s="523" t="s">
        <v>4046</v>
      </c>
      <c r="K136" s="522"/>
      <c r="L136" s="523"/>
      <c r="M136" s="523"/>
      <c r="N136" s="523"/>
      <c r="O136" s="524"/>
      <c r="P136" s="523"/>
      <c r="Q136" s="525"/>
    </row>
    <row r="137" spans="1:57" s="2" customFormat="1" x14ac:dyDescent="0.3">
      <c r="A137" s="526" t="s">
        <v>4096</v>
      </c>
      <c r="B137" s="527" t="s">
        <v>4111</v>
      </c>
      <c r="C137" s="527" t="s">
        <v>4109</v>
      </c>
      <c r="D137" s="528">
        <v>57</v>
      </c>
      <c r="E137" s="528">
        <v>7</v>
      </c>
      <c r="F137" s="528">
        <v>8</v>
      </c>
      <c r="G137" s="529">
        <v>15</v>
      </c>
      <c r="H137" s="528">
        <v>50</v>
      </c>
      <c r="I137" s="528">
        <v>13</v>
      </c>
      <c r="J137" s="528" t="s">
        <v>4046</v>
      </c>
      <c r="K137" s="527" t="s">
        <v>4095</v>
      </c>
      <c r="L137" s="528">
        <v>2</v>
      </c>
      <c r="M137" s="528">
        <v>0</v>
      </c>
      <c r="N137" s="528">
        <v>1</v>
      </c>
      <c r="O137" s="529">
        <v>1</v>
      </c>
      <c r="P137" s="528">
        <v>4</v>
      </c>
      <c r="Q137" s="530">
        <v>1</v>
      </c>
    </row>
    <row r="138" spans="1:57" s="2" customFormat="1" x14ac:dyDescent="0.3">
      <c r="A138" s="521" t="s">
        <v>4081</v>
      </c>
      <c r="B138" s="527" t="s">
        <v>4111</v>
      </c>
      <c r="C138" s="522" t="s">
        <v>4109</v>
      </c>
      <c r="D138" s="523">
        <v>28</v>
      </c>
      <c r="E138" s="523">
        <v>2</v>
      </c>
      <c r="F138" s="523">
        <v>5</v>
      </c>
      <c r="G138" s="524">
        <v>7</v>
      </c>
      <c r="H138" s="523">
        <v>22</v>
      </c>
      <c r="I138" s="523">
        <v>0</v>
      </c>
      <c r="J138" s="523" t="s">
        <v>4046</v>
      </c>
      <c r="K138" s="522" t="s">
        <v>4095</v>
      </c>
      <c r="L138" s="523">
        <v>13</v>
      </c>
      <c r="M138" s="523">
        <v>2</v>
      </c>
      <c r="N138" s="523">
        <v>0</v>
      </c>
      <c r="O138" s="524">
        <v>2</v>
      </c>
      <c r="P138" s="523">
        <v>20</v>
      </c>
      <c r="Q138" s="525">
        <v>-1</v>
      </c>
    </row>
    <row r="139" spans="1:57" s="2" customFormat="1" ht="15" thickBot="1" x14ac:dyDescent="0.35">
      <c r="A139" s="540"/>
      <c r="B139" s="541" t="s">
        <v>4112</v>
      </c>
      <c r="C139" s="541" t="s">
        <v>4094</v>
      </c>
      <c r="D139" s="542">
        <v>9</v>
      </c>
      <c r="E139" s="542">
        <v>0</v>
      </c>
      <c r="F139" s="542">
        <v>0</v>
      </c>
      <c r="G139" s="543">
        <v>0</v>
      </c>
      <c r="H139" s="542">
        <v>0</v>
      </c>
      <c r="I139" s="542">
        <v>-3</v>
      </c>
      <c r="J139" s="542" t="s">
        <v>4046</v>
      </c>
      <c r="K139" s="541"/>
      <c r="L139" s="542"/>
      <c r="M139" s="542"/>
      <c r="N139" s="542"/>
      <c r="O139" s="543"/>
      <c r="P139" s="542"/>
      <c r="Q139" s="545"/>
    </row>
    <row r="140" spans="1:57" ht="15" thickBot="1" x14ac:dyDescent="0.35">
      <c r="A140" s="683" t="s">
        <v>4589</v>
      </c>
      <c r="B140" s="532" t="s">
        <v>4590</v>
      </c>
      <c r="C140" s="532" t="s">
        <v>4591</v>
      </c>
      <c r="D140" s="684">
        <v>29</v>
      </c>
      <c r="E140" s="684">
        <v>0</v>
      </c>
      <c r="F140" s="684">
        <v>3</v>
      </c>
      <c r="G140" s="685">
        <v>3</v>
      </c>
      <c r="H140" s="684">
        <v>16</v>
      </c>
      <c r="I140" s="684">
        <v>0</v>
      </c>
      <c r="J140" s="687" t="s">
        <v>4046</v>
      </c>
      <c r="S140"/>
      <c r="W140"/>
      <c r="X140"/>
      <c r="Y140"/>
      <c r="Z140"/>
      <c r="AA140"/>
      <c r="AB140"/>
      <c r="AC140"/>
      <c r="AD140"/>
      <c r="AE140"/>
      <c r="AF140"/>
      <c r="AG140"/>
      <c r="AH140"/>
      <c r="AI140"/>
      <c r="AJ140"/>
      <c r="AK140"/>
      <c r="AL140"/>
      <c r="BE140"/>
    </row>
    <row r="141" spans="1:57" x14ac:dyDescent="0.3">
      <c r="A141" s="2"/>
      <c r="C141" s="2"/>
      <c r="S141"/>
      <c r="W141"/>
      <c r="X141"/>
      <c r="Y141"/>
      <c r="Z141"/>
      <c r="AA141"/>
      <c r="AB141"/>
      <c r="AC141"/>
      <c r="AD141"/>
      <c r="AE141"/>
      <c r="AF141"/>
      <c r="AG141"/>
      <c r="AH141"/>
      <c r="AI141"/>
      <c r="AJ141"/>
      <c r="AK141"/>
      <c r="AL141"/>
      <c r="BE141"/>
    </row>
    <row r="142" spans="1:57" x14ac:dyDescent="0.3">
      <c r="A142" s="2"/>
      <c r="B142" s="2"/>
      <c r="C142" s="2"/>
      <c r="S142"/>
      <c r="W142"/>
      <c r="X142"/>
      <c r="Y142"/>
      <c r="Z142"/>
      <c r="AA142"/>
      <c r="AB142"/>
      <c r="AC142"/>
      <c r="AD142"/>
      <c r="AE142"/>
      <c r="AF142"/>
      <c r="AG142"/>
      <c r="AH142"/>
      <c r="AI142"/>
      <c r="AJ142"/>
      <c r="AK142"/>
      <c r="AL142"/>
      <c r="BE142"/>
    </row>
    <row r="143" spans="1:57" x14ac:dyDescent="0.3">
      <c r="A143" s="2"/>
      <c r="B143" s="2"/>
      <c r="C143" s="2"/>
      <c r="S143"/>
      <c r="W143"/>
      <c r="X143"/>
      <c r="Y143"/>
      <c r="Z143"/>
      <c r="AA143"/>
      <c r="AB143"/>
      <c r="AC143"/>
      <c r="AD143"/>
      <c r="AE143"/>
      <c r="AF143"/>
      <c r="AG143"/>
      <c r="AH143"/>
      <c r="AI143"/>
      <c r="AJ143"/>
      <c r="AK143"/>
      <c r="AL143"/>
      <c r="BE143"/>
    </row>
    <row r="144" spans="1:57" x14ac:dyDescent="0.3">
      <c r="A144" s="1162" t="s">
        <v>4598</v>
      </c>
      <c r="B144" s="1162"/>
      <c r="C144" s="1162"/>
      <c r="D144" s="491" t="s">
        <v>213</v>
      </c>
      <c r="E144" s="491" t="s">
        <v>4051</v>
      </c>
      <c r="F144" s="491" t="s">
        <v>4052</v>
      </c>
      <c r="G144" s="491" t="s">
        <v>4053</v>
      </c>
      <c r="H144" s="491" t="s">
        <v>4054</v>
      </c>
      <c r="I144" s="491" t="s">
        <v>4055</v>
      </c>
      <c r="J144" s="703" t="s">
        <v>4607</v>
      </c>
      <c r="K144" s="659"/>
      <c r="L144" s="659"/>
      <c r="M144" s="659"/>
      <c r="N144" s="659"/>
      <c r="O144" s="659"/>
      <c r="P144" s="659"/>
      <c r="Q144" s="690"/>
      <c r="S144"/>
      <c r="W144"/>
      <c r="X144"/>
      <c r="Y144"/>
      <c r="Z144"/>
      <c r="AA144"/>
      <c r="AB144"/>
      <c r="AC144"/>
      <c r="AD144"/>
      <c r="AE144"/>
      <c r="AF144"/>
      <c r="AG144"/>
      <c r="AH144"/>
      <c r="AI144"/>
      <c r="AJ144"/>
      <c r="AK144"/>
      <c r="AL144"/>
      <c r="BE144"/>
    </row>
    <row r="145" spans="1:57" x14ac:dyDescent="0.3">
      <c r="A145" s="706" t="s">
        <v>4092</v>
      </c>
      <c r="B145" s="522" t="s">
        <v>4593</v>
      </c>
      <c r="C145" s="522" t="s">
        <v>4591</v>
      </c>
      <c r="D145" s="697">
        <v>48</v>
      </c>
      <c r="E145" s="697">
        <v>4</v>
      </c>
      <c r="F145" s="697">
        <v>10</v>
      </c>
      <c r="G145" s="698">
        <v>14</v>
      </c>
      <c r="H145" s="697">
        <v>30</v>
      </c>
      <c r="I145" s="697">
        <v>10</v>
      </c>
      <c r="J145" s="705">
        <f t="shared" ref="J145:J150" si="40">G145/D145</f>
        <v>0.29166666666666669</v>
      </c>
      <c r="K145" s="678" t="s">
        <v>4095</v>
      </c>
      <c r="L145" s="679">
        <v>4</v>
      </c>
      <c r="M145" s="679">
        <v>0</v>
      </c>
      <c r="N145" s="679">
        <v>0</v>
      </c>
      <c r="O145" s="680">
        <v>0</v>
      </c>
      <c r="P145" s="679">
        <v>0</v>
      </c>
      <c r="Q145" s="691">
        <v>-2</v>
      </c>
      <c r="S145"/>
      <c r="W145"/>
      <c r="X145"/>
      <c r="Y145"/>
      <c r="Z145"/>
      <c r="AA145"/>
      <c r="AB145"/>
      <c r="AC145"/>
      <c r="AD145"/>
      <c r="AE145"/>
      <c r="AF145"/>
      <c r="AG145"/>
      <c r="AH145"/>
      <c r="AI145"/>
      <c r="AJ145"/>
      <c r="AK145"/>
      <c r="AL145"/>
      <c r="BE145"/>
    </row>
    <row r="146" spans="1:57" x14ac:dyDescent="0.3">
      <c r="A146" s="707" t="s">
        <v>4096</v>
      </c>
      <c r="B146" s="527" t="s">
        <v>4593</v>
      </c>
      <c r="C146" s="527" t="s">
        <v>4591</v>
      </c>
      <c r="D146" s="699">
        <v>50</v>
      </c>
      <c r="E146" s="699">
        <v>7</v>
      </c>
      <c r="F146" s="699">
        <v>17</v>
      </c>
      <c r="G146" s="700">
        <v>24</v>
      </c>
      <c r="H146" s="699">
        <v>20</v>
      </c>
      <c r="I146" s="699">
        <v>2</v>
      </c>
      <c r="J146" s="705">
        <f t="shared" si="40"/>
        <v>0.48</v>
      </c>
      <c r="K146" s="661" t="s">
        <v>4095</v>
      </c>
      <c r="L146" s="662">
        <v>2</v>
      </c>
      <c r="M146" s="662">
        <v>0</v>
      </c>
      <c r="N146" s="662">
        <v>0</v>
      </c>
      <c r="O146" s="663">
        <v>0</v>
      </c>
      <c r="P146" s="662">
        <v>0</v>
      </c>
      <c r="Q146" s="692">
        <v>-1</v>
      </c>
      <c r="S146"/>
      <c r="W146"/>
      <c r="X146"/>
      <c r="Y146"/>
      <c r="Z146"/>
      <c r="AA146"/>
      <c r="AB146"/>
      <c r="AC146"/>
      <c r="AD146"/>
      <c r="AE146"/>
      <c r="AF146"/>
      <c r="AG146"/>
      <c r="AH146"/>
      <c r="AI146"/>
      <c r="AJ146"/>
      <c r="AK146"/>
      <c r="AL146"/>
      <c r="BE146"/>
    </row>
    <row r="147" spans="1:57" x14ac:dyDescent="0.3">
      <c r="A147" s="706"/>
      <c r="B147" s="522" t="s">
        <v>4594</v>
      </c>
      <c r="C147" s="522" t="s">
        <v>4595</v>
      </c>
      <c r="D147" s="697">
        <v>1</v>
      </c>
      <c r="E147" s="697">
        <v>1</v>
      </c>
      <c r="F147" s="697">
        <v>0</v>
      </c>
      <c r="G147" s="698">
        <v>1</v>
      </c>
      <c r="H147" s="697">
        <v>0</v>
      </c>
      <c r="I147" s="697">
        <v>1</v>
      </c>
      <c r="J147" s="705">
        <f t="shared" si="40"/>
        <v>1</v>
      </c>
      <c r="K147" s="678"/>
      <c r="L147" s="679"/>
      <c r="M147" s="679"/>
      <c r="N147" s="679"/>
      <c r="O147" s="680"/>
      <c r="P147" s="679"/>
      <c r="Q147" s="691"/>
      <c r="S147"/>
      <c r="W147"/>
      <c r="X147"/>
      <c r="Y147"/>
      <c r="Z147"/>
      <c r="AA147"/>
      <c r="AB147"/>
      <c r="AC147"/>
      <c r="AD147"/>
      <c r="AE147"/>
      <c r="AF147"/>
      <c r="AG147"/>
      <c r="AH147"/>
      <c r="AI147"/>
      <c r="AJ147"/>
      <c r="AK147"/>
      <c r="AL147"/>
      <c r="BE147"/>
    </row>
    <row r="148" spans="1:57" x14ac:dyDescent="0.3">
      <c r="A148" s="707" t="s">
        <v>4081</v>
      </c>
      <c r="B148" s="527" t="s">
        <v>4596</v>
      </c>
      <c r="C148" s="527" t="s">
        <v>4591</v>
      </c>
      <c r="D148" s="699">
        <v>6</v>
      </c>
      <c r="E148" s="699">
        <v>0</v>
      </c>
      <c r="F148" s="699">
        <v>2</v>
      </c>
      <c r="G148" s="700">
        <v>2</v>
      </c>
      <c r="H148" s="699">
        <v>2</v>
      </c>
      <c r="I148" s="699">
        <v>3</v>
      </c>
      <c r="J148" s="705">
        <f t="shared" si="40"/>
        <v>0.33333333333333331</v>
      </c>
      <c r="K148" s="661"/>
      <c r="L148" s="662"/>
      <c r="M148" s="662"/>
      <c r="N148" s="662"/>
      <c r="O148" s="663"/>
      <c r="P148" s="662"/>
      <c r="Q148" s="692"/>
      <c r="S148"/>
      <c r="W148"/>
      <c r="X148"/>
      <c r="Y148"/>
      <c r="Z148"/>
      <c r="AA148"/>
      <c r="AB148"/>
      <c r="AC148"/>
      <c r="AD148"/>
      <c r="AE148"/>
      <c r="AF148"/>
      <c r="AG148"/>
      <c r="AH148"/>
      <c r="AI148"/>
      <c r="AJ148"/>
      <c r="AK148"/>
      <c r="AL148"/>
      <c r="BE148"/>
    </row>
    <row r="149" spans="1:57" x14ac:dyDescent="0.3">
      <c r="A149" s="708"/>
      <c r="B149" s="522" t="s">
        <v>4597</v>
      </c>
      <c r="C149" s="522" t="s">
        <v>3764</v>
      </c>
      <c r="D149" s="701">
        <v>27</v>
      </c>
      <c r="E149" s="701">
        <v>4</v>
      </c>
      <c r="F149" s="701">
        <v>3</v>
      </c>
      <c r="G149" s="702">
        <v>7</v>
      </c>
      <c r="H149" s="701">
        <v>2</v>
      </c>
      <c r="I149" s="701">
        <v>-4</v>
      </c>
      <c r="J149" s="705">
        <f t="shared" si="40"/>
        <v>0.25925925925925924</v>
      </c>
      <c r="K149" s="678"/>
      <c r="L149" s="688"/>
      <c r="M149" s="688"/>
      <c r="N149" s="688"/>
      <c r="O149" s="689"/>
      <c r="P149" s="688"/>
      <c r="Q149" s="693"/>
      <c r="S149"/>
      <c r="W149"/>
      <c r="X149"/>
      <c r="Y149"/>
      <c r="Z149"/>
      <c r="AA149"/>
      <c r="AB149"/>
      <c r="AC149"/>
      <c r="AD149"/>
      <c r="AE149"/>
      <c r="AF149"/>
      <c r="AG149"/>
      <c r="AH149"/>
      <c r="AI149"/>
      <c r="AJ149"/>
      <c r="AK149"/>
      <c r="AL149"/>
      <c r="BE149"/>
    </row>
    <row r="150" spans="1:57" ht="15" thickBot="1" x14ac:dyDescent="0.35">
      <c r="A150" s="667" t="s">
        <v>4589</v>
      </c>
      <c r="B150" s="541" t="s">
        <v>4590</v>
      </c>
      <c r="C150" s="541" t="s">
        <v>4591</v>
      </c>
      <c r="D150" s="668">
        <v>32</v>
      </c>
      <c r="E150" s="668">
        <v>4</v>
      </c>
      <c r="F150" s="668">
        <v>5</v>
      </c>
      <c r="G150" s="669">
        <v>9</v>
      </c>
      <c r="H150" s="668">
        <v>4</v>
      </c>
      <c r="I150" s="668">
        <v>-2</v>
      </c>
      <c r="J150" s="705">
        <f t="shared" si="40"/>
        <v>0.28125</v>
      </c>
      <c r="K150" s="694"/>
      <c r="L150" s="694"/>
      <c r="M150" s="694"/>
      <c r="N150" s="694"/>
      <c r="O150" s="694"/>
      <c r="P150" s="694"/>
      <c r="Q150" s="695"/>
      <c r="S150"/>
      <c r="W150"/>
      <c r="X150"/>
      <c r="Y150"/>
      <c r="Z150"/>
      <c r="AA150"/>
      <c r="AB150"/>
      <c r="AC150"/>
      <c r="AD150"/>
      <c r="AE150"/>
      <c r="AF150"/>
      <c r="AG150"/>
      <c r="AH150"/>
      <c r="AI150"/>
      <c r="AJ150"/>
      <c r="AK150"/>
      <c r="AL150"/>
      <c r="BE150"/>
    </row>
    <row r="151" spans="1:57" x14ac:dyDescent="0.3">
      <c r="A151" s="2"/>
      <c r="B151" s="2"/>
      <c r="C151" s="2"/>
      <c r="D151" s="2"/>
      <c r="E151" s="2"/>
      <c r="F151" s="2"/>
      <c r="G151" s="2"/>
      <c r="H151" s="2"/>
      <c r="I151" s="2"/>
      <c r="S151"/>
      <c r="W151"/>
      <c r="X151"/>
      <c r="Y151"/>
      <c r="Z151"/>
      <c r="AA151"/>
      <c r="AB151"/>
      <c r="AC151"/>
      <c r="AD151"/>
      <c r="AE151"/>
      <c r="AF151"/>
      <c r="AG151"/>
      <c r="AH151"/>
      <c r="AI151"/>
      <c r="AJ151"/>
      <c r="AK151"/>
      <c r="AL151"/>
      <c r="BE151"/>
    </row>
    <row r="152" spans="1:57" x14ac:dyDescent="0.3">
      <c r="A152" s="2"/>
      <c r="B152" s="2"/>
      <c r="C152" s="2"/>
      <c r="D152" s="2"/>
      <c r="E152" s="2"/>
      <c r="F152" s="2"/>
      <c r="G152" s="2"/>
      <c r="H152" s="2"/>
      <c r="I152" s="2"/>
      <c r="S152"/>
      <c r="W152"/>
      <c r="X152"/>
      <c r="Y152"/>
      <c r="Z152"/>
      <c r="AA152"/>
      <c r="AB152"/>
      <c r="AC152"/>
      <c r="AD152"/>
      <c r="AE152"/>
      <c r="AF152"/>
      <c r="AG152"/>
      <c r="AH152"/>
      <c r="AI152"/>
      <c r="AJ152"/>
      <c r="AK152"/>
      <c r="AL152"/>
      <c r="BE152"/>
    </row>
    <row r="153" spans="1:57" x14ac:dyDescent="0.3">
      <c r="A153" s="2"/>
      <c r="B153" s="2"/>
      <c r="C153" s="2"/>
      <c r="D153" s="2"/>
      <c r="E153" s="2"/>
      <c r="F153" s="2"/>
      <c r="G153" s="2"/>
      <c r="H153" s="2"/>
      <c r="I153" s="2"/>
      <c r="S153"/>
      <c r="W153"/>
      <c r="X153"/>
      <c r="Y153"/>
      <c r="Z153"/>
      <c r="AA153"/>
      <c r="AB153"/>
      <c r="AC153"/>
      <c r="AD153"/>
      <c r="AE153"/>
      <c r="AF153"/>
      <c r="AG153"/>
      <c r="AH153"/>
      <c r="AI153"/>
      <c r="AJ153"/>
      <c r="AK153"/>
      <c r="AL153"/>
      <c r="BE153"/>
    </row>
    <row r="154" spans="1:57" x14ac:dyDescent="0.3">
      <c r="A154" s="1162" t="s">
        <v>4601</v>
      </c>
      <c r="B154" s="1162"/>
      <c r="C154" s="1162"/>
      <c r="D154" s="703"/>
      <c r="E154" s="703"/>
      <c r="F154" s="703"/>
      <c r="G154" s="703"/>
      <c r="H154" s="703"/>
      <c r="I154" s="703"/>
      <c r="J154" s="703" t="s">
        <v>4607</v>
      </c>
      <c r="K154" s="659"/>
      <c r="L154" s="659"/>
      <c r="M154" s="659"/>
      <c r="N154" s="659"/>
      <c r="O154" s="659"/>
      <c r="P154" s="659"/>
      <c r="Q154" s="690"/>
      <c r="S154"/>
      <c r="W154"/>
      <c r="X154"/>
      <c r="Y154"/>
      <c r="Z154"/>
      <c r="AA154"/>
      <c r="AB154"/>
      <c r="AC154"/>
      <c r="AD154"/>
      <c r="AE154"/>
      <c r="AF154"/>
      <c r="AG154"/>
      <c r="AH154"/>
      <c r="AI154"/>
      <c r="AJ154"/>
      <c r="AK154"/>
      <c r="AL154"/>
      <c r="BE154"/>
    </row>
    <row r="155" spans="1:57" x14ac:dyDescent="0.3">
      <c r="A155" s="707" t="s">
        <v>4092</v>
      </c>
      <c r="B155" s="709" t="s">
        <v>4592</v>
      </c>
      <c r="C155" s="527" t="s">
        <v>4591</v>
      </c>
      <c r="D155" s="699">
        <v>52</v>
      </c>
      <c r="E155" s="699">
        <v>14</v>
      </c>
      <c r="F155" s="699">
        <v>13</v>
      </c>
      <c r="G155" s="700">
        <v>27</v>
      </c>
      <c r="H155" s="699">
        <v>36</v>
      </c>
      <c r="I155" s="699">
        <v>-2</v>
      </c>
      <c r="J155" s="705">
        <f>G155/D155</f>
        <v>0.51923076923076927</v>
      </c>
      <c r="K155" s="661" t="s">
        <v>4599</v>
      </c>
      <c r="L155" s="662">
        <v>2</v>
      </c>
      <c r="M155" s="662">
        <v>1</v>
      </c>
      <c r="N155" s="662">
        <v>0</v>
      </c>
      <c r="O155" s="663">
        <v>1</v>
      </c>
      <c r="P155" s="662">
        <v>0</v>
      </c>
      <c r="Q155" s="692">
        <v>-1</v>
      </c>
      <c r="S155"/>
      <c r="W155"/>
      <c r="X155"/>
      <c r="Y155"/>
      <c r="Z155"/>
      <c r="AA155"/>
      <c r="AB155"/>
      <c r="AC155"/>
      <c r="AD155"/>
      <c r="AE155"/>
      <c r="AF155"/>
      <c r="AG155"/>
      <c r="AH155"/>
      <c r="AI155"/>
      <c r="AJ155"/>
      <c r="AK155"/>
      <c r="AL155"/>
      <c r="BE155"/>
    </row>
    <row r="156" spans="1:57" x14ac:dyDescent="0.3">
      <c r="A156" s="706" t="s">
        <v>4096</v>
      </c>
      <c r="B156" s="704" t="s">
        <v>4600</v>
      </c>
      <c r="C156" s="522" t="s">
        <v>4591</v>
      </c>
      <c r="D156" s="697">
        <v>52</v>
      </c>
      <c r="E156" s="697">
        <v>19</v>
      </c>
      <c r="F156" s="697">
        <v>18</v>
      </c>
      <c r="G156" s="698">
        <v>37</v>
      </c>
      <c r="H156" s="697">
        <v>32</v>
      </c>
      <c r="I156" s="697">
        <v>13</v>
      </c>
      <c r="J156" s="705">
        <f>G156/D156</f>
        <v>0.71153846153846156</v>
      </c>
      <c r="K156" s="677"/>
      <c r="L156" s="679"/>
      <c r="M156" s="679"/>
      <c r="N156" s="679"/>
      <c r="O156" s="680"/>
      <c r="P156" s="679"/>
      <c r="Q156" s="691"/>
      <c r="S156"/>
      <c r="W156"/>
      <c r="X156"/>
      <c r="Y156"/>
      <c r="Z156"/>
      <c r="AA156"/>
      <c r="AB156"/>
      <c r="AC156"/>
      <c r="AD156"/>
      <c r="AE156"/>
      <c r="AF156"/>
      <c r="AG156"/>
      <c r="AH156"/>
      <c r="AI156"/>
      <c r="AJ156"/>
      <c r="AK156"/>
      <c r="AL156"/>
      <c r="BE156"/>
    </row>
    <row r="157" spans="1:57" x14ac:dyDescent="0.3">
      <c r="A157" s="707" t="s">
        <v>4081</v>
      </c>
      <c r="B157" s="709" t="s">
        <v>4600</v>
      </c>
      <c r="C157" s="527" t="s">
        <v>4591</v>
      </c>
      <c r="D157" s="699">
        <v>51</v>
      </c>
      <c r="E157" s="699">
        <v>14</v>
      </c>
      <c r="F157" s="699">
        <v>23</v>
      </c>
      <c r="G157" s="700">
        <v>37</v>
      </c>
      <c r="H157" s="699">
        <v>54</v>
      </c>
      <c r="I157" s="699">
        <v>2</v>
      </c>
      <c r="J157" s="705">
        <f>G157/D157</f>
        <v>0.72549019607843135</v>
      </c>
      <c r="K157" s="661" t="s">
        <v>4095</v>
      </c>
      <c r="L157" s="662">
        <v>2</v>
      </c>
      <c r="M157" s="662">
        <v>0</v>
      </c>
      <c r="N157" s="662">
        <v>0</v>
      </c>
      <c r="O157" s="663">
        <v>0</v>
      </c>
      <c r="P157" s="662">
        <v>0</v>
      </c>
      <c r="Q157" s="692">
        <v>-2</v>
      </c>
      <c r="S157"/>
      <c r="W157"/>
      <c r="X157"/>
      <c r="Y157"/>
      <c r="Z157"/>
      <c r="AA157"/>
      <c r="AB157"/>
      <c r="AC157"/>
      <c r="AD157"/>
      <c r="AE157"/>
      <c r="AF157"/>
      <c r="AG157"/>
      <c r="AH157"/>
      <c r="AI157"/>
      <c r="AJ157"/>
      <c r="AK157"/>
      <c r="AL157"/>
      <c r="BE157"/>
    </row>
    <row r="158" spans="1:57" ht="15" thickBot="1" x14ac:dyDescent="0.35">
      <c r="A158" s="683" t="s">
        <v>4589</v>
      </c>
      <c r="B158" s="710" t="s">
        <v>4600</v>
      </c>
      <c r="C158" s="532" t="s">
        <v>4591</v>
      </c>
      <c r="D158" s="684">
        <v>56</v>
      </c>
      <c r="E158" s="684">
        <v>8</v>
      </c>
      <c r="F158" s="684">
        <v>16</v>
      </c>
      <c r="G158" s="685">
        <v>24</v>
      </c>
      <c r="H158" s="684">
        <v>24</v>
      </c>
      <c r="I158" s="684">
        <v>-7</v>
      </c>
      <c r="J158" s="705">
        <f>G158/D158</f>
        <v>0.42857142857142855</v>
      </c>
      <c r="K158" s="696"/>
      <c r="L158" s="681"/>
      <c r="M158" s="681"/>
      <c r="N158" s="681"/>
      <c r="O158" s="682"/>
      <c r="P158" s="694"/>
      <c r="Q158" s="695"/>
      <c r="S158"/>
      <c r="W158"/>
      <c r="X158"/>
      <c r="Y158"/>
      <c r="Z158"/>
      <c r="AA158"/>
      <c r="AB158"/>
      <c r="AC158"/>
      <c r="AD158"/>
      <c r="AE158"/>
      <c r="AF158"/>
      <c r="AG158"/>
      <c r="AH158"/>
      <c r="AI158"/>
      <c r="AJ158"/>
      <c r="AK158"/>
      <c r="AL158"/>
      <c r="BE158"/>
    </row>
    <row r="159" spans="1:57" x14ac:dyDescent="0.3">
      <c r="A159" s="2"/>
      <c r="B159" s="2"/>
      <c r="C159" s="2"/>
      <c r="D159" s="2"/>
      <c r="E159" s="2"/>
      <c r="F159" s="2"/>
      <c r="G159" s="2"/>
      <c r="H159" s="2"/>
      <c r="I159" s="2"/>
      <c r="S159"/>
      <c r="W159"/>
      <c r="X159"/>
      <c r="Y159"/>
      <c r="Z159"/>
      <c r="AA159"/>
      <c r="AB159"/>
      <c r="AC159"/>
      <c r="AD159"/>
      <c r="AE159"/>
      <c r="AF159"/>
      <c r="AG159"/>
      <c r="AH159"/>
      <c r="AI159"/>
      <c r="AJ159"/>
      <c r="AK159"/>
      <c r="AL159"/>
      <c r="BE159"/>
    </row>
    <row r="160" spans="1:57" x14ac:dyDescent="0.3">
      <c r="A160" s="2"/>
      <c r="B160" s="2"/>
      <c r="C160" s="2"/>
      <c r="D160" s="2"/>
      <c r="E160" s="2"/>
      <c r="F160" s="2"/>
      <c r="G160" s="2"/>
      <c r="H160" s="2"/>
      <c r="I160" s="2"/>
      <c r="S160"/>
      <c r="W160"/>
      <c r="X160"/>
      <c r="Y160"/>
      <c r="Z160"/>
      <c r="AA160"/>
      <c r="AB160"/>
      <c r="AC160"/>
      <c r="AD160"/>
      <c r="AE160"/>
      <c r="AF160"/>
      <c r="AG160"/>
      <c r="AH160"/>
      <c r="AI160"/>
      <c r="AJ160"/>
      <c r="AK160"/>
      <c r="AL160"/>
      <c r="BE160"/>
    </row>
    <row r="161" spans="1:57" x14ac:dyDescent="0.3">
      <c r="A161" s="2"/>
      <c r="B161" s="2"/>
      <c r="C161" s="2"/>
      <c r="D161" s="2"/>
      <c r="E161" s="2"/>
      <c r="F161" s="2"/>
      <c r="G161" s="2"/>
      <c r="H161" s="2"/>
      <c r="I161" s="2"/>
      <c r="S161"/>
      <c r="W161"/>
      <c r="X161"/>
      <c r="Y161"/>
      <c r="Z161"/>
      <c r="AA161"/>
      <c r="AB161"/>
      <c r="AC161"/>
      <c r="AD161"/>
      <c r="AE161"/>
      <c r="AF161"/>
      <c r="AG161"/>
      <c r="AH161"/>
      <c r="AI161"/>
      <c r="AJ161"/>
      <c r="AK161"/>
      <c r="AL161"/>
      <c r="BE161"/>
    </row>
    <row r="162" spans="1:57" x14ac:dyDescent="0.3">
      <c r="A162" s="1162" t="s">
        <v>4602</v>
      </c>
      <c r="B162" s="1162"/>
      <c r="C162" s="1162"/>
      <c r="D162" s="703"/>
      <c r="E162" s="703"/>
      <c r="F162" s="703"/>
      <c r="G162" s="703"/>
      <c r="H162" s="703"/>
      <c r="I162" s="703"/>
      <c r="J162" s="703" t="s">
        <v>4607</v>
      </c>
      <c r="K162" s="659"/>
      <c r="L162" s="659"/>
      <c r="M162" s="659"/>
      <c r="N162" s="659"/>
      <c r="O162" s="659"/>
      <c r="P162" s="659"/>
      <c r="Q162" s="690"/>
      <c r="S162"/>
      <c r="W162"/>
      <c r="X162"/>
      <c r="Y162"/>
      <c r="Z162"/>
      <c r="AA162"/>
      <c r="AB162"/>
      <c r="AC162"/>
      <c r="AD162"/>
      <c r="AE162"/>
      <c r="AF162"/>
      <c r="AG162"/>
      <c r="AH162"/>
      <c r="AI162"/>
      <c r="AJ162"/>
      <c r="AK162"/>
      <c r="AL162"/>
      <c r="BE162"/>
    </row>
    <row r="163" spans="1:57" x14ac:dyDescent="0.3">
      <c r="A163" s="706" t="s">
        <v>4092</v>
      </c>
      <c r="B163" s="522" t="s">
        <v>4590</v>
      </c>
      <c r="C163" s="522" t="s">
        <v>4591</v>
      </c>
      <c r="D163" s="697">
        <v>47</v>
      </c>
      <c r="E163" s="697">
        <v>13</v>
      </c>
      <c r="F163" s="697">
        <v>21</v>
      </c>
      <c r="G163" s="698">
        <v>34</v>
      </c>
      <c r="H163" s="697">
        <v>16</v>
      </c>
      <c r="I163" s="697">
        <v>4</v>
      </c>
      <c r="J163" s="705">
        <f>G163/D163</f>
        <v>0.72340425531914898</v>
      </c>
      <c r="K163" s="678" t="s">
        <v>4599</v>
      </c>
      <c r="L163" s="679">
        <v>2</v>
      </c>
      <c r="M163" s="679">
        <v>1</v>
      </c>
      <c r="N163" s="679">
        <v>5</v>
      </c>
      <c r="O163" s="680">
        <v>6</v>
      </c>
      <c r="P163" s="679">
        <v>2</v>
      </c>
      <c r="Q163" s="691">
        <v>6</v>
      </c>
      <c r="S163"/>
      <c r="W163"/>
      <c r="X163"/>
      <c r="Y163"/>
      <c r="Z163"/>
      <c r="AA163"/>
      <c r="AB163"/>
      <c r="AC163"/>
      <c r="AD163"/>
      <c r="AE163"/>
      <c r="AF163"/>
      <c r="AG163"/>
      <c r="AH163"/>
      <c r="AI163"/>
      <c r="AJ163"/>
      <c r="AK163"/>
      <c r="AL163"/>
      <c r="BE163"/>
    </row>
    <row r="164" spans="1:57" x14ac:dyDescent="0.3">
      <c r="A164" s="707" t="s">
        <v>4096</v>
      </c>
      <c r="B164" s="527" t="s">
        <v>4590</v>
      </c>
      <c r="C164" s="527" t="s">
        <v>4591</v>
      </c>
      <c r="D164" s="699">
        <v>49</v>
      </c>
      <c r="E164" s="699">
        <v>12</v>
      </c>
      <c r="F164" s="699">
        <v>20</v>
      </c>
      <c r="G164" s="700">
        <v>32</v>
      </c>
      <c r="H164" s="699">
        <v>26</v>
      </c>
      <c r="I164" s="699">
        <v>1</v>
      </c>
      <c r="J164" s="705">
        <f>G164/D164</f>
        <v>0.65306122448979587</v>
      </c>
      <c r="K164" s="660"/>
      <c r="L164" s="662"/>
      <c r="M164" s="662"/>
      <c r="N164" s="662"/>
      <c r="O164" s="663"/>
      <c r="P164" s="662"/>
      <c r="Q164" s="692"/>
      <c r="S164"/>
      <c r="W164"/>
      <c r="X164"/>
      <c r="Y164"/>
      <c r="Z164"/>
      <c r="AA164"/>
      <c r="AB164"/>
      <c r="AC164"/>
      <c r="AD164"/>
      <c r="AE164"/>
      <c r="AF164"/>
      <c r="AG164"/>
      <c r="AH164"/>
      <c r="AI164"/>
      <c r="AJ164"/>
      <c r="AK164"/>
      <c r="AL164"/>
      <c r="BE164"/>
    </row>
    <row r="165" spans="1:57" x14ac:dyDescent="0.3">
      <c r="A165" s="706" t="s">
        <v>4081</v>
      </c>
      <c r="B165" s="522" t="s">
        <v>4590</v>
      </c>
      <c r="C165" s="522" t="s">
        <v>4591</v>
      </c>
      <c r="D165" s="697">
        <v>48</v>
      </c>
      <c r="E165" s="697">
        <v>12</v>
      </c>
      <c r="F165" s="697">
        <v>20</v>
      </c>
      <c r="G165" s="698">
        <v>32</v>
      </c>
      <c r="H165" s="697">
        <v>18</v>
      </c>
      <c r="I165" s="697">
        <v>6</v>
      </c>
      <c r="J165" s="705">
        <f>G165/D165</f>
        <v>0.66666666666666663</v>
      </c>
      <c r="K165" s="678" t="s">
        <v>4095</v>
      </c>
      <c r="L165" s="679">
        <v>3</v>
      </c>
      <c r="M165" s="679">
        <v>0</v>
      </c>
      <c r="N165" s="679">
        <v>0</v>
      </c>
      <c r="O165" s="680">
        <v>0</v>
      </c>
      <c r="P165" s="679">
        <v>4</v>
      </c>
      <c r="Q165" s="691">
        <v>-4</v>
      </c>
      <c r="S165"/>
      <c r="W165"/>
      <c r="X165"/>
      <c r="Y165"/>
      <c r="Z165"/>
      <c r="AA165"/>
      <c r="AB165"/>
      <c r="AC165"/>
      <c r="AD165"/>
      <c r="AE165"/>
      <c r="AF165"/>
      <c r="AG165"/>
      <c r="AH165"/>
      <c r="AI165"/>
      <c r="AJ165"/>
      <c r="AK165"/>
      <c r="AL165"/>
      <c r="BE165"/>
    </row>
    <row r="166" spans="1:57" ht="15" thickBot="1" x14ac:dyDescent="0.35">
      <c r="A166" s="667" t="s">
        <v>4589</v>
      </c>
      <c r="B166" s="672" t="s">
        <v>4592</v>
      </c>
      <c r="C166" s="541" t="s">
        <v>4591</v>
      </c>
      <c r="D166" s="668">
        <v>41</v>
      </c>
      <c r="E166" s="668">
        <v>2</v>
      </c>
      <c r="F166" s="668">
        <v>14</v>
      </c>
      <c r="G166" s="669">
        <v>16</v>
      </c>
      <c r="H166" s="668">
        <v>12</v>
      </c>
      <c r="I166" s="668">
        <v>-5</v>
      </c>
      <c r="J166" s="705">
        <f>G166/D166</f>
        <v>0.3902439024390244</v>
      </c>
      <c r="K166" s="671"/>
      <c r="L166" s="665"/>
      <c r="M166" s="665"/>
      <c r="N166" s="665"/>
      <c r="O166" s="666"/>
      <c r="P166" s="665"/>
      <c r="Q166" s="695"/>
      <c r="S166"/>
      <c r="W166"/>
      <c r="X166"/>
      <c r="Y166"/>
      <c r="Z166"/>
      <c r="AA166"/>
      <c r="AB166"/>
      <c r="AC166"/>
      <c r="AD166"/>
      <c r="AE166"/>
      <c r="AF166"/>
      <c r="AG166"/>
      <c r="AH166"/>
      <c r="AI166"/>
      <c r="AJ166"/>
      <c r="AK166"/>
      <c r="AL166"/>
      <c r="BE166"/>
    </row>
    <row r="167" spans="1:57" x14ac:dyDescent="0.3">
      <c r="A167" s="2"/>
      <c r="B167" s="2"/>
      <c r="C167" s="2"/>
      <c r="D167" s="2"/>
      <c r="E167" s="2"/>
      <c r="F167" s="2"/>
      <c r="G167" s="2"/>
      <c r="H167" s="2"/>
      <c r="I167" s="2"/>
      <c r="S167"/>
      <c r="W167"/>
      <c r="X167"/>
      <c r="Y167"/>
      <c r="Z167"/>
      <c r="AA167"/>
      <c r="AB167"/>
      <c r="AC167"/>
      <c r="AD167"/>
      <c r="AE167"/>
      <c r="AF167"/>
      <c r="AG167"/>
      <c r="AH167"/>
      <c r="AI167"/>
      <c r="AJ167"/>
      <c r="AK167"/>
      <c r="AL167"/>
      <c r="BE167"/>
    </row>
    <row r="168" spans="1:57" x14ac:dyDescent="0.3">
      <c r="A168" s="2"/>
      <c r="B168" s="2"/>
      <c r="C168" s="2"/>
      <c r="D168" s="2"/>
      <c r="E168" s="2"/>
      <c r="F168" s="2"/>
      <c r="G168" s="2"/>
      <c r="H168" s="2"/>
      <c r="I168" s="2"/>
      <c r="S168"/>
      <c r="W168"/>
      <c r="X168"/>
      <c r="Y168"/>
      <c r="Z168"/>
      <c r="AA168"/>
      <c r="AB168"/>
      <c r="AC168"/>
      <c r="AD168"/>
      <c r="AE168"/>
      <c r="AF168"/>
      <c r="AG168"/>
      <c r="AH168"/>
      <c r="AI168"/>
      <c r="AJ168"/>
      <c r="AK168"/>
      <c r="AL168"/>
      <c r="BE168"/>
    </row>
    <row r="169" spans="1:57" x14ac:dyDescent="0.3">
      <c r="A169" s="2"/>
      <c r="B169" s="2"/>
      <c r="C169" s="2"/>
      <c r="D169" s="2"/>
      <c r="E169" s="2"/>
      <c r="F169" s="2"/>
      <c r="G169" s="2"/>
      <c r="H169" s="2"/>
      <c r="I169" s="2"/>
      <c r="S169"/>
      <c r="W169"/>
      <c r="X169"/>
      <c r="Y169"/>
      <c r="Z169"/>
      <c r="AA169"/>
      <c r="AB169"/>
      <c r="AC169"/>
      <c r="AD169"/>
      <c r="AE169"/>
      <c r="AF169"/>
      <c r="AG169"/>
      <c r="AH169"/>
      <c r="AI169"/>
      <c r="AJ169"/>
      <c r="AK169"/>
      <c r="AL169"/>
      <c r="BE169"/>
    </row>
    <row r="170" spans="1:57" x14ac:dyDescent="0.3">
      <c r="A170" s="1162" t="s">
        <v>4605</v>
      </c>
      <c r="B170" s="1162"/>
      <c r="C170" s="1162"/>
      <c r="D170" s="703"/>
      <c r="E170" s="703"/>
      <c r="F170" s="703"/>
      <c r="G170" s="703"/>
      <c r="H170" s="703"/>
      <c r="I170" s="703"/>
      <c r="J170" s="703" t="s">
        <v>4607</v>
      </c>
      <c r="K170" s="659"/>
      <c r="L170" s="659"/>
      <c r="M170" s="659"/>
      <c r="N170" s="659"/>
      <c r="O170" s="659"/>
      <c r="P170" s="659"/>
      <c r="Q170" s="690"/>
      <c r="S170"/>
      <c r="W170"/>
      <c r="X170"/>
      <c r="Y170"/>
      <c r="Z170"/>
      <c r="AA170"/>
      <c r="AB170"/>
      <c r="AC170"/>
      <c r="AD170"/>
      <c r="AE170"/>
      <c r="AF170"/>
      <c r="AG170"/>
      <c r="AH170"/>
      <c r="AI170"/>
      <c r="AJ170"/>
      <c r="AK170"/>
      <c r="AL170"/>
      <c r="BE170"/>
    </row>
    <row r="171" spans="1:57" x14ac:dyDescent="0.3">
      <c r="A171" s="706" t="s">
        <v>4092</v>
      </c>
      <c r="B171" s="522" t="s">
        <v>4603</v>
      </c>
      <c r="C171" s="522" t="s">
        <v>4591</v>
      </c>
      <c r="D171" s="697">
        <v>36</v>
      </c>
      <c r="E171" s="697">
        <v>9</v>
      </c>
      <c r="F171" s="697">
        <v>4</v>
      </c>
      <c r="G171" s="698">
        <v>13</v>
      </c>
      <c r="H171" s="697">
        <v>16</v>
      </c>
      <c r="I171" s="697">
        <v>-5</v>
      </c>
      <c r="J171" s="705">
        <f>G171/D171</f>
        <v>0.3611111111111111</v>
      </c>
      <c r="K171" s="678" t="s">
        <v>4095</v>
      </c>
      <c r="L171" s="679">
        <v>4</v>
      </c>
      <c r="M171" s="679">
        <v>2</v>
      </c>
      <c r="N171" s="679">
        <v>0</v>
      </c>
      <c r="O171" s="680">
        <v>2</v>
      </c>
      <c r="P171" s="679">
        <v>16</v>
      </c>
      <c r="Q171" s="691">
        <v>-2</v>
      </c>
      <c r="S171"/>
      <c r="W171"/>
      <c r="X171"/>
      <c r="Y171"/>
      <c r="Z171"/>
      <c r="AA171"/>
      <c r="AB171"/>
      <c r="AC171"/>
      <c r="AD171"/>
      <c r="AE171"/>
      <c r="AF171"/>
      <c r="AG171"/>
      <c r="AH171"/>
      <c r="AI171"/>
      <c r="AJ171"/>
      <c r="AK171"/>
      <c r="AL171"/>
      <c r="BE171"/>
    </row>
    <row r="172" spans="1:57" x14ac:dyDescent="0.3">
      <c r="A172" s="707" t="s">
        <v>4096</v>
      </c>
      <c r="B172" s="527" t="s">
        <v>4604</v>
      </c>
      <c r="C172" s="527" t="s">
        <v>4591</v>
      </c>
      <c r="D172" s="699">
        <v>52</v>
      </c>
      <c r="E172" s="699">
        <v>22</v>
      </c>
      <c r="F172" s="699">
        <v>16</v>
      </c>
      <c r="G172" s="700">
        <v>38</v>
      </c>
      <c r="H172" s="699">
        <v>51</v>
      </c>
      <c r="I172" s="699">
        <v>0</v>
      </c>
      <c r="J172" s="705">
        <f>G172/D172</f>
        <v>0.73076923076923073</v>
      </c>
      <c r="K172" s="661"/>
      <c r="L172" s="662"/>
      <c r="M172" s="662"/>
      <c r="N172" s="662"/>
      <c r="O172" s="663"/>
      <c r="P172" s="662"/>
      <c r="Q172" s="692"/>
      <c r="S172"/>
      <c r="W172"/>
      <c r="X172"/>
      <c r="Y172"/>
      <c r="Z172"/>
      <c r="AA172"/>
      <c r="AB172"/>
      <c r="AC172"/>
      <c r="AD172"/>
      <c r="AE172"/>
      <c r="AF172"/>
      <c r="AG172"/>
      <c r="AH172"/>
      <c r="AI172"/>
      <c r="AJ172"/>
      <c r="AK172"/>
      <c r="AL172"/>
      <c r="BE172"/>
    </row>
    <row r="173" spans="1:57" x14ac:dyDescent="0.3">
      <c r="A173" s="706" t="s">
        <v>4081</v>
      </c>
      <c r="B173" s="522" t="s">
        <v>4590</v>
      </c>
      <c r="C173" s="522" t="s">
        <v>4591</v>
      </c>
      <c r="D173" s="697">
        <v>52</v>
      </c>
      <c r="E173" s="697">
        <v>18</v>
      </c>
      <c r="F173" s="697">
        <v>14</v>
      </c>
      <c r="G173" s="698">
        <v>32</v>
      </c>
      <c r="H173" s="697">
        <v>24</v>
      </c>
      <c r="I173" s="697">
        <v>1</v>
      </c>
      <c r="J173" s="705">
        <f>G173/D173</f>
        <v>0.61538461538461542</v>
      </c>
      <c r="K173" s="678" t="s">
        <v>4095</v>
      </c>
      <c r="L173" s="679">
        <v>3</v>
      </c>
      <c r="M173" s="679">
        <v>1</v>
      </c>
      <c r="N173" s="679">
        <v>0</v>
      </c>
      <c r="O173" s="680">
        <v>1</v>
      </c>
      <c r="P173" s="679">
        <v>4</v>
      </c>
      <c r="Q173" s="691">
        <v>0</v>
      </c>
      <c r="S173"/>
      <c r="W173"/>
      <c r="X173"/>
      <c r="Y173"/>
      <c r="Z173"/>
      <c r="AA173"/>
      <c r="AB173"/>
      <c r="AC173"/>
      <c r="AD173"/>
      <c r="AE173"/>
      <c r="AF173"/>
      <c r="AG173"/>
      <c r="AH173"/>
      <c r="AI173"/>
      <c r="AJ173"/>
      <c r="AK173"/>
      <c r="AL173"/>
      <c r="BE173"/>
    </row>
    <row r="174" spans="1:57" ht="15" thickBot="1" x14ac:dyDescent="0.35">
      <c r="A174" s="667" t="s">
        <v>4589</v>
      </c>
      <c r="B174" s="541" t="s">
        <v>4590</v>
      </c>
      <c r="C174" s="541" t="s">
        <v>4591</v>
      </c>
      <c r="D174" s="668">
        <v>51</v>
      </c>
      <c r="E174" s="668">
        <v>10</v>
      </c>
      <c r="F174" s="668">
        <v>14</v>
      </c>
      <c r="G174" s="669">
        <v>24</v>
      </c>
      <c r="H174" s="668">
        <v>34</v>
      </c>
      <c r="I174" s="668">
        <v>-13</v>
      </c>
      <c r="J174" s="705">
        <f>G174/D174</f>
        <v>0.47058823529411764</v>
      </c>
      <c r="K174" s="664"/>
      <c r="L174" s="665"/>
      <c r="M174" s="665"/>
      <c r="N174" s="665"/>
      <c r="O174" s="666"/>
      <c r="P174" s="665"/>
      <c r="Q174" s="695"/>
      <c r="S174"/>
      <c r="W174"/>
      <c r="X174"/>
      <c r="Y174"/>
      <c r="Z174"/>
      <c r="AA174"/>
      <c r="AB174"/>
      <c r="AC174"/>
      <c r="AD174"/>
      <c r="AE174"/>
      <c r="AF174"/>
      <c r="AG174"/>
      <c r="AH174"/>
      <c r="AI174"/>
      <c r="AJ174"/>
      <c r="AK174"/>
      <c r="AL174"/>
      <c r="BE174"/>
    </row>
    <row r="175" spans="1:57" x14ac:dyDescent="0.3">
      <c r="A175" s="2"/>
      <c r="B175" s="2"/>
      <c r="C175" s="2"/>
      <c r="D175" s="2"/>
      <c r="E175" s="2"/>
      <c r="F175" s="2"/>
      <c r="G175" s="2"/>
      <c r="H175" s="2"/>
      <c r="I175" s="2"/>
      <c r="S175"/>
      <c r="W175"/>
      <c r="X175"/>
      <c r="Y175"/>
      <c r="Z175"/>
      <c r="AA175"/>
      <c r="AB175"/>
      <c r="AC175"/>
      <c r="AD175"/>
      <c r="AE175"/>
      <c r="AF175"/>
      <c r="AG175"/>
      <c r="AH175"/>
      <c r="AI175"/>
      <c r="AJ175"/>
      <c r="AK175"/>
      <c r="AL175"/>
      <c r="BE175"/>
    </row>
    <row r="176" spans="1:57" x14ac:dyDescent="0.3">
      <c r="A176" s="2"/>
      <c r="B176" s="2"/>
      <c r="C176" s="2"/>
      <c r="D176" s="2"/>
      <c r="E176" s="2"/>
      <c r="F176" s="2"/>
      <c r="G176" s="2"/>
      <c r="H176" s="2"/>
      <c r="I176" s="2"/>
      <c r="S176"/>
      <c r="W176"/>
      <c r="X176"/>
      <c r="Y176"/>
      <c r="Z176"/>
      <c r="AA176"/>
      <c r="AB176"/>
      <c r="AC176"/>
      <c r="AD176"/>
      <c r="AE176"/>
      <c r="AF176"/>
      <c r="AG176"/>
      <c r="AH176"/>
      <c r="AI176"/>
      <c r="AJ176"/>
      <c r="AK176"/>
      <c r="AL176"/>
      <c r="BE176"/>
    </row>
    <row r="177" spans="1:57" x14ac:dyDescent="0.3">
      <c r="A177" s="2"/>
      <c r="B177" s="2"/>
      <c r="C177" s="2"/>
      <c r="D177" s="2"/>
      <c r="E177" s="2"/>
      <c r="F177" s="2"/>
      <c r="G177" s="2"/>
      <c r="H177" s="2"/>
      <c r="I177" s="2"/>
      <c r="S177"/>
      <c r="W177"/>
      <c r="X177"/>
      <c r="Y177"/>
      <c r="Z177"/>
      <c r="AA177"/>
      <c r="AB177"/>
      <c r="AC177"/>
      <c r="AD177"/>
      <c r="AE177"/>
      <c r="AF177"/>
      <c r="AG177"/>
      <c r="AH177"/>
      <c r="AI177"/>
      <c r="AJ177"/>
      <c r="AK177"/>
      <c r="AL177"/>
      <c r="BE177"/>
    </row>
    <row r="178" spans="1:57" x14ac:dyDescent="0.3">
      <c r="A178" s="1162" t="s">
        <v>4606</v>
      </c>
      <c r="B178" s="1162"/>
      <c r="C178" s="1162"/>
      <c r="D178" s="703"/>
      <c r="E178" s="703"/>
      <c r="F178" s="703"/>
      <c r="G178" s="703"/>
      <c r="H178" s="703"/>
      <c r="I178" s="703"/>
      <c r="J178" s="703" t="s">
        <v>4607</v>
      </c>
      <c r="K178" s="659"/>
      <c r="L178" s="659"/>
      <c r="M178" s="659"/>
      <c r="N178" s="659"/>
      <c r="O178" s="659"/>
      <c r="P178" s="659"/>
      <c r="Q178" s="690"/>
      <c r="S178"/>
      <c r="W178"/>
      <c r="X178"/>
      <c r="Y178"/>
      <c r="Z178"/>
      <c r="AA178"/>
      <c r="AB178"/>
      <c r="AC178"/>
      <c r="AD178"/>
      <c r="AE178"/>
      <c r="AF178"/>
      <c r="AG178"/>
      <c r="AH178"/>
      <c r="AI178"/>
      <c r="AJ178"/>
      <c r="AK178"/>
      <c r="AL178"/>
      <c r="BE178"/>
    </row>
    <row r="179" spans="1:57" x14ac:dyDescent="0.3">
      <c r="A179" s="707" t="s">
        <v>4092</v>
      </c>
      <c r="B179" s="527" t="s">
        <v>4590</v>
      </c>
      <c r="C179" s="527" t="s">
        <v>4591</v>
      </c>
      <c r="D179" s="699">
        <v>35</v>
      </c>
      <c r="E179" s="699">
        <v>6</v>
      </c>
      <c r="F179" s="699">
        <v>11</v>
      </c>
      <c r="G179" s="700">
        <v>17</v>
      </c>
      <c r="H179" s="699">
        <v>6</v>
      </c>
      <c r="I179" s="699">
        <v>0</v>
      </c>
      <c r="J179" s="705">
        <f>G179/D179</f>
        <v>0.48571428571428571</v>
      </c>
      <c r="K179" s="661"/>
      <c r="L179" s="662"/>
      <c r="M179" s="662"/>
      <c r="N179" s="662"/>
      <c r="O179" s="663"/>
      <c r="P179" s="662"/>
      <c r="Q179" s="692"/>
      <c r="S179"/>
      <c r="W179"/>
      <c r="X179"/>
      <c r="Y179"/>
      <c r="Z179"/>
      <c r="AA179"/>
      <c r="AB179"/>
      <c r="AC179"/>
      <c r="AD179"/>
      <c r="AE179"/>
      <c r="AF179"/>
      <c r="AG179"/>
      <c r="AH179"/>
      <c r="AI179"/>
      <c r="AJ179"/>
      <c r="AK179"/>
      <c r="AL179"/>
      <c r="BE179"/>
    </row>
    <row r="180" spans="1:57" x14ac:dyDescent="0.3">
      <c r="A180" s="706" t="s">
        <v>4096</v>
      </c>
      <c r="B180" s="522" t="s">
        <v>4590</v>
      </c>
      <c r="C180" s="522" t="s">
        <v>4591</v>
      </c>
      <c r="D180" s="697">
        <v>43</v>
      </c>
      <c r="E180" s="697">
        <v>6</v>
      </c>
      <c r="F180" s="697">
        <v>8</v>
      </c>
      <c r="G180" s="698">
        <v>14</v>
      </c>
      <c r="H180" s="697">
        <v>6</v>
      </c>
      <c r="I180" s="697">
        <v>0</v>
      </c>
      <c r="J180" s="705">
        <f>G180/D180</f>
        <v>0.32558139534883723</v>
      </c>
      <c r="K180" s="677"/>
      <c r="L180" s="679"/>
      <c r="M180" s="679"/>
      <c r="N180" s="679"/>
      <c r="O180" s="680"/>
      <c r="P180" s="679"/>
      <c r="Q180" s="691"/>
      <c r="S180"/>
      <c r="W180"/>
      <c r="X180"/>
      <c r="Y180"/>
      <c r="Z180"/>
      <c r="AA180"/>
      <c r="AB180"/>
      <c r="AC180"/>
      <c r="AD180"/>
      <c r="AE180"/>
      <c r="AF180"/>
      <c r="AG180"/>
      <c r="AH180"/>
      <c r="AI180"/>
      <c r="AJ180"/>
      <c r="AK180"/>
      <c r="AL180"/>
      <c r="BE180"/>
    </row>
    <row r="181" spans="1:57" x14ac:dyDescent="0.3">
      <c r="A181" s="707" t="s">
        <v>4081</v>
      </c>
      <c r="B181" s="527" t="s">
        <v>4590</v>
      </c>
      <c r="C181" s="527" t="s">
        <v>4591</v>
      </c>
      <c r="D181" s="699">
        <v>36</v>
      </c>
      <c r="E181" s="699">
        <v>3</v>
      </c>
      <c r="F181" s="699">
        <v>8</v>
      </c>
      <c r="G181" s="700">
        <v>11</v>
      </c>
      <c r="H181" s="699">
        <v>8</v>
      </c>
      <c r="I181" s="699">
        <v>-4</v>
      </c>
      <c r="J181" s="705">
        <f>G181/D181</f>
        <v>0.30555555555555558</v>
      </c>
      <c r="K181" s="661" t="s">
        <v>4095</v>
      </c>
      <c r="L181" s="662">
        <v>3</v>
      </c>
      <c r="M181" s="662">
        <v>0</v>
      </c>
      <c r="N181" s="662">
        <v>0</v>
      </c>
      <c r="O181" s="663">
        <v>0</v>
      </c>
      <c r="P181" s="662">
        <v>0</v>
      </c>
      <c r="Q181" s="692">
        <v>-1</v>
      </c>
      <c r="S181"/>
      <c r="W181"/>
      <c r="X181"/>
      <c r="Y181"/>
      <c r="Z181"/>
      <c r="AA181"/>
      <c r="AB181"/>
      <c r="AC181"/>
      <c r="AD181"/>
      <c r="AE181"/>
      <c r="AF181"/>
      <c r="AG181"/>
      <c r="AH181"/>
      <c r="AI181"/>
      <c r="AJ181"/>
      <c r="AK181"/>
      <c r="AL181"/>
      <c r="BE181"/>
    </row>
    <row r="182" spans="1:57" ht="15" thickBot="1" x14ac:dyDescent="0.35">
      <c r="A182" s="683" t="s">
        <v>4589</v>
      </c>
      <c r="B182" s="532" t="s">
        <v>4590</v>
      </c>
      <c r="C182" s="532" t="s">
        <v>4591</v>
      </c>
      <c r="D182" s="684">
        <v>41</v>
      </c>
      <c r="E182" s="684">
        <v>2</v>
      </c>
      <c r="F182" s="684">
        <v>5</v>
      </c>
      <c r="G182" s="685">
        <v>7</v>
      </c>
      <c r="H182" s="684">
        <v>8</v>
      </c>
      <c r="I182" s="684">
        <v>-3</v>
      </c>
      <c r="J182" s="705">
        <f>G182/D182</f>
        <v>0.17073170731707318</v>
      </c>
      <c r="K182" s="696"/>
      <c r="L182" s="681"/>
      <c r="M182" s="681"/>
      <c r="N182" s="681"/>
      <c r="O182" s="682"/>
      <c r="P182" s="694"/>
      <c r="Q182" s="695"/>
      <c r="S182"/>
      <c r="W182"/>
      <c r="X182"/>
      <c r="Y182"/>
      <c r="Z182"/>
      <c r="AA182"/>
      <c r="AB182"/>
      <c r="AC182"/>
      <c r="AD182"/>
      <c r="AE182"/>
      <c r="AF182"/>
      <c r="AG182"/>
      <c r="AH182"/>
      <c r="AI182"/>
      <c r="AJ182"/>
      <c r="AK182"/>
      <c r="AL182"/>
      <c r="BE182"/>
    </row>
    <row r="183" spans="1:57" x14ac:dyDescent="0.3">
      <c r="A183" s="2"/>
      <c r="B183" s="2"/>
      <c r="C183" s="2"/>
      <c r="D183" s="2"/>
      <c r="E183" s="2"/>
      <c r="F183" s="2"/>
      <c r="G183" s="2"/>
      <c r="H183" s="2"/>
      <c r="I183" s="2"/>
      <c r="S183"/>
      <c r="W183"/>
      <c r="X183"/>
      <c r="Y183"/>
      <c r="Z183"/>
      <c r="AA183"/>
      <c r="AB183"/>
      <c r="AC183"/>
      <c r="AD183"/>
      <c r="AE183"/>
      <c r="AF183"/>
      <c r="AG183"/>
      <c r="AH183"/>
      <c r="AI183"/>
      <c r="AJ183"/>
      <c r="AK183"/>
      <c r="AL183"/>
      <c r="BE183"/>
    </row>
    <row r="184" spans="1:57" x14ac:dyDescent="0.3">
      <c r="A184" s="2"/>
      <c r="B184" s="2"/>
      <c r="C184" s="2"/>
      <c r="S184"/>
      <c r="W184"/>
      <c r="X184"/>
      <c r="Y184"/>
      <c r="Z184"/>
      <c r="AA184"/>
      <c r="AB184"/>
      <c r="AC184"/>
      <c r="AD184"/>
      <c r="AE184"/>
      <c r="AF184"/>
      <c r="AG184"/>
      <c r="AH184"/>
      <c r="AI184"/>
      <c r="AJ184"/>
      <c r="AK184"/>
      <c r="AL184"/>
      <c r="BE184"/>
    </row>
    <row r="185" spans="1:57" x14ac:dyDescent="0.3">
      <c r="A185" s="2"/>
      <c r="B185" s="2"/>
      <c r="C185" s="2"/>
      <c r="S185"/>
      <c r="W185"/>
      <c r="X185"/>
      <c r="Y185"/>
      <c r="Z185"/>
      <c r="AA185"/>
      <c r="AB185"/>
      <c r="AC185"/>
      <c r="AD185"/>
      <c r="AE185"/>
      <c r="AF185"/>
      <c r="AG185"/>
      <c r="AH185"/>
      <c r="AI185"/>
      <c r="AJ185"/>
      <c r="AK185"/>
      <c r="AL185"/>
      <c r="BE185"/>
    </row>
    <row r="186" spans="1:57" x14ac:dyDescent="0.3">
      <c r="A186" s="1162" t="s">
        <v>4057</v>
      </c>
      <c r="B186" s="1162"/>
      <c r="C186" s="1162"/>
      <c r="D186" s="491" t="s">
        <v>213</v>
      </c>
      <c r="E186" s="491" t="s">
        <v>4051</v>
      </c>
      <c r="F186" s="491" t="s">
        <v>4052</v>
      </c>
      <c r="G186" s="491" t="s">
        <v>4053</v>
      </c>
      <c r="H186" s="491" t="s">
        <v>4054</v>
      </c>
      <c r="I186" s="491" t="s">
        <v>4055</v>
      </c>
      <c r="J186" s="703" t="s">
        <v>4607</v>
      </c>
      <c r="K186" s="491" t="s">
        <v>4056</v>
      </c>
      <c r="L186" s="491" t="s">
        <v>213</v>
      </c>
      <c r="M186" s="491" t="s">
        <v>4051</v>
      </c>
      <c r="N186" s="491" t="s">
        <v>4052</v>
      </c>
      <c r="O186" s="491" t="s">
        <v>4053</v>
      </c>
      <c r="P186" s="491" t="s">
        <v>4054</v>
      </c>
      <c r="Q186" s="491" t="s">
        <v>4055</v>
      </c>
      <c r="S186"/>
      <c r="W186"/>
      <c r="X186"/>
      <c r="Y186"/>
      <c r="Z186"/>
      <c r="AA186"/>
      <c r="AB186"/>
      <c r="AC186"/>
      <c r="AD186"/>
      <c r="AE186"/>
      <c r="AF186"/>
      <c r="AG186"/>
      <c r="AH186"/>
      <c r="AI186"/>
      <c r="AJ186"/>
      <c r="AK186"/>
      <c r="AL186"/>
      <c r="BE186"/>
    </row>
    <row r="187" spans="1:57" s="2" customFormat="1" x14ac:dyDescent="0.3">
      <c r="A187" s="62" t="s">
        <v>4043</v>
      </c>
      <c r="B187" s="492" t="s">
        <v>4044</v>
      </c>
      <c r="C187" s="492" t="s">
        <v>4045</v>
      </c>
      <c r="D187" s="62">
        <v>48</v>
      </c>
      <c r="E187" s="62">
        <v>10</v>
      </c>
      <c r="F187" s="62">
        <v>19</v>
      </c>
      <c r="G187" s="62">
        <v>29</v>
      </c>
      <c r="H187" s="62">
        <v>34</v>
      </c>
      <c r="I187" s="62">
        <v>13</v>
      </c>
      <c r="J187" s="705">
        <f>G187/D187</f>
        <v>0.60416666666666663</v>
      </c>
      <c r="K187" s="492" t="s">
        <v>4047</v>
      </c>
      <c r="L187" s="62">
        <v>14</v>
      </c>
      <c r="M187" s="62">
        <v>1</v>
      </c>
      <c r="N187" s="62">
        <v>4</v>
      </c>
      <c r="O187" s="62">
        <v>5</v>
      </c>
      <c r="P187" s="62">
        <v>26</v>
      </c>
      <c r="Q187" s="62">
        <v>4</v>
      </c>
    </row>
    <row r="188" spans="1:57" s="2" customFormat="1" x14ac:dyDescent="0.3">
      <c r="A188" s="62" t="s">
        <v>4048</v>
      </c>
      <c r="B188" s="492" t="s">
        <v>4044</v>
      </c>
      <c r="C188" s="492" t="s">
        <v>4045</v>
      </c>
      <c r="D188" s="62">
        <v>46</v>
      </c>
      <c r="E188" s="62">
        <v>8</v>
      </c>
      <c r="F188" s="62">
        <v>7</v>
      </c>
      <c r="G188" s="62">
        <v>15</v>
      </c>
      <c r="H188" s="62">
        <v>44</v>
      </c>
      <c r="I188" s="62">
        <v>-1</v>
      </c>
      <c r="J188" s="705">
        <f>G188/D188</f>
        <v>0.32608695652173914</v>
      </c>
      <c r="K188" s="62"/>
      <c r="L188" s="62"/>
      <c r="M188" s="62"/>
      <c r="N188" s="62"/>
      <c r="O188" s="62"/>
      <c r="P188" s="62"/>
      <c r="Q188" s="62"/>
    </row>
    <row r="189" spans="1:57" s="2" customFormat="1" x14ac:dyDescent="0.3">
      <c r="A189" s="62" t="s">
        <v>4049</v>
      </c>
      <c r="B189" s="493" t="s">
        <v>4050</v>
      </c>
      <c r="C189" s="492" t="s">
        <v>4045</v>
      </c>
      <c r="D189" s="62">
        <v>46</v>
      </c>
      <c r="E189" s="62">
        <v>12</v>
      </c>
      <c r="F189" s="62">
        <v>15</v>
      </c>
      <c r="G189" s="62">
        <v>27</v>
      </c>
      <c r="H189" s="62">
        <v>37</v>
      </c>
      <c r="I189" s="62">
        <v>19</v>
      </c>
      <c r="J189" s="705">
        <f>G189/D189</f>
        <v>0.58695652173913049</v>
      </c>
      <c r="K189" s="492" t="s">
        <v>4047</v>
      </c>
      <c r="L189" s="62">
        <v>3</v>
      </c>
      <c r="M189" s="62">
        <v>1</v>
      </c>
      <c r="N189" s="62">
        <v>0</v>
      </c>
      <c r="O189" s="62">
        <v>1</v>
      </c>
      <c r="P189" s="62">
        <v>0</v>
      </c>
      <c r="Q189" s="62">
        <v>1</v>
      </c>
    </row>
    <row r="190" spans="1:57" s="2" customFormat="1" ht="15" thickBot="1" x14ac:dyDescent="0.35">
      <c r="A190" s="667" t="s">
        <v>4589</v>
      </c>
      <c r="B190" s="672" t="s">
        <v>4592</v>
      </c>
      <c r="C190" s="541" t="s">
        <v>4591</v>
      </c>
      <c r="D190" s="668">
        <v>55</v>
      </c>
      <c r="E190" s="668">
        <v>9</v>
      </c>
      <c r="F190" s="668">
        <v>12</v>
      </c>
      <c r="G190" s="669">
        <v>21</v>
      </c>
      <c r="H190" s="668">
        <v>20</v>
      </c>
      <c r="I190" s="673">
        <v>-17</v>
      </c>
      <c r="J190" s="705">
        <f>G190/D190</f>
        <v>0.38181818181818183</v>
      </c>
      <c r="K190" s="492"/>
      <c r="L190" s="62"/>
      <c r="M190" s="62"/>
      <c r="N190" s="62"/>
      <c r="O190" s="62"/>
      <c r="P190" s="62"/>
      <c r="Q190" s="62"/>
    </row>
    <row r="191" spans="1:57" x14ac:dyDescent="0.3">
      <c r="A191" s="2"/>
      <c r="C191" s="2"/>
      <c r="S191"/>
      <c r="W191"/>
      <c r="X191"/>
      <c r="Y191"/>
      <c r="Z191"/>
      <c r="AA191"/>
      <c r="AB191"/>
      <c r="AC191"/>
      <c r="AD191"/>
      <c r="AE191"/>
      <c r="AF191"/>
      <c r="AG191"/>
      <c r="AH191"/>
      <c r="AI191"/>
      <c r="AJ191"/>
      <c r="AK191"/>
      <c r="AL191"/>
      <c r="BE191"/>
    </row>
    <row r="192" spans="1:57" x14ac:dyDescent="0.3">
      <c r="A192" s="2"/>
      <c r="C192" s="2"/>
      <c r="S192"/>
      <c r="W192"/>
      <c r="X192"/>
      <c r="Y192"/>
      <c r="Z192"/>
      <c r="AA192"/>
      <c r="AB192"/>
      <c r="AC192"/>
      <c r="AD192"/>
      <c r="AE192"/>
      <c r="AF192"/>
      <c r="AG192"/>
      <c r="AH192"/>
      <c r="AI192"/>
      <c r="AJ192"/>
      <c r="AK192"/>
      <c r="AL192"/>
      <c r="BE192"/>
    </row>
    <row r="193" spans="1:57" x14ac:dyDescent="0.3">
      <c r="A193" s="1162" t="s">
        <v>4058</v>
      </c>
      <c r="B193" s="1162"/>
      <c r="C193" s="1162"/>
      <c r="D193" s="491" t="s">
        <v>213</v>
      </c>
      <c r="E193" s="491" t="s">
        <v>4051</v>
      </c>
      <c r="F193" s="491" t="s">
        <v>4052</v>
      </c>
      <c r="G193" s="491" t="s">
        <v>4053</v>
      </c>
      <c r="H193" s="491" t="s">
        <v>4054</v>
      </c>
      <c r="I193" s="491" t="s">
        <v>4055</v>
      </c>
      <c r="J193" s="703" t="s">
        <v>4607</v>
      </c>
      <c r="K193" s="491" t="s">
        <v>4056</v>
      </c>
      <c r="L193" s="491" t="s">
        <v>213</v>
      </c>
      <c r="M193" s="491" t="s">
        <v>4051</v>
      </c>
      <c r="N193" s="491" t="s">
        <v>4052</v>
      </c>
      <c r="O193" s="491" t="s">
        <v>4053</v>
      </c>
      <c r="P193" s="491" t="s">
        <v>4054</v>
      </c>
      <c r="Q193" s="491" t="s">
        <v>4055</v>
      </c>
      <c r="S193"/>
      <c r="W193"/>
      <c r="X193"/>
      <c r="Y193"/>
      <c r="Z193"/>
      <c r="AA193"/>
      <c r="AB193"/>
      <c r="AC193"/>
      <c r="AD193"/>
      <c r="AE193"/>
      <c r="AF193"/>
      <c r="AG193"/>
      <c r="AH193"/>
      <c r="AI193"/>
      <c r="AJ193"/>
      <c r="AK193"/>
      <c r="AL193"/>
      <c r="BE193"/>
    </row>
    <row r="194" spans="1:57" s="2" customFormat="1" x14ac:dyDescent="0.3">
      <c r="A194" s="62" t="s">
        <v>4043</v>
      </c>
      <c r="B194" s="492" t="s">
        <v>4059</v>
      </c>
      <c r="C194" s="492" t="s">
        <v>4045</v>
      </c>
      <c r="D194" s="62">
        <v>52</v>
      </c>
      <c r="E194" s="62">
        <v>11</v>
      </c>
      <c r="F194" s="62">
        <v>14</v>
      </c>
      <c r="G194" s="62">
        <v>25</v>
      </c>
      <c r="H194" s="62">
        <v>8</v>
      </c>
      <c r="I194" s="62">
        <v>-7</v>
      </c>
      <c r="J194" s="705">
        <f>G194/D194</f>
        <v>0.48076923076923078</v>
      </c>
      <c r="K194" s="492" t="s">
        <v>4047</v>
      </c>
      <c r="L194" s="62">
        <v>4</v>
      </c>
      <c r="M194" s="62">
        <v>1</v>
      </c>
      <c r="N194" s="62">
        <v>0</v>
      </c>
      <c r="O194" s="62">
        <v>1</v>
      </c>
      <c r="P194" s="62">
        <v>0</v>
      </c>
      <c r="Q194" s="62">
        <v>-2</v>
      </c>
    </row>
    <row r="195" spans="1:57" s="2" customFormat="1" x14ac:dyDescent="0.3">
      <c r="A195" s="62" t="s">
        <v>4043</v>
      </c>
      <c r="B195" s="492" t="s">
        <v>4060</v>
      </c>
      <c r="C195" s="492" t="s">
        <v>4061</v>
      </c>
      <c r="D195" s="62">
        <v>4</v>
      </c>
      <c r="E195" s="62">
        <v>1</v>
      </c>
      <c r="F195" s="62">
        <v>0</v>
      </c>
      <c r="G195" s="62">
        <v>1</v>
      </c>
      <c r="H195" s="62">
        <v>0</v>
      </c>
      <c r="I195" s="62"/>
      <c r="J195" s="705"/>
      <c r="K195" s="492"/>
      <c r="L195" s="62"/>
      <c r="M195" s="62"/>
      <c r="N195" s="62"/>
      <c r="O195" s="62"/>
      <c r="P195" s="62"/>
      <c r="Q195" s="62"/>
    </row>
    <row r="196" spans="1:57" s="2" customFormat="1" x14ac:dyDescent="0.3">
      <c r="A196" s="62" t="s">
        <v>4048</v>
      </c>
      <c r="B196" s="492" t="s">
        <v>4059</v>
      </c>
      <c r="C196" s="492" t="s">
        <v>4045</v>
      </c>
      <c r="D196" s="62">
        <v>49</v>
      </c>
      <c r="E196" s="62">
        <v>10</v>
      </c>
      <c r="F196" s="62">
        <v>19</v>
      </c>
      <c r="G196" s="62">
        <v>29</v>
      </c>
      <c r="H196" s="62">
        <v>8</v>
      </c>
      <c r="I196" s="62">
        <v>16</v>
      </c>
      <c r="J196" s="705">
        <f>G196/D196</f>
        <v>0.59183673469387754</v>
      </c>
      <c r="K196" s="62"/>
      <c r="L196" s="62"/>
      <c r="M196" s="62"/>
      <c r="N196" s="62"/>
      <c r="O196" s="62"/>
      <c r="P196" s="62"/>
      <c r="Q196" s="62"/>
    </row>
    <row r="197" spans="1:57" s="2" customFormat="1" x14ac:dyDescent="0.3">
      <c r="A197" s="62" t="s">
        <v>4048</v>
      </c>
      <c r="B197" s="492" t="s">
        <v>4060</v>
      </c>
      <c r="C197" s="492" t="s">
        <v>4061</v>
      </c>
      <c r="D197" s="62">
        <v>3</v>
      </c>
      <c r="E197" s="62">
        <v>1</v>
      </c>
      <c r="F197" s="62">
        <v>0</v>
      </c>
      <c r="G197" s="62">
        <v>1</v>
      </c>
      <c r="H197" s="62">
        <v>2</v>
      </c>
      <c r="I197" s="62">
        <v>-3</v>
      </c>
      <c r="J197" s="705"/>
      <c r="K197" s="492"/>
      <c r="L197" s="62"/>
      <c r="M197" s="62"/>
      <c r="N197" s="62"/>
      <c r="O197" s="62"/>
      <c r="P197" s="62"/>
      <c r="Q197" s="62"/>
    </row>
    <row r="198" spans="1:57" s="2" customFormat="1" x14ac:dyDescent="0.3">
      <c r="A198" s="62" t="s">
        <v>4049</v>
      </c>
      <c r="B198" s="492" t="s">
        <v>4059</v>
      </c>
      <c r="C198" s="492" t="s">
        <v>4045</v>
      </c>
      <c r="D198" s="62">
        <v>43</v>
      </c>
      <c r="E198" s="62">
        <v>12</v>
      </c>
      <c r="F198" s="62">
        <v>9</v>
      </c>
      <c r="G198" s="62">
        <v>21</v>
      </c>
      <c r="H198" s="62">
        <v>12</v>
      </c>
      <c r="I198" s="62">
        <v>4</v>
      </c>
      <c r="J198" s="705">
        <f>G198/D198</f>
        <v>0.48837209302325579</v>
      </c>
      <c r="K198" s="492" t="s">
        <v>4047</v>
      </c>
      <c r="L198" s="62">
        <v>11</v>
      </c>
      <c r="M198" s="62">
        <v>0</v>
      </c>
      <c r="N198" s="62">
        <v>1</v>
      </c>
      <c r="O198" s="62">
        <v>1</v>
      </c>
      <c r="P198" s="62">
        <v>4</v>
      </c>
      <c r="Q198" s="62">
        <v>2</v>
      </c>
    </row>
    <row r="199" spans="1:57" s="2" customFormat="1" ht="15" thickBot="1" x14ac:dyDescent="0.35">
      <c r="A199" s="667" t="s">
        <v>4589</v>
      </c>
      <c r="B199" s="541" t="s">
        <v>4590</v>
      </c>
      <c r="C199" s="541" t="s">
        <v>4591</v>
      </c>
      <c r="D199" s="668">
        <v>51</v>
      </c>
      <c r="E199" s="668">
        <v>11</v>
      </c>
      <c r="F199" s="668">
        <v>12</v>
      </c>
      <c r="G199" s="669">
        <v>23</v>
      </c>
      <c r="H199" s="668">
        <v>10</v>
      </c>
      <c r="I199" s="673">
        <v>3</v>
      </c>
      <c r="J199" s="705">
        <f>G199/D199</f>
        <v>0.45098039215686275</v>
      </c>
      <c r="K199" s="492"/>
      <c r="L199" s="62"/>
      <c r="M199" s="62"/>
      <c r="N199" s="62"/>
      <c r="O199" s="62"/>
      <c r="P199" s="62"/>
      <c r="Q199" s="62"/>
    </row>
    <row r="200" spans="1:57" s="2" customFormat="1" x14ac:dyDescent="0.3"/>
    <row r="201" spans="1:57" x14ac:dyDescent="0.3">
      <c r="A201" s="2"/>
      <c r="C201" s="2"/>
      <c r="S201"/>
      <c r="W201"/>
      <c r="X201"/>
      <c r="Y201"/>
      <c r="Z201"/>
      <c r="AA201"/>
      <c r="AB201"/>
      <c r="AC201"/>
      <c r="AD201"/>
      <c r="AE201"/>
      <c r="AF201"/>
      <c r="AG201"/>
      <c r="AH201"/>
      <c r="AI201"/>
      <c r="AJ201"/>
      <c r="AK201"/>
      <c r="AL201"/>
      <c r="BE201"/>
    </row>
    <row r="202" spans="1:57" x14ac:dyDescent="0.3">
      <c r="A202" s="1162" t="s">
        <v>4062</v>
      </c>
      <c r="B202" s="1162"/>
      <c r="C202" s="1162"/>
      <c r="D202" s="491" t="s">
        <v>213</v>
      </c>
      <c r="E202" s="491" t="s">
        <v>4051</v>
      </c>
      <c r="F202" s="491" t="s">
        <v>4052</v>
      </c>
      <c r="G202" s="491" t="s">
        <v>4053</v>
      </c>
      <c r="H202" s="491" t="s">
        <v>4054</v>
      </c>
      <c r="I202" s="491" t="s">
        <v>4055</v>
      </c>
      <c r="J202" s="703" t="s">
        <v>4607</v>
      </c>
      <c r="K202" s="491" t="s">
        <v>4056</v>
      </c>
      <c r="L202" s="491" t="s">
        <v>213</v>
      </c>
      <c r="M202" s="491" t="s">
        <v>4051</v>
      </c>
      <c r="N202" s="491" t="s">
        <v>4052</v>
      </c>
      <c r="O202" s="491" t="s">
        <v>4053</v>
      </c>
      <c r="P202" s="491" t="s">
        <v>4054</v>
      </c>
      <c r="Q202" s="491" t="s">
        <v>4055</v>
      </c>
      <c r="S202"/>
      <c r="W202"/>
      <c r="X202"/>
      <c r="Y202"/>
      <c r="Z202"/>
      <c r="AA202"/>
      <c r="AB202"/>
      <c r="AC202"/>
      <c r="AD202"/>
      <c r="AE202"/>
      <c r="AF202"/>
      <c r="AG202"/>
      <c r="AH202"/>
      <c r="AI202"/>
      <c r="AJ202"/>
      <c r="AK202"/>
      <c r="AL202"/>
      <c r="BE202"/>
    </row>
    <row r="203" spans="1:57" x14ac:dyDescent="0.3">
      <c r="A203" s="62" t="s">
        <v>4043</v>
      </c>
      <c r="B203" s="492" t="s">
        <v>4065</v>
      </c>
      <c r="C203" s="492" t="s">
        <v>4066</v>
      </c>
      <c r="D203" s="62">
        <v>60</v>
      </c>
      <c r="E203" s="62">
        <v>10</v>
      </c>
      <c r="F203" s="62">
        <v>8</v>
      </c>
      <c r="G203" s="62">
        <v>18</v>
      </c>
      <c r="H203" s="62">
        <v>39</v>
      </c>
      <c r="I203" s="62">
        <v>-29</v>
      </c>
      <c r="J203" s="705"/>
      <c r="K203" s="62"/>
      <c r="L203" s="62"/>
      <c r="M203" s="62"/>
      <c r="N203" s="62"/>
      <c r="O203" s="62"/>
      <c r="P203" s="62"/>
      <c r="Q203" s="62"/>
      <c r="S203"/>
      <c r="W203"/>
      <c r="X203"/>
      <c r="Y203"/>
      <c r="Z203"/>
      <c r="AA203"/>
      <c r="AB203"/>
      <c r="AC203"/>
      <c r="AD203"/>
      <c r="AE203"/>
      <c r="AF203"/>
      <c r="AG203"/>
      <c r="AH203"/>
      <c r="AI203"/>
      <c r="AJ203"/>
      <c r="AK203"/>
      <c r="AL203"/>
      <c r="BE203"/>
    </row>
    <row r="204" spans="1:57" x14ac:dyDescent="0.3">
      <c r="A204" s="62" t="s">
        <v>4043</v>
      </c>
      <c r="B204" s="492" t="s">
        <v>4067</v>
      </c>
      <c r="C204" s="492" t="s">
        <v>4063</v>
      </c>
      <c r="D204" s="62">
        <v>1</v>
      </c>
      <c r="E204" s="62">
        <v>0</v>
      </c>
      <c r="F204" s="62">
        <v>0</v>
      </c>
      <c r="G204" s="62">
        <v>0</v>
      </c>
      <c r="H204" s="62">
        <v>0</v>
      </c>
      <c r="I204" s="62">
        <v>0</v>
      </c>
      <c r="J204" s="705"/>
      <c r="K204" s="62"/>
      <c r="L204" s="62"/>
      <c r="M204" s="62"/>
      <c r="N204" s="62"/>
      <c r="O204" s="62"/>
      <c r="P204" s="62"/>
      <c r="Q204" s="62"/>
      <c r="S204"/>
      <c r="W204"/>
      <c r="X204"/>
      <c r="Y204"/>
      <c r="Z204"/>
      <c r="AA204"/>
      <c r="AB204"/>
      <c r="AC204"/>
      <c r="AD204"/>
      <c r="AE204"/>
      <c r="AF204"/>
      <c r="AG204"/>
      <c r="AH204"/>
      <c r="AI204"/>
      <c r="AJ204"/>
      <c r="AK204"/>
      <c r="AL204"/>
      <c r="BE204"/>
    </row>
    <row r="205" spans="1:57" x14ac:dyDescent="0.3">
      <c r="A205" s="62" t="s">
        <v>4043</v>
      </c>
      <c r="B205" s="492" t="s">
        <v>4063</v>
      </c>
      <c r="C205" s="492" t="s">
        <v>4064</v>
      </c>
      <c r="D205" s="62">
        <v>7</v>
      </c>
      <c r="E205" s="62">
        <v>5</v>
      </c>
      <c r="F205" s="62">
        <v>0</v>
      </c>
      <c r="G205" s="62">
        <v>5</v>
      </c>
      <c r="H205" s="62">
        <v>0</v>
      </c>
      <c r="I205" s="62">
        <v>3</v>
      </c>
      <c r="J205" s="705"/>
      <c r="K205" s="62"/>
      <c r="L205" s="62"/>
      <c r="M205" s="62"/>
      <c r="N205" s="62"/>
      <c r="O205" s="62"/>
      <c r="P205" s="62"/>
      <c r="Q205" s="62"/>
      <c r="S205"/>
      <c r="W205"/>
      <c r="X205"/>
      <c r="Y205"/>
      <c r="Z205"/>
      <c r="AA205"/>
      <c r="AB205"/>
      <c r="AC205"/>
      <c r="AD205"/>
      <c r="AE205"/>
      <c r="AF205"/>
      <c r="AG205"/>
      <c r="AH205"/>
      <c r="AI205"/>
      <c r="AJ205"/>
      <c r="AK205"/>
      <c r="AL205"/>
      <c r="BE205"/>
    </row>
    <row r="206" spans="1:57" x14ac:dyDescent="0.3">
      <c r="A206" s="62" t="s">
        <v>4043</v>
      </c>
      <c r="B206" s="492" t="s">
        <v>4060</v>
      </c>
      <c r="C206" s="492" t="s">
        <v>4061</v>
      </c>
      <c r="D206" s="62">
        <v>18</v>
      </c>
      <c r="E206" s="62">
        <v>7</v>
      </c>
      <c r="F206" s="62">
        <v>3</v>
      </c>
      <c r="G206" s="62">
        <v>10</v>
      </c>
      <c r="H206" s="62">
        <v>8</v>
      </c>
      <c r="I206" s="62"/>
      <c r="J206" s="705"/>
      <c r="K206" s="2"/>
      <c r="L206" s="2"/>
      <c r="M206" s="2"/>
      <c r="N206" s="2"/>
      <c r="O206" s="2"/>
      <c r="P206" s="2"/>
      <c r="Q206" s="2"/>
      <c r="S206"/>
      <c r="W206"/>
      <c r="X206"/>
      <c r="Y206"/>
      <c r="Z206"/>
      <c r="AA206"/>
      <c r="AB206"/>
      <c r="AC206"/>
      <c r="AD206"/>
      <c r="AE206"/>
      <c r="AF206"/>
      <c r="AG206"/>
      <c r="AH206"/>
      <c r="AI206"/>
      <c r="AJ206"/>
      <c r="AK206"/>
      <c r="AL206"/>
      <c r="BE206"/>
    </row>
    <row r="207" spans="1:57" x14ac:dyDescent="0.3">
      <c r="A207" s="62" t="s">
        <v>4048</v>
      </c>
      <c r="B207" s="492" t="s">
        <v>4059</v>
      </c>
      <c r="C207" s="492" t="s">
        <v>4045</v>
      </c>
      <c r="D207" s="62">
        <v>52</v>
      </c>
      <c r="E207" s="62">
        <v>9</v>
      </c>
      <c r="F207" s="62">
        <v>7</v>
      </c>
      <c r="G207" s="62">
        <v>16</v>
      </c>
      <c r="H207" s="62">
        <v>32</v>
      </c>
      <c r="I207" s="62">
        <v>9</v>
      </c>
      <c r="J207" s="705">
        <f>G207/D207</f>
        <v>0.30769230769230771</v>
      </c>
      <c r="K207" s="62"/>
      <c r="L207" s="62"/>
      <c r="M207" s="62"/>
      <c r="N207" s="62"/>
      <c r="O207" s="62"/>
      <c r="P207" s="62"/>
      <c r="Q207" s="62"/>
      <c r="S207"/>
      <c r="W207"/>
      <c r="X207"/>
      <c r="Y207"/>
      <c r="Z207"/>
      <c r="AA207"/>
      <c r="AB207"/>
      <c r="AC207"/>
      <c r="AD207"/>
      <c r="AE207"/>
      <c r="AF207"/>
      <c r="AG207"/>
      <c r="AH207"/>
      <c r="AI207"/>
      <c r="AJ207"/>
      <c r="AK207"/>
      <c r="AL207"/>
      <c r="BE207"/>
    </row>
    <row r="208" spans="1:57" x14ac:dyDescent="0.3">
      <c r="A208" s="62" t="s">
        <v>4048</v>
      </c>
      <c r="B208" s="492" t="s">
        <v>4060</v>
      </c>
      <c r="C208" s="492" t="s">
        <v>4061</v>
      </c>
      <c r="D208" s="62">
        <v>3</v>
      </c>
      <c r="E208" s="62">
        <v>1</v>
      </c>
      <c r="F208" s="62">
        <v>1</v>
      </c>
      <c r="G208" s="62">
        <v>2</v>
      </c>
      <c r="H208" s="62">
        <v>0</v>
      </c>
      <c r="I208" s="62">
        <v>1</v>
      </c>
      <c r="J208" s="705"/>
      <c r="K208" s="492"/>
      <c r="L208" s="62"/>
      <c r="M208" s="62"/>
      <c r="N208" s="62"/>
      <c r="O208" s="62"/>
      <c r="P208" s="62"/>
      <c r="Q208" s="62"/>
      <c r="S208"/>
      <c r="W208"/>
      <c r="X208"/>
      <c r="Y208"/>
      <c r="Z208"/>
      <c r="AA208"/>
      <c r="AB208"/>
      <c r="AC208"/>
      <c r="AD208"/>
      <c r="AE208"/>
      <c r="AF208"/>
      <c r="AG208"/>
      <c r="AH208"/>
      <c r="AI208"/>
      <c r="AJ208"/>
      <c r="AK208"/>
      <c r="AL208"/>
      <c r="BE208"/>
    </row>
    <row r="209" spans="1:57" x14ac:dyDescent="0.3">
      <c r="A209" s="62" t="s">
        <v>4049</v>
      </c>
      <c r="B209" s="492" t="s">
        <v>4059</v>
      </c>
      <c r="C209" s="492" t="s">
        <v>4045</v>
      </c>
      <c r="D209" s="62">
        <v>52</v>
      </c>
      <c r="E209" s="62">
        <v>9</v>
      </c>
      <c r="F209" s="62">
        <v>10</v>
      </c>
      <c r="G209" s="62">
        <v>19</v>
      </c>
      <c r="H209" s="62">
        <v>30</v>
      </c>
      <c r="I209" s="62">
        <v>20</v>
      </c>
      <c r="J209" s="705">
        <f>G209/D209</f>
        <v>0.36538461538461536</v>
      </c>
      <c r="K209" s="492" t="s">
        <v>4047</v>
      </c>
      <c r="L209" s="62">
        <v>11</v>
      </c>
      <c r="M209" s="62">
        <v>0</v>
      </c>
      <c r="N209" s="62">
        <v>1</v>
      </c>
      <c r="O209" s="62">
        <v>1</v>
      </c>
      <c r="P209" s="62">
        <v>10</v>
      </c>
      <c r="Q209" s="62">
        <v>3</v>
      </c>
      <c r="S209"/>
      <c r="W209"/>
      <c r="X209"/>
      <c r="Y209"/>
      <c r="Z209"/>
      <c r="AA209"/>
      <c r="AB209"/>
      <c r="AC209"/>
      <c r="AD209"/>
      <c r="AE209"/>
      <c r="AF209"/>
      <c r="AG209"/>
      <c r="AH209"/>
      <c r="AI209"/>
      <c r="AJ209"/>
      <c r="AK209"/>
      <c r="AL209"/>
      <c r="BE209"/>
    </row>
    <row r="210" spans="1:57" x14ac:dyDescent="0.3">
      <c r="A210" s="62" t="s">
        <v>4049</v>
      </c>
      <c r="B210" s="492" t="s">
        <v>4063</v>
      </c>
      <c r="C210" s="492" t="s">
        <v>4064</v>
      </c>
      <c r="D210" s="62">
        <v>7</v>
      </c>
      <c r="E210" s="62">
        <v>1</v>
      </c>
      <c r="F210" s="62">
        <v>0</v>
      </c>
      <c r="G210" s="62">
        <v>1</v>
      </c>
      <c r="H210" s="62">
        <v>2</v>
      </c>
      <c r="I210" s="62">
        <v>-5</v>
      </c>
      <c r="J210" s="705"/>
      <c r="K210" s="62"/>
      <c r="L210" s="62"/>
      <c r="M210" s="62"/>
      <c r="N210" s="62"/>
      <c r="O210" s="62"/>
      <c r="P210" s="62"/>
      <c r="Q210" s="62"/>
      <c r="S210"/>
      <c r="W210"/>
      <c r="X210"/>
      <c r="Y210"/>
      <c r="Z210"/>
      <c r="AA210"/>
      <c r="AB210"/>
      <c r="AC210"/>
      <c r="AD210"/>
      <c r="AE210"/>
      <c r="AF210"/>
      <c r="AG210"/>
      <c r="AH210"/>
      <c r="AI210"/>
      <c r="AJ210"/>
      <c r="AK210"/>
      <c r="AL210"/>
      <c r="BE210"/>
    </row>
    <row r="211" spans="1:57" ht="15" thickBot="1" x14ac:dyDescent="0.35">
      <c r="A211" s="667" t="s">
        <v>4589</v>
      </c>
      <c r="B211" s="541" t="s">
        <v>4590</v>
      </c>
      <c r="C211" s="541" t="s">
        <v>4591</v>
      </c>
      <c r="D211" s="668">
        <v>35</v>
      </c>
      <c r="E211" s="668">
        <v>7</v>
      </c>
      <c r="F211" s="668">
        <v>6</v>
      </c>
      <c r="G211" s="669">
        <v>13</v>
      </c>
      <c r="H211" s="668">
        <v>16</v>
      </c>
      <c r="I211" s="673">
        <v>-3</v>
      </c>
      <c r="J211" s="705">
        <f>G211/D211</f>
        <v>0.37142857142857144</v>
      </c>
      <c r="K211" s="62"/>
      <c r="L211" s="62"/>
      <c r="M211" s="62"/>
      <c r="N211" s="62"/>
      <c r="O211" s="62"/>
      <c r="P211" s="62"/>
      <c r="Q211" s="62"/>
      <c r="S211"/>
      <c r="W211"/>
      <c r="X211"/>
      <c r="Y211"/>
      <c r="Z211"/>
      <c r="AA211"/>
      <c r="AB211"/>
      <c r="AC211"/>
      <c r="AD211"/>
      <c r="AE211"/>
      <c r="AF211"/>
      <c r="AG211"/>
      <c r="AH211"/>
      <c r="AI211"/>
      <c r="AJ211"/>
      <c r="AK211"/>
      <c r="AL211"/>
      <c r="BE211"/>
    </row>
    <row r="212" spans="1:57" x14ac:dyDescent="0.3">
      <c r="A212" s="699"/>
      <c r="B212" s="676"/>
      <c r="C212" s="676"/>
      <c r="D212" s="699"/>
      <c r="E212" s="699"/>
      <c r="F212" s="699"/>
      <c r="G212" s="700"/>
      <c r="H212" s="699"/>
      <c r="I212" s="699"/>
      <c r="J212" s="705"/>
      <c r="K212" s="62"/>
      <c r="L212" s="62"/>
      <c r="M212" s="62"/>
      <c r="N212" s="62"/>
      <c r="O212" s="62"/>
      <c r="P212" s="62"/>
      <c r="Q212" s="62"/>
      <c r="S212"/>
      <c r="W212"/>
      <c r="X212"/>
      <c r="Y212"/>
      <c r="Z212"/>
      <c r="AA212"/>
      <c r="AB212"/>
      <c r="AC212"/>
      <c r="AD212"/>
      <c r="AE212"/>
      <c r="AF212"/>
      <c r="AG212"/>
      <c r="AH212"/>
      <c r="AI212"/>
      <c r="AJ212"/>
      <c r="AK212"/>
      <c r="AL212"/>
      <c r="BE212"/>
    </row>
    <row r="213" spans="1:57" ht="15" thickBot="1" x14ac:dyDescent="0.35">
      <c r="C213" s="2"/>
      <c r="S213"/>
      <c r="W213"/>
      <c r="X213"/>
      <c r="Y213"/>
      <c r="Z213"/>
      <c r="AA213"/>
      <c r="AB213"/>
      <c r="AC213"/>
      <c r="AD213"/>
      <c r="AE213"/>
      <c r="AF213"/>
      <c r="AG213"/>
      <c r="AH213"/>
      <c r="AI213"/>
      <c r="AJ213"/>
      <c r="AK213"/>
      <c r="AL213"/>
      <c r="BE213"/>
    </row>
    <row r="214" spans="1:57" ht="15" thickBot="1" x14ac:dyDescent="0.35">
      <c r="A214" s="2"/>
      <c r="C214" s="2"/>
      <c r="D214" s="491" t="s">
        <v>213</v>
      </c>
      <c r="E214" s="491" t="s">
        <v>4051</v>
      </c>
      <c r="F214" s="491" t="s">
        <v>4052</v>
      </c>
      <c r="G214" s="491" t="s">
        <v>4053</v>
      </c>
      <c r="H214" s="491" t="s">
        <v>4054</v>
      </c>
      <c r="I214" s="491" t="s">
        <v>4055</v>
      </c>
      <c r="J214" s="488" t="s">
        <v>126</v>
      </c>
      <c r="S214"/>
      <c r="W214"/>
      <c r="X214"/>
      <c r="Y214"/>
      <c r="Z214"/>
      <c r="AA214"/>
      <c r="AB214"/>
      <c r="AC214"/>
      <c r="AD214"/>
      <c r="AE214"/>
      <c r="AF214"/>
      <c r="AG214"/>
      <c r="AH214"/>
      <c r="AI214"/>
      <c r="AJ214"/>
      <c r="AK214"/>
      <c r="AL214"/>
      <c r="BE214"/>
    </row>
    <row r="215" spans="1:57" s="2" customFormat="1" x14ac:dyDescent="0.3">
      <c r="A215" s="62" t="s">
        <v>4049</v>
      </c>
      <c r="B215" s="2" t="s">
        <v>4068</v>
      </c>
      <c r="C215" s="492" t="s">
        <v>4045</v>
      </c>
      <c r="D215" s="62">
        <v>46</v>
      </c>
      <c r="E215" s="62">
        <v>12</v>
      </c>
      <c r="F215" s="62">
        <v>15</v>
      </c>
      <c r="G215" s="62">
        <v>27</v>
      </c>
      <c r="H215" s="62">
        <v>37</v>
      </c>
      <c r="I215" s="62">
        <v>19</v>
      </c>
      <c r="J215" s="500">
        <v>0.67083333333333339</v>
      </c>
      <c r="K215" s="492" t="s">
        <v>4047</v>
      </c>
      <c r="L215" s="62">
        <v>3</v>
      </c>
      <c r="M215" s="62">
        <v>1</v>
      </c>
      <c r="N215" s="62">
        <v>0</v>
      </c>
      <c r="O215" s="62">
        <v>1</v>
      </c>
      <c r="P215" s="62">
        <v>0</v>
      </c>
      <c r="Q215" s="62">
        <v>1</v>
      </c>
    </row>
    <row r="216" spans="1:57" s="2" customFormat="1" x14ac:dyDescent="0.3">
      <c r="A216" s="62" t="s">
        <v>4049</v>
      </c>
      <c r="B216" s="2" t="s">
        <v>4069</v>
      </c>
      <c r="C216" s="492" t="s">
        <v>4045</v>
      </c>
      <c r="D216" s="62">
        <v>43</v>
      </c>
      <c r="E216" s="62">
        <v>12</v>
      </c>
      <c r="F216" s="62">
        <v>9</v>
      </c>
      <c r="G216" s="62">
        <v>21</v>
      </c>
      <c r="H216" s="62">
        <v>12</v>
      </c>
      <c r="I216" s="62">
        <v>4</v>
      </c>
      <c r="J216" s="500">
        <v>0.53680555555555554</v>
      </c>
      <c r="K216" s="492" t="s">
        <v>4047</v>
      </c>
      <c r="L216" s="62">
        <v>11</v>
      </c>
      <c r="M216" s="62">
        <v>0</v>
      </c>
      <c r="N216" s="62">
        <v>1</v>
      </c>
      <c r="O216" s="62">
        <v>1</v>
      </c>
      <c r="P216" s="62">
        <v>4</v>
      </c>
      <c r="Q216" s="62">
        <v>2</v>
      </c>
    </row>
    <row r="217" spans="1:57" x14ac:dyDescent="0.3">
      <c r="A217" s="62" t="s">
        <v>4049</v>
      </c>
      <c r="B217" s="2" t="s">
        <v>4070</v>
      </c>
      <c r="C217" s="492" t="s">
        <v>4045</v>
      </c>
      <c r="D217" s="62">
        <v>52</v>
      </c>
      <c r="E217" s="62">
        <v>9</v>
      </c>
      <c r="F217" s="62">
        <v>10</v>
      </c>
      <c r="G217" s="62">
        <v>19</v>
      </c>
      <c r="H217" s="62">
        <v>30</v>
      </c>
      <c r="I217" s="62">
        <v>20</v>
      </c>
      <c r="J217" s="500">
        <v>0.60972222222222217</v>
      </c>
      <c r="K217" s="492" t="s">
        <v>4047</v>
      </c>
      <c r="L217" s="62">
        <v>11</v>
      </c>
      <c r="M217" s="62">
        <v>0</v>
      </c>
      <c r="N217" s="62">
        <v>1</v>
      </c>
      <c r="O217" s="62">
        <v>1</v>
      </c>
      <c r="P217" s="62">
        <v>10</v>
      </c>
      <c r="Q217" s="62">
        <v>3</v>
      </c>
      <c r="S217"/>
      <c r="W217"/>
      <c r="X217"/>
      <c r="Y217"/>
      <c r="Z217"/>
      <c r="AA217"/>
      <c r="AB217"/>
      <c r="AC217"/>
      <c r="AD217"/>
      <c r="AE217"/>
      <c r="AF217"/>
      <c r="AG217"/>
      <c r="AH217"/>
      <c r="AI217"/>
      <c r="AJ217"/>
      <c r="AK217"/>
      <c r="AL217"/>
      <c r="BE217"/>
    </row>
    <row r="218" spans="1:57" x14ac:dyDescent="0.3">
      <c r="A218" s="62" t="s">
        <v>4081</v>
      </c>
      <c r="B218" s="1153" t="s">
        <v>4080</v>
      </c>
      <c r="C218" s="1153"/>
      <c r="D218" s="2">
        <f t="shared" ref="D218:I218" si="41">SUM(D215:D217)</f>
        <v>141</v>
      </c>
      <c r="E218" s="2">
        <f t="shared" si="41"/>
        <v>33</v>
      </c>
      <c r="F218" s="2">
        <f t="shared" si="41"/>
        <v>34</v>
      </c>
      <c r="G218" s="2">
        <f t="shared" si="41"/>
        <v>67</v>
      </c>
      <c r="H218" s="2">
        <f t="shared" si="41"/>
        <v>79</v>
      </c>
      <c r="I218" s="2">
        <f t="shared" si="41"/>
        <v>43</v>
      </c>
      <c r="J218" s="62"/>
      <c r="K218" s="2">
        <f t="shared" ref="K218:Q218" si="42">SUM(K215:K217)</f>
        <v>0</v>
      </c>
      <c r="L218" s="2">
        <f t="shared" si="42"/>
        <v>25</v>
      </c>
      <c r="M218" s="2">
        <f t="shared" si="42"/>
        <v>1</v>
      </c>
      <c r="N218" s="2">
        <f t="shared" si="42"/>
        <v>2</v>
      </c>
      <c r="O218" s="2">
        <f t="shared" si="42"/>
        <v>3</v>
      </c>
      <c r="P218" s="2">
        <f t="shared" si="42"/>
        <v>14</v>
      </c>
      <c r="Q218" s="2">
        <f t="shared" si="42"/>
        <v>6</v>
      </c>
      <c r="S218"/>
      <c r="W218"/>
      <c r="X218"/>
      <c r="Y218"/>
      <c r="Z218"/>
      <c r="AA218"/>
      <c r="AB218"/>
      <c r="AC218"/>
      <c r="AD218"/>
      <c r="AE218"/>
      <c r="AF218"/>
      <c r="AG218"/>
      <c r="AH218"/>
      <c r="AI218"/>
      <c r="AJ218"/>
      <c r="AK218"/>
      <c r="AL218"/>
      <c r="BE218"/>
    </row>
    <row r="219" spans="1:57" x14ac:dyDescent="0.3">
      <c r="A219" s="62"/>
      <c r="B219" s="2"/>
      <c r="C219" s="2"/>
      <c r="D219" s="2"/>
      <c r="E219" s="2"/>
      <c r="F219" s="2"/>
      <c r="G219" s="2"/>
      <c r="H219" s="2"/>
      <c r="I219" s="2"/>
      <c r="J219" s="62"/>
      <c r="K219" s="2"/>
      <c r="L219" s="2"/>
      <c r="M219" s="2"/>
      <c r="N219" s="2"/>
      <c r="O219" s="2"/>
      <c r="P219" s="2"/>
      <c r="Q219" s="2"/>
      <c r="S219"/>
      <c r="W219"/>
      <c r="X219"/>
      <c r="Y219"/>
      <c r="Z219"/>
      <c r="AA219"/>
      <c r="AB219"/>
      <c r="AC219"/>
      <c r="AD219"/>
      <c r="AE219"/>
      <c r="AF219"/>
      <c r="AG219"/>
      <c r="AH219"/>
      <c r="AI219"/>
      <c r="AJ219"/>
      <c r="AK219"/>
      <c r="AL219"/>
      <c r="BE219"/>
    </row>
    <row r="220" spans="1:57" ht="15" thickBot="1" x14ac:dyDescent="0.35">
      <c r="A220" s="667" t="s">
        <v>4589</v>
      </c>
      <c r="B220" s="2" t="s">
        <v>4068</v>
      </c>
      <c r="C220" s="492" t="s">
        <v>4045</v>
      </c>
      <c r="D220" s="668">
        <v>55</v>
      </c>
      <c r="E220" s="668">
        <v>9</v>
      </c>
      <c r="F220" s="668">
        <v>12</v>
      </c>
      <c r="G220" s="669">
        <v>21</v>
      </c>
      <c r="H220" s="668">
        <v>20</v>
      </c>
      <c r="I220" s="673">
        <v>-17</v>
      </c>
      <c r="J220" s="674">
        <v>0.77083333333333337</v>
      </c>
      <c r="K220" s="2"/>
      <c r="L220" s="2"/>
      <c r="M220" s="2"/>
      <c r="N220" s="2"/>
      <c r="O220" s="2"/>
      <c r="P220" s="2"/>
      <c r="Q220" s="2"/>
      <c r="S220"/>
      <c r="W220"/>
      <c r="X220"/>
      <c r="Y220"/>
      <c r="Z220"/>
      <c r="AA220"/>
      <c r="AB220"/>
      <c r="AC220"/>
      <c r="AD220"/>
      <c r="AE220"/>
      <c r="AF220"/>
      <c r="AG220"/>
      <c r="AH220"/>
      <c r="AI220"/>
      <c r="AJ220"/>
      <c r="AK220"/>
      <c r="AL220"/>
      <c r="BE220"/>
    </row>
    <row r="221" spans="1:57" ht="15" thickBot="1" x14ac:dyDescent="0.35">
      <c r="A221" s="667" t="s">
        <v>4589</v>
      </c>
      <c r="B221" s="2" t="s">
        <v>4069</v>
      </c>
      <c r="C221" s="492" t="s">
        <v>4045</v>
      </c>
      <c r="D221" s="668">
        <v>51</v>
      </c>
      <c r="E221" s="668">
        <v>11</v>
      </c>
      <c r="F221" s="668">
        <v>12</v>
      </c>
      <c r="G221" s="669">
        <v>23</v>
      </c>
      <c r="H221" s="668">
        <v>10</v>
      </c>
      <c r="I221" s="673">
        <v>3</v>
      </c>
      <c r="J221" s="674">
        <v>0.67986111111111114</v>
      </c>
      <c r="K221" s="2"/>
      <c r="L221" s="2"/>
      <c r="M221" s="2"/>
      <c r="N221" s="2"/>
      <c r="O221" s="2"/>
      <c r="P221" s="2"/>
      <c r="Q221" s="2"/>
      <c r="S221"/>
      <c r="W221"/>
      <c r="X221"/>
      <c r="Y221"/>
      <c r="Z221"/>
      <c r="AA221"/>
      <c r="AB221"/>
      <c r="AC221"/>
      <c r="AD221"/>
      <c r="AE221"/>
      <c r="AF221"/>
      <c r="AG221"/>
      <c r="AH221"/>
      <c r="AI221"/>
      <c r="AJ221"/>
      <c r="AK221"/>
      <c r="AL221"/>
      <c r="BE221"/>
    </row>
    <row r="222" spans="1:57" ht="15" thickBot="1" x14ac:dyDescent="0.35">
      <c r="A222" s="667" t="s">
        <v>4589</v>
      </c>
      <c r="B222" s="2" t="s">
        <v>4070</v>
      </c>
      <c r="C222" s="492" t="s">
        <v>4045</v>
      </c>
      <c r="D222" s="668">
        <v>35</v>
      </c>
      <c r="E222" s="668">
        <v>7</v>
      </c>
      <c r="F222" s="668">
        <v>6</v>
      </c>
      <c r="G222" s="669">
        <v>13</v>
      </c>
      <c r="H222" s="668">
        <v>16</v>
      </c>
      <c r="I222" s="673">
        <v>-3</v>
      </c>
      <c r="J222" s="674">
        <v>0.71736111111111101</v>
      </c>
      <c r="K222" s="2"/>
      <c r="L222" s="2"/>
      <c r="M222" s="2"/>
      <c r="N222" s="2"/>
      <c r="O222" s="2"/>
      <c r="P222" s="2"/>
      <c r="Q222" s="2"/>
      <c r="S222"/>
      <c r="W222"/>
      <c r="X222"/>
      <c r="Y222"/>
      <c r="Z222"/>
      <c r="AA222"/>
      <c r="AB222"/>
      <c r="AC222"/>
      <c r="AD222"/>
      <c r="AE222"/>
      <c r="AF222"/>
      <c r="AG222"/>
      <c r="AH222"/>
      <c r="AI222"/>
      <c r="AJ222"/>
      <c r="AK222"/>
      <c r="AL222"/>
      <c r="BE222"/>
    </row>
    <row r="223" spans="1:57" ht="15" thickBot="1" x14ac:dyDescent="0.35">
      <c r="A223" s="667" t="s">
        <v>4589</v>
      </c>
      <c r="B223" s="1153" t="s">
        <v>4080</v>
      </c>
      <c r="C223" s="1153"/>
      <c r="D223" s="2">
        <f t="shared" ref="D223:I223" si="43">SUM(D220:D222)</f>
        <v>141</v>
      </c>
      <c r="E223" s="2">
        <f t="shared" si="43"/>
        <v>27</v>
      </c>
      <c r="F223" s="2">
        <f t="shared" si="43"/>
        <v>30</v>
      </c>
      <c r="G223" s="2">
        <f t="shared" si="43"/>
        <v>57</v>
      </c>
      <c r="H223" s="2">
        <f t="shared" si="43"/>
        <v>46</v>
      </c>
      <c r="I223" s="2">
        <f t="shared" si="43"/>
        <v>-17</v>
      </c>
      <c r="J223" s="62"/>
      <c r="K223" s="2"/>
      <c r="L223" s="2"/>
      <c r="M223" s="2"/>
      <c r="N223" s="2"/>
      <c r="O223" s="2"/>
      <c r="P223" s="2"/>
      <c r="Q223" s="2"/>
      <c r="S223"/>
      <c r="W223"/>
      <c r="X223"/>
      <c r="Y223"/>
      <c r="Z223"/>
      <c r="AA223"/>
      <c r="AB223"/>
      <c r="AC223"/>
      <c r="AD223"/>
      <c r="AE223"/>
      <c r="AF223"/>
      <c r="AG223"/>
      <c r="AH223"/>
      <c r="AI223"/>
      <c r="AJ223"/>
      <c r="AK223"/>
      <c r="AL223"/>
      <c r="BE223"/>
    </row>
    <row r="224" spans="1:57" x14ac:dyDescent="0.3">
      <c r="A224" s="2"/>
      <c r="C224" s="2"/>
      <c r="S224"/>
      <c r="W224"/>
      <c r="X224"/>
      <c r="Y224"/>
      <c r="Z224"/>
      <c r="AA224"/>
      <c r="AB224"/>
      <c r="AC224"/>
      <c r="AD224"/>
      <c r="AE224"/>
      <c r="AF224"/>
      <c r="AG224"/>
      <c r="AH224"/>
      <c r="AI224"/>
      <c r="AJ224"/>
      <c r="AK224"/>
      <c r="AL224"/>
      <c r="BE224"/>
    </row>
    <row r="225" spans="1:57" x14ac:dyDescent="0.3">
      <c r="A225" s="2"/>
      <c r="C225" s="2"/>
      <c r="S225"/>
      <c r="W225"/>
      <c r="X225"/>
      <c r="Y225"/>
      <c r="Z225"/>
      <c r="AA225"/>
      <c r="AB225"/>
      <c r="AC225"/>
      <c r="AD225"/>
      <c r="AE225"/>
      <c r="AF225"/>
      <c r="AG225"/>
      <c r="AH225"/>
      <c r="AI225"/>
      <c r="AJ225"/>
      <c r="AK225"/>
      <c r="AL225"/>
      <c r="BE225"/>
    </row>
    <row r="226" spans="1:57" x14ac:dyDescent="0.3">
      <c r="A226" s="1162" t="s">
        <v>4071</v>
      </c>
      <c r="B226" s="1162"/>
      <c r="C226" s="1162"/>
      <c r="D226" s="491" t="s">
        <v>213</v>
      </c>
      <c r="E226" s="491" t="s">
        <v>4051</v>
      </c>
      <c r="F226" s="491" t="s">
        <v>4052</v>
      </c>
      <c r="G226" s="491" t="s">
        <v>4053</v>
      </c>
      <c r="H226" s="491" t="s">
        <v>4054</v>
      </c>
      <c r="I226" s="491" t="s">
        <v>4055</v>
      </c>
      <c r="J226" s="491"/>
      <c r="K226" s="491" t="s">
        <v>4056</v>
      </c>
      <c r="L226" s="491" t="s">
        <v>213</v>
      </c>
      <c r="M226" s="491" t="s">
        <v>4051</v>
      </c>
      <c r="N226" s="491" t="s">
        <v>4052</v>
      </c>
      <c r="O226" s="491" t="s">
        <v>4053</v>
      </c>
      <c r="P226" s="491" t="s">
        <v>4054</v>
      </c>
      <c r="Q226" s="491" t="s">
        <v>4055</v>
      </c>
      <c r="S226"/>
      <c r="W226"/>
      <c r="X226"/>
      <c r="Y226"/>
      <c r="Z226"/>
      <c r="AA226"/>
      <c r="AB226"/>
      <c r="AC226"/>
      <c r="AD226"/>
      <c r="AE226"/>
      <c r="AF226"/>
      <c r="AG226"/>
      <c r="AH226"/>
      <c r="AI226"/>
      <c r="AJ226"/>
      <c r="AK226"/>
      <c r="AL226"/>
      <c r="BE226"/>
    </row>
    <row r="227" spans="1:57" s="2" customFormat="1" x14ac:dyDescent="0.3">
      <c r="A227" s="62" t="s">
        <v>4043</v>
      </c>
      <c r="B227" s="492" t="s">
        <v>4072</v>
      </c>
      <c r="C227" s="492" t="s">
        <v>4073</v>
      </c>
      <c r="D227" s="62">
        <v>3</v>
      </c>
      <c r="E227" s="62">
        <v>0</v>
      </c>
      <c r="F227" s="62">
        <v>1</v>
      </c>
      <c r="G227" s="62">
        <v>1</v>
      </c>
      <c r="H227" s="62">
        <v>2</v>
      </c>
      <c r="I227" s="62">
        <v>-3</v>
      </c>
      <c r="J227" s="62" t="s">
        <v>4046</v>
      </c>
      <c r="K227" s="492"/>
      <c r="L227" s="62"/>
      <c r="M227" s="62"/>
      <c r="N227" s="62"/>
      <c r="O227" s="62"/>
      <c r="P227" s="62"/>
      <c r="Q227" s="62"/>
    </row>
    <row r="228" spans="1:57" s="2" customFormat="1" x14ac:dyDescent="0.3">
      <c r="A228" s="62" t="s">
        <v>4043</v>
      </c>
      <c r="B228" s="492" t="s">
        <v>4074</v>
      </c>
      <c r="C228" s="492" t="s">
        <v>4075</v>
      </c>
      <c r="D228" s="62">
        <v>69</v>
      </c>
      <c r="E228" s="62">
        <v>20</v>
      </c>
      <c r="F228" s="62">
        <v>33</v>
      </c>
      <c r="G228" s="62">
        <v>53</v>
      </c>
      <c r="H228" s="62">
        <v>22</v>
      </c>
      <c r="I228" s="62">
        <v>-2</v>
      </c>
      <c r="J228" s="62" t="s">
        <v>4046</v>
      </c>
      <c r="K228" s="492" t="s">
        <v>4047</v>
      </c>
      <c r="L228" s="62">
        <v>23</v>
      </c>
      <c r="M228" s="62">
        <v>9</v>
      </c>
      <c r="N228" s="62">
        <v>15</v>
      </c>
      <c r="O228" s="62">
        <v>24</v>
      </c>
      <c r="P228" s="62">
        <v>6</v>
      </c>
      <c r="Q228" s="62">
        <v>7</v>
      </c>
    </row>
    <row r="229" spans="1:57" s="2" customFormat="1" x14ac:dyDescent="0.3">
      <c r="A229" s="62" t="s">
        <v>4048</v>
      </c>
      <c r="B229" s="492" t="s">
        <v>4072</v>
      </c>
      <c r="C229" s="492" t="s">
        <v>4073</v>
      </c>
      <c r="D229" s="62">
        <v>8</v>
      </c>
      <c r="E229" s="62">
        <v>1</v>
      </c>
      <c r="F229" s="62">
        <v>1</v>
      </c>
      <c r="G229" s="62">
        <v>2</v>
      </c>
      <c r="H229" s="62">
        <v>0</v>
      </c>
      <c r="I229" s="62">
        <v>-2</v>
      </c>
      <c r="J229" s="62" t="s">
        <v>4046</v>
      </c>
      <c r="K229" s="62"/>
      <c r="L229" s="62"/>
      <c r="M229" s="62"/>
      <c r="N229" s="62"/>
      <c r="O229" s="62"/>
      <c r="P229" s="62"/>
      <c r="Q229" s="62"/>
    </row>
    <row r="230" spans="1:57" s="2" customFormat="1" x14ac:dyDescent="0.3">
      <c r="A230" s="62" t="s">
        <v>4048</v>
      </c>
      <c r="B230" s="492" t="s">
        <v>4074</v>
      </c>
      <c r="C230" s="492" t="s">
        <v>4075</v>
      </c>
      <c r="D230" s="62">
        <v>44</v>
      </c>
      <c r="E230" s="62">
        <v>18</v>
      </c>
      <c r="F230" s="62">
        <v>34</v>
      </c>
      <c r="G230" s="62">
        <v>52</v>
      </c>
      <c r="H230" s="62">
        <v>13</v>
      </c>
      <c r="I230" s="62">
        <v>7</v>
      </c>
      <c r="J230" s="62" t="s">
        <v>4046</v>
      </c>
      <c r="K230" s="62"/>
      <c r="L230" s="62"/>
      <c r="M230" s="62"/>
      <c r="N230" s="62"/>
      <c r="O230" s="62"/>
      <c r="P230" s="62"/>
      <c r="Q230" s="62"/>
    </row>
    <row r="231" spans="1:57" s="2" customFormat="1" x14ac:dyDescent="0.3">
      <c r="A231" s="62" t="s">
        <v>4049</v>
      </c>
      <c r="B231" s="492" t="s">
        <v>4076</v>
      </c>
      <c r="C231" s="492" t="s">
        <v>4073</v>
      </c>
      <c r="D231" s="62">
        <v>19</v>
      </c>
      <c r="E231" s="62">
        <v>2</v>
      </c>
      <c r="F231" s="62">
        <v>5</v>
      </c>
      <c r="G231" s="62">
        <v>7</v>
      </c>
      <c r="H231" s="62">
        <v>2</v>
      </c>
      <c r="I231" s="62">
        <v>-1</v>
      </c>
      <c r="J231" s="62" t="s">
        <v>4046</v>
      </c>
      <c r="K231" s="492"/>
      <c r="L231" s="62"/>
      <c r="M231" s="62"/>
      <c r="N231" s="62"/>
      <c r="O231" s="62"/>
      <c r="P231" s="62"/>
      <c r="Q231" s="62"/>
    </row>
    <row r="232" spans="1:57" s="2" customFormat="1" x14ac:dyDescent="0.3">
      <c r="A232" s="62" t="s">
        <v>4049</v>
      </c>
      <c r="B232" s="492" t="s">
        <v>4077</v>
      </c>
      <c r="C232" s="492" t="s">
        <v>4075</v>
      </c>
      <c r="D232" s="62">
        <v>40</v>
      </c>
      <c r="E232" s="62">
        <v>13</v>
      </c>
      <c r="F232" s="62">
        <v>31</v>
      </c>
      <c r="G232" s="62">
        <v>44</v>
      </c>
      <c r="H232" s="62">
        <v>12</v>
      </c>
      <c r="I232" s="62">
        <v>-11</v>
      </c>
      <c r="J232" s="62" t="s">
        <v>4046</v>
      </c>
    </row>
    <row r="233" spans="1:57" s="2" customFormat="1" ht="15" thickBot="1" x14ac:dyDescent="0.35">
      <c r="A233" s="667" t="s">
        <v>4589</v>
      </c>
      <c r="B233" s="541" t="s">
        <v>4590</v>
      </c>
      <c r="C233" s="541" t="s">
        <v>4591</v>
      </c>
      <c r="D233" s="668">
        <v>56</v>
      </c>
      <c r="E233" s="668">
        <v>18</v>
      </c>
      <c r="F233" s="668">
        <v>30</v>
      </c>
      <c r="G233" s="669">
        <v>48</v>
      </c>
      <c r="H233" s="668">
        <v>10</v>
      </c>
      <c r="I233" s="668">
        <v>-8</v>
      </c>
      <c r="J233" s="670" t="s">
        <v>4046</v>
      </c>
    </row>
    <row r="236" spans="1:57" s="2" customFormat="1" x14ac:dyDescent="0.3">
      <c r="A236" s="1162" t="s">
        <v>4686</v>
      </c>
      <c r="B236" s="1162"/>
      <c r="C236" s="1162"/>
      <c r="D236" s="491" t="s">
        <v>213</v>
      </c>
      <c r="E236" s="491" t="s">
        <v>4051</v>
      </c>
      <c r="F236" s="491" t="s">
        <v>4052</v>
      </c>
      <c r="G236" s="491" t="s">
        <v>4053</v>
      </c>
      <c r="H236" s="491" t="s">
        <v>4054</v>
      </c>
      <c r="I236" s="491" t="s">
        <v>4055</v>
      </c>
      <c r="J236" s="491"/>
      <c r="K236" s="491" t="s">
        <v>4056</v>
      </c>
      <c r="L236" s="491" t="s">
        <v>213</v>
      </c>
      <c r="M236" s="491" t="s">
        <v>4051</v>
      </c>
      <c r="N236" s="491" t="s">
        <v>4052</v>
      </c>
      <c r="O236" s="491" t="s">
        <v>4053</v>
      </c>
      <c r="P236" s="491" t="s">
        <v>4054</v>
      </c>
      <c r="Q236" s="491" t="s">
        <v>4055</v>
      </c>
      <c r="S236" s="742"/>
      <c r="AL236" s="742"/>
      <c r="BE236" s="742"/>
    </row>
    <row r="237" spans="1:57" s="2" customFormat="1" x14ac:dyDescent="0.3">
      <c r="A237" s="727" t="s">
        <v>4092</v>
      </c>
      <c r="B237" s="527" t="s">
        <v>4682</v>
      </c>
      <c r="C237" s="527" t="s">
        <v>4591</v>
      </c>
      <c r="D237" s="728">
        <v>48</v>
      </c>
      <c r="E237" s="728">
        <v>17</v>
      </c>
      <c r="F237" s="728">
        <v>8</v>
      </c>
      <c r="G237" s="729">
        <v>25</v>
      </c>
      <c r="H237" s="728">
        <v>18</v>
      </c>
      <c r="I237" s="728">
        <v>4</v>
      </c>
      <c r="J237" s="730" t="s">
        <v>4046</v>
      </c>
      <c r="K237" s="527" t="s">
        <v>4095</v>
      </c>
      <c r="L237" s="728">
        <v>5</v>
      </c>
      <c r="M237" s="728">
        <v>0</v>
      </c>
      <c r="N237" s="728">
        <v>1</v>
      </c>
      <c r="O237" s="729">
        <v>1</v>
      </c>
      <c r="P237" s="728">
        <v>2</v>
      </c>
      <c r="Q237" s="731">
        <v>-1</v>
      </c>
      <c r="S237" s="742"/>
      <c r="AL237" s="742"/>
      <c r="BE237" s="742"/>
    </row>
    <row r="238" spans="1:57" s="2" customFormat="1" x14ac:dyDescent="0.3">
      <c r="A238" s="732"/>
      <c r="B238" s="522" t="s">
        <v>4683</v>
      </c>
      <c r="C238" s="522" t="s">
        <v>4595</v>
      </c>
      <c r="D238" s="733">
        <v>2</v>
      </c>
      <c r="E238" s="733">
        <v>1</v>
      </c>
      <c r="F238" s="733">
        <v>1</v>
      </c>
      <c r="G238" s="734">
        <v>2</v>
      </c>
      <c r="H238" s="733">
        <v>4</v>
      </c>
      <c r="I238" s="733">
        <v>1</v>
      </c>
      <c r="J238" s="735" t="s">
        <v>4046</v>
      </c>
      <c r="K238" s="735"/>
      <c r="L238" s="733"/>
      <c r="M238" s="733"/>
      <c r="N238" s="733"/>
      <c r="O238" s="734"/>
      <c r="P238" s="733"/>
      <c r="Q238" s="736"/>
      <c r="S238" s="742"/>
      <c r="AL238" s="742"/>
      <c r="BE238" s="742"/>
    </row>
    <row r="239" spans="1:57" s="2" customFormat="1" x14ac:dyDescent="0.3">
      <c r="A239" s="759"/>
      <c r="B239" s="527" t="s">
        <v>4676</v>
      </c>
      <c r="C239" s="527" t="s">
        <v>4104</v>
      </c>
      <c r="D239" s="760">
        <v>11</v>
      </c>
      <c r="E239" s="760">
        <v>1</v>
      </c>
      <c r="F239" s="760">
        <v>1</v>
      </c>
      <c r="G239" s="761">
        <v>2</v>
      </c>
      <c r="H239" s="760">
        <v>2</v>
      </c>
      <c r="I239" s="760">
        <v>1</v>
      </c>
      <c r="J239" s="762" t="s">
        <v>4046</v>
      </c>
      <c r="K239" s="527"/>
      <c r="L239" s="760"/>
      <c r="M239" s="760"/>
      <c r="N239" s="760"/>
      <c r="O239" s="761"/>
      <c r="P239" s="760"/>
      <c r="Q239" s="763"/>
      <c r="S239" s="742"/>
      <c r="AL239" s="742"/>
      <c r="BE239" s="742"/>
    </row>
    <row r="240" spans="1:57" s="2" customFormat="1" x14ac:dyDescent="0.3">
      <c r="A240" s="732" t="s">
        <v>4096</v>
      </c>
      <c r="B240" s="522" t="s">
        <v>4682</v>
      </c>
      <c r="C240" s="522" t="s">
        <v>4591</v>
      </c>
      <c r="D240" s="733">
        <v>23</v>
      </c>
      <c r="E240" s="733">
        <v>4</v>
      </c>
      <c r="F240" s="733">
        <v>9</v>
      </c>
      <c r="G240" s="734">
        <v>13</v>
      </c>
      <c r="H240" s="733">
        <v>4</v>
      </c>
      <c r="I240" s="733">
        <v>0</v>
      </c>
      <c r="J240" s="735" t="s">
        <v>4046</v>
      </c>
      <c r="K240" s="735"/>
      <c r="L240" s="733"/>
      <c r="M240" s="733"/>
      <c r="N240" s="733"/>
      <c r="O240" s="734"/>
      <c r="P240" s="733"/>
      <c r="Q240" s="736"/>
      <c r="S240" s="742"/>
      <c r="AL240" s="742"/>
      <c r="BE240" s="742"/>
    </row>
    <row r="241" spans="1:57" s="2" customFormat="1" x14ac:dyDescent="0.3">
      <c r="A241" s="727"/>
      <c r="B241" s="527" t="s">
        <v>4684</v>
      </c>
      <c r="C241" s="527" t="s">
        <v>4591</v>
      </c>
      <c r="D241" s="728">
        <v>22</v>
      </c>
      <c r="E241" s="728">
        <v>5</v>
      </c>
      <c r="F241" s="728">
        <v>3</v>
      </c>
      <c r="G241" s="729">
        <v>8</v>
      </c>
      <c r="H241" s="728">
        <v>2</v>
      </c>
      <c r="I241" s="728">
        <v>-4</v>
      </c>
      <c r="J241" s="730" t="s">
        <v>4046</v>
      </c>
      <c r="K241" s="527"/>
      <c r="L241" s="728"/>
      <c r="M241" s="728"/>
      <c r="N241" s="728"/>
      <c r="O241" s="729"/>
      <c r="P241" s="728"/>
      <c r="Q241" s="731"/>
      <c r="S241" s="742"/>
      <c r="AL241" s="742"/>
      <c r="BE241" s="742"/>
    </row>
    <row r="242" spans="1:57" s="2" customFormat="1" x14ac:dyDescent="0.3">
      <c r="A242" s="732" t="s">
        <v>4081</v>
      </c>
      <c r="B242" s="522" t="s">
        <v>4685</v>
      </c>
      <c r="C242" s="522" t="s">
        <v>4591</v>
      </c>
      <c r="D242" s="733">
        <v>51</v>
      </c>
      <c r="E242" s="733">
        <v>12</v>
      </c>
      <c r="F242" s="733">
        <v>22</v>
      </c>
      <c r="G242" s="734">
        <v>34</v>
      </c>
      <c r="H242" s="733">
        <v>6</v>
      </c>
      <c r="I242" s="733">
        <v>5</v>
      </c>
      <c r="J242" s="735" t="s">
        <v>4046</v>
      </c>
      <c r="K242" s="522" t="s">
        <v>4095</v>
      </c>
      <c r="L242" s="733">
        <v>3</v>
      </c>
      <c r="M242" s="733">
        <v>0</v>
      </c>
      <c r="N242" s="733">
        <v>0</v>
      </c>
      <c r="O242" s="734">
        <v>0</v>
      </c>
      <c r="P242" s="733">
        <v>0</v>
      </c>
      <c r="Q242" s="736">
        <v>0</v>
      </c>
      <c r="S242" s="742"/>
      <c r="AL242" s="742"/>
      <c r="BE242" s="742"/>
    </row>
    <row r="243" spans="1:57" s="2" customFormat="1" x14ac:dyDescent="0.3">
      <c r="A243" s="759"/>
      <c r="B243" s="527" t="s">
        <v>4676</v>
      </c>
      <c r="C243" s="527" t="s">
        <v>4104</v>
      </c>
      <c r="D243" s="760">
        <v>3</v>
      </c>
      <c r="E243" s="760">
        <v>0</v>
      </c>
      <c r="F243" s="760">
        <v>0</v>
      </c>
      <c r="G243" s="761">
        <v>0</v>
      </c>
      <c r="H243" s="760">
        <v>0</v>
      </c>
      <c r="I243" s="760">
        <v>0</v>
      </c>
      <c r="J243" s="762" t="s">
        <v>4046</v>
      </c>
      <c r="K243" s="762"/>
      <c r="L243" s="760"/>
      <c r="M243" s="760"/>
      <c r="N243" s="760"/>
      <c r="O243" s="761"/>
      <c r="P243" s="760"/>
      <c r="Q243" s="763"/>
      <c r="S243" s="742"/>
      <c r="AL243" s="742"/>
      <c r="BE243" s="742"/>
    </row>
    <row r="244" spans="1:57" s="2" customFormat="1" ht="15" thickBot="1" x14ac:dyDescent="0.35">
      <c r="A244" s="737" t="s">
        <v>4589</v>
      </c>
      <c r="B244" s="532" t="s">
        <v>4685</v>
      </c>
      <c r="C244" s="532" t="s">
        <v>4591</v>
      </c>
      <c r="D244" s="738">
        <v>48</v>
      </c>
      <c r="E244" s="738">
        <v>20</v>
      </c>
      <c r="F244" s="738">
        <v>22</v>
      </c>
      <c r="G244" s="739">
        <v>42</v>
      </c>
      <c r="H244" s="738">
        <v>6</v>
      </c>
      <c r="I244" s="738">
        <v>-1</v>
      </c>
      <c r="J244" s="740" t="s">
        <v>4046</v>
      </c>
      <c r="K244" s="740"/>
      <c r="L244" s="738"/>
      <c r="M244" s="738"/>
      <c r="N244" s="738"/>
      <c r="O244" s="739"/>
      <c r="P244" s="738"/>
      <c r="Q244" s="545"/>
      <c r="S244" s="742"/>
      <c r="AL244" s="742"/>
      <c r="BE244" s="742"/>
    </row>
    <row r="247" spans="1:57" x14ac:dyDescent="0.3">
      <c r="A247" s="1162" t="s">
        <v>4699</v>
      </c>
      <c r="B247" s="1162"/>
      <c r="C247" s="1162"/>
      <c r="D247" s="491" t="s">
        <v>213</v>
      </c>
      <c r="E247" s="491" t="s">
        <v>4051</v>
      </c>
      <c r="F247" s="491" t="s">
        <v>4052</v>
      </c>
      <c r="G247" s="491" t="s">
        <v>4053</v>
      </c>
      <c r="H247" s="491" t="s">
        <v>4054</v>
      </c>
      <c r="I247" s="491" t="s">
        <v>4055</v>
      </c>
      <c r="J247" s="491"/>
      <c r="K247" s="491" t="s">
        <v>4056</v>
      </c>
      <c r="L247" s="491" t="s">
        <v>213</v>
      </c>
      <c r="M247" s="491" t="s">
        <v>4051</v>
      </c>
      <c r="N247" s="491" t="s">
        <v>4052</v>
      </c>
      <c r="O247" s="491" t="s">
        <v>4053</v>
      </c>
      <c r="P247" s="491" t="s">
        <v>4054</v>
      </c>
      <c r="Q247" s="491" t="s">
        <v>4055</v>
      </c>
    </row>
    <row r="248" spans="1:57" x14ac:dyDescent="0.3">
      <c r="A248" s="727" t="s">
        <v>4092</v>
      </c>
      <c r="B248" s="527" t="s">
        <v>4687</v>
      </c>
      <c r="C248" s="527" t="s">
        <v>4688</v>
      </c>
      <c r="D248" s="728">
        <v>7</v>
      </c>
      <c r="E248" s="728">
        <v>16</v>
      </c>
      <c r="F248" s="728">
        <v>6</v>
      </c>
      <c r="G248" s="729">
        <v>22</v>
      </c>
      <c r="H248" s="728">
        <v>2</v>
      </c>
      <c r="I248" s="728" t="s">
        <v>558</v>
      </c>
      <c r="J248" s="730" t="s">
        <v>4046</v>
      </c>
      <c r="K248" s="527"/>
      <c r="L248" s="728"/>
      <c r="M248" s="728"/>
      <c r="N248" s="728"/>
      <c r="O248" s="729"/>
      <c r="P248" s="728"/>
      <c r="Q248" s="731"/>
    </row>
    <row r="249" spans="1:57" x14ac:dyDescent="0.3">
      <c r="A249" s="732"/>
      <c r="B249" s="522" t="s">
        <v>4689</v>
      </c>
      <c r="C249" s="522" t="s">
        <v>4690</v>
      </c>
      <c r="D249" s="733">
        <v>38</v>
      </c>
      <c r="E249" s="733">
        <v>4</v>
      </c>
      <c r="F249" s="733">
        <v>7</v>
      </c>
      <c r="G249" s="734">
        <v>11</v>
      </c>
      <c r="H249" s="733">
        <v>12</v>
      </c>
      <c r="I249" s="733">
        <v>0</v>
      </c>
      <c r="J249" s="735" t="s">
        <v>4046</v>
      </c>
      <c r="K249" s="522" t="s">
        <v>4095</v>
      </c>
      <c r="L249" s="733">
        <v>16</v>
      </c>
      <c r="M249" s="733">
        <v>2</v>
      </c>
      <c r="N249" s="733">
        <v>4</v>
      </c>
      <c r="O249" s="734">
        <v>6</v>
      </c>
      <c r="P249" s="733">
        <v>10</v>
      </c>
      <c r="Q249" s="736" t="s">
        <v>558</v>
      </c>
    </row>
    <row r="250" spans="1:57" ht="15" thickBot="1" x14ac:dyDescent="0.35">
      <c r="A250" s="744"/>
      <c r="B250" s="541" t="s">
        <v>4691</v>
      </c>
      <c r="C250" s="541" t="s">
        <v>4690</v>
      </c>
      <c r="D250" s="745">
        <v>3</v>
      </c>
      <c r="E250" s="745">
        <v>1</v>
      </c>
      <c r="F250" s="745">
        <v>1</v>
      </c>
      <c r="G250" s="746">
        <v>2</v>
      </c>
      <c r="H250" s="745">
        <v>2</v>
      </c>
      <c r="I250" s="745">
        <v>0</v>
      </c>
      <c r="J250" s="747" t="s">
        <v>4046</v>
      </c>
      <c r="K250" s="541"/>
      <c r="L250" s="745"/>
      <c r="M250" s="745"/>
      <c r="N250" s="745"/>
      <c r="O250" s="743"/>
      <c r="P250" s="743"/>
      <c r="Q250" s="545"/>
    </row>
    <row r="251" spans="1:57" x14ac:dyDescent="0.3">
      <c r="B251" s="776" t="s">
        <v>4692</v>
      </c>
      <c r="C251" s="522" t="s">
        <v>4693</v>
      </c>
      <c r="D251" s="755">
        <v>5</v>
      </c>
      <c r="E251" s="755">
        <v>0</v>
      </c>
      <c r="F251" s="755">
        <v>4</v>
      </c>
      <c r="G251" s="756">
        <v>4</v>
      </c>
      <c r="H251" s="755">
        <v>0</v>
      </c>
      <c r="I251" s="755">
        <v>4</v>
      </c>
      <c r="J251" s="757" t="s">
        <v>4046</v>
      </c>
      <c r="K251" s="755"/>
      <c r="L251" s="755"/>
      <c r="M251" s="755"/>
      <c r="N251" s="756"/>
      <c r="O251" s="755"/>
      <c r="P251" s="755"/>
      <c r="Q251" s="775"/>
      <c r="V251" s="2"/>
      <c r="AK251" s="552"/>
      <c r="AL251"/>
      <c r="BD251" s="552"/>
      <c r="BE251"/>
    </row>
    <row r="252" spans="1:57" x14ac:dyDescent="0.3">
      <c r="A252" s="759"/>
      <c r="B252" s="527" t="s">
        <v>4694</v>
      </c>
      <c r="C252" s="527" t="s">
        <v>4104</v>
      </c>
      <c r="D252" s="760">
        <v>1</v>
      </c>
      <c r="E252" s="760">
        <v>0</v>
      </c>
      <c r="F252" s="760">
        <v>0</v>
      </c>
      <c r="G252" s="761">
        <v>0</v>
      </c>
      <c r="H252" s="760">
        <v>0</v>
      </c>
      <c r="I252" s="760" t="s">
        <v>558</v>
      </c>
      <c r="J252" s="762" t="s">
        <v>4046</v>
      </c>
      <c r="K252" s="527"/>
      <c r="L252" s="760"/>
      <c r="M252" s="760"/>
      <c r="N252" s="760"/>
      <c r="O252" s="761"/>
      <c r="P252" s="760"/>
      <c r="Q252" s="763"/>
      <c r="V252" s="2"/>
      <c r="AK252" s="552"/>
      <c r="AL252"/>
      <c r="BD252" s="552"/>
      <c r="BE252"/>
    </row>
    <row r="253" spans="1:57" x14ac:dyDescent="0.3">
      <c r="A253" s="732" t="s">
        <v>4096</v>
      </c>
      <c r="B253" s="522" t="s">
        <v>4685</v>
      </c>
      <c r="C253" s="522" t="s">
        <v>4591</v>
      </c>
      <c r="D253" s="733">
        <v>20</v>
      </c>
      <c r="E253" s="733">
        <v>1</v>
      </c>
      <c r="F253" s="733">
        <v>3</v>
      </c>
      <c r="G253" s="734">
        <v>4</v>
      </c>
      <c r="H253" s="733">
        <v>4</v>
      </c>
      <c r="I253" s="733">
        <v>-3</v>
      </c>
      <c r="J253" s="735" t="s">
        <v>4046</v>
      </c>
      <c r="K253" s="522"/>
      <c r="L253" s="733"/>
      <c r="M253" s="733"/>
      <c r="N253" s="733"/>
      <c r="O253" s="734"/>
      <c r="P253" s="733"/>
      <c r="Q253" s="736"/>
      <c r="V253" s="2"/>
      <c r="AK253" s="552"/>
      <c r="AL253"/>
      <c r="BD253" s="552"/>
      <c r="BE253"/>
    </row>
    <row r="254" spans="1:57" x14ac:dyDescent="0.3">
      <c r="A254" s="727"/>
      <c r="B254" s="527" t="s">
        <v>4594</v>
      </c>
      <c r="C254" s="527" t="s">
        <v>4595</v>
      </c>
      <c r="D254" s="728">
        <v>5</v>
      </c>
      <c r="E254" s="728">
        <v>0</v>
      </c>
      <c r="F254" s="728">
        <v>2</v>
      </c>
      <c r="G254" s="729">
        <v>2</v>
      </c>
      <c r="H254" s="728">
        <v>0</v>
      </c>
      <c r="I254" s="728">
        <v>-6</v>
      </c>
      <c r="J254" s="730" t="s">
        <v>4046</v>
      </c>
      <c r="K254" s="527"/>
      <c r="L254" s="728"/>
      <c r="M254" s="728"/>
      <c r="N254" s="728"/>
      <c r="O254" s="729"/>
      <c r="P254" s="728"/>
      <c r="Q254" s="731"/>
      <c r="V254" s="2"/>
      <c r="AK254" s="552"/>
      <c r="AL254"/>
      <c r="BD254" s="552"/>
      <c r="BE254"/>
    </row>
    <row r="255" spans="1:57" x14ac:dyDescent="0.3">
      <c r="A255" s="732"/>
      <c r="B255" s="522" t="s">
        <v>4675</v>
      </c>
      <c r="C255" s="522" t="s">
        <v>4595</v>
      </c>
      <c r="D255" s="733">
        <v>4</v>
      </c>
      <c r="E255" s="733">
        <v>1</v>
      </c>
      <c r="F255" s="733">
        <v>0</v>
      </c>
      <c r="G255" s="734">
        <v>1</v>
      </c>
      <c r="H255" s="733">
        <v>0</v>
      </c>
      <c r="I255" s="733">
        <v>0</v>
      </c>
      <c r="J255" s="735" t="s">
        <v>4046</v>
      </c>
      <c r="K255" s="735"/>
      <c r="L255" s="733"/>
      <c r="M255" s="733"/>
      <c r="N255" s="733"/>
      <c r="O255" s="734"/>
      <c r="P255" s="733"/>
      <c r="Q255" s="736"/>
      <c r="V255" s="2"/>
      <c r="AK255" s="552"/>
      <c r="AL255"/>
      <c r="BD255" s="552"/>
      <c r="BE255"/>
    </row>
    <row r="256" spans="1:57" x14ac:dyDescent="0.3">
      <c r="A256" s="759"/>
      <c r="B256" s="527" t="s">
        <v>4695</v>
      </c>
      <c r="C256" s="527" t="s">
        <v>4696</v>
      </c>
      <c r="D256" s="760">
        <v>1</v>
      </c>
      <c r="E256" s="760">
        <v>0</v>
      </c>
      <c r="F256" s="760">
        <v>0</v>
      </c>
      <c r="G256" s="761">
        <v>0</v>
      </c>
      <c r="H256" s="760">
        <v>0</v>
      </c>
      <c r="I256" s="760">
        <v>0</v>
      </c>
      <c r="J256" s="762" t="s">
        <v>4046</v>
      </c>
      <c r="K256" s="762"/>
      <c r="L256" s="760"/>
      <c r="M256" s="760"/>
      <c r="N256" s="760"/>
      <c r="O256" s="761"/>
      <c r="P256" s="760"/>
      <c r="Q256" s="763"/>
      <c r="V256" s="2"/>
      <c r="AK256" s="552"/>
      <c r="AL256"/>
      <c r="BD256" s="552"/>
      <c r="BE256"/>
    </row>
    <row r="257" spans="1:57" ht="15" thickBot="1" x14ac:dyDescent="0.35">
      <c r="A257" s="777"/>
      <c r="B257" s="532" t="s">
        <v>4694</v>
      </c>
      <c r="C257" s="532" t="s">
        <v>4104</v>
      </c>
      <c r="D257" s="778">
        <v>4</v>
      </c>
      <c r="E257" s="778">
        <v>0</v>
      </c>
      <c r="F257" s="778">
        <v>0</v>
      </c>
      <c r="G257" s="779">
        <v>0</v>
      </c>
      <c r="H257" s="778">
        <v>0</v>
      </c>
      <c r="I257" s="778" t="s">
        <v>558</v>
      </c>
      <c r="J257" s="780" t="s">
        <v>4046</v>
      </c>
      <c r="K257" s="532"/>
      <c r="L257" s="778"/>
      <c r="M257" s="778"/>
      <c r="N257" s="778"/>
      <c r="O257" s="779"/>
      <c r="P257" s="778"/>
      <c r="Q257" s="545"/>
      <c r="V257" s="2"/>
      <c r="AK257" s="552"/>
      <c r="AL257"/>
      <c r="BD257" s="552"/>
      <c r="BE257"/>
    </row>
    <row r="258" spans="1:57" x14ac:dyDescent="0.3">
      <c r="A258" s="727" t="s">
        <v>4081</v>
      </c>
      <c r="B258" s="527" t="s">
        <v>4685</v>
      </c>
      <c r="C258" s="527" t="s">
        <v>4591</v>
      </c>
      <c r="D258" s="728">
        <v>52</v>
      </c>
      <c r="E258" s="728">
        <v>6</v>
      </c>
      <c r="F258" s="728">
        <v>4</v>
      </c>
      <c r="G258" s="729">
        <v>10</v>
      </c>
      <c r="H258" s="728">
        <v>28</v>
      </c>
      <c r="I258" s="728">
        <v>-12</v>
      </c>
      <c r="J258" s="730" t="s">
        <v>4046</v>
      </c>
      <c r="K258" s="527" t="s">
        <v>4095</v>
      </c>
      <c r="L258" s="728">
        <v>3</v>
      </c>
      <c r="M258" s="728">
        <v>0</v>
      </c>
      <c r="N258" s="728">
        <v>0</v>
      </c>
      <c r="O258" s="729">
        <v>0</v>
      </c>
      <c r="P258" s="728">
        <v>0</v>
      </c>
      <c r="Q258" s="731">
        <v>-1</v>
      </c>
      <c r="V258" s="2"/>
      <c r="AK258" s="552"/>
      <c r="AL258"/>
      <c r="BD258" s="552"/>
      <c r="BE258"/>
    </row>
    <row r="259" spans="1:57" x14ac:dyDescent="0.3">
      <c r="A259" s="732" t="s">
        <v>4589</v>
      </c>
      <c r="B259" s="522" t="s">
        <v>4685</v>
      </c>
      <c r="C259" s="522" t="s">
        <v>4591</v>
      </c>
      <c r="D259" s="733">
        <v>45</v>
      </c>
      <c r="E259" s="733">
        <v>7</v>
      </c>
      <c r="F259" s="733">
        <v>2</v>
      </c>
      <c r="G259" s="734">
        <v>9</v>
      </c>
      <c r="H259" s="733">
        <v>41</v>
      </c>
      <c r="I259" s="733">
        <v>-5</v>
      </c>
      <c r="J259" s="735" t="s">
        <v>4046</v>
      </c>
      <c r="K259" s="522"/>
      <c r="L259" s="733"/>
      <c r="M259" s="733"/>
      <c r="N259" s="733"/>
      <c r="O259" s="734"/>
      <c r="P259" s="733"/>
      <c r="Q259" s="736"/>
      <c r="V259" s="2"/>
      <c r="AK259" s="552"/>
      <c r="AL259"/>
      <c r="BD259" s="552"/>
      <c r="BE259"/>
    </row>
    <row r="260" spans="1:57" x14ac:dyDescent="0.3">
      <c r="A260" s="759"/>
      <c r="B260" s="527" t="s">
        <v>4695</v>
      </c>
      <c r="C260" s="527" t="s">
        <v>4696</v>
      </c>
      <c r="D260" s="760">
        <v>3</v>
      </c>
      <c r="E260" s="760">
        <v>0</v>
      </c>
      <c r="F260" s="760">
        <v>0</v>
      </c>
      <c r="G260" s="761">
        <v>0</v>
      </c>
      <c r="H260" s="760">
        <v>4</v>
      </c>
      <c r="I260" s="760">
        <v>-1</v>
      </c>
      <c r="J260" s="762" t="s">
        <v>4046</v>
      </c>
      <c r="K260" s="762"/>
      <c r="L260" s="760"/>
      <c r="M260" s="760"/>
      <c r="N260" s="760"/>
      <c r="O260" s="761"/>
      <c r="P260" s="760"/>
      <c r="Q260" s="763"/>
      <c r="V260" s="2"/>
      <c r="AK260" s="552"/>
      <c r="AL260"/>
      <c r="BD260" s="552"/>
      <c r="BE260"/>
    </row>
    <row r="261" spans="1:57" ht="15" thickBot="1" x14ac:dyDescent="0.35">
      <c r="A261" s="777"/>
      <c r="B261" s="780" t="s">
        <v>4697</v>
      </c>
      <c r="C261" s="532" t="s">
        <v>4698</v>
      </c>
      <c r="D261" s="778">
        <v>4</v>
      </c>
      <c r="E261" s="778">
        <v>1</v>
      </c>
      <c r="F261" s="778">
        <v>2</v>
      </c>
      <c r="G261" s="779">
        <v>3</v>
      </c>
      <c r="H261" s="778">
        <v>8</v>
      </c>
      <c r="I261" s="778">
        <v>4</v>
      </c>
      <c r="J261" s="780" t="s">
        <v>4046</v>
      </c>
      <c r="K261" s="780"/>
      <c r="L261" s="778"/>
      <c r="M261" s="778"/>
      <c r="N261" s="778"/>
      <c r="O261" s="779"/>
      <c r="P261" s="778"/>
      <c r="Q261" s="545"/>
      <c r="V261" s="2"/>
      <c r="AK261" s="552"/>
      <c r="AL261"/>
      <c r="BD261" s="552"/>
      <c r="BE261"/>
    </row>
    <row r="262" spans="1:57" x14ac:dyDescent="0.3">
      <c r="B262" s="770"/>
      <c r="C262" s="771"/>
      <c r="D262" s="771"/>
      <c r="E262" s="772"/>
      <c r="F262" s="772"/>
      <c r="G262" s="772"/>
      <c r="H262" s="773"/>
      <c r="I262" s="772"/>
      <c r="J262" s="772"/>
      <c r="K262" s="774"/>
      <c r="L262" s="771"/>
      <c r="M262" s="772"/>
      <c r="N262" s="772"/>
      <c r="O262" s="772"/>
      <c r="P262" s="773"/>
      <c r="Q262" s="772"/>
    </row>
    <row r="265" spans="1:57" x14ac:dyDescent="0.3">
      <c r="A265" s="1162" t="s">
        <v>4655</v>
      </c>
      <c r="B265" s="1162"/>
      <c r="C265" s="1162"/>
      <c r="D265" s="491" t="s">
        <v>213</v>
      </c>
      <c r="E265" s="491" t="s">
        <v>4051</v>
      </c>
      <c r="F265" s="491" t="s">
        <v>4052</v>
      </c>
      <c r="G265" s="491" t="s">
        <v>4053</v>
      </c>
      <c r="H265" s="491" t="s">
        <v>4054</v>
      </c>
      <c r="I265" s="491" t="s">
        <v>4055</v>
      </c>
      <c r="J265" s="491"/>
      <c r="K265" s="491" t="s">
        <v>4056</v>
      </c>
      <c r="L265" s="491" t="s">
        <v>213</v>
      </c>
      <c r="M265" s="491" t="s">
        <v>4051</v>
      </c>
      <c r="N265" s="491" t="s">
        <v>4052</v>
      </c>
      <c r="O265" s="491" t="s">
        <v>4053</v>
      </c>
      <c r="P265" s="491" t="s">
        <v>4054</v>
      </c>
      <c r="Q265" s="491" t="s">
        <v>4055</v>
      </c>
    </row>
    <row r="266" spans="1:57" s="2" customFormat="1" x14ac:dyDescent="0.3">
      <c r="A266" s="727" t="s">
        <v>4092</v>
      </c>
      <c r="B266" s="527" t="s">
        <v>4648</v>
      </c>
      <c r="C266" s="527" t="s">
        <v>4649</v>
      </c>
      <c r="D266" s="728">
        <v>4</v>
      </c>
      <c r="E266" s="728">
        <v>0</v>
      </c>
      <c r="F266" s="728">
        <v>3</v>
      </c>
      <c r="G266" s="729">
        <v>3</v>
      </c>
      <c r="H266" s="728">
        <v>0</v>
      </c>
      <c r="I266" s="728">
        <v>-1</v>
      </c>
      <c r="J266" s="730" t="s">
        <v>4046</v>
      </c>
      <c r="K266" s="527"/>
      <c r="L266" s="728"/>
      <c r="M266" s="728"/>
      <c r="N266" s="728"/>
      <c r="O266" s="729"/>
      <c r="P266" s="728"/>
      <c r="Q266" s="731"/>
      <c r="S266" s="742"/>
      <c r="AL266" s="742"/>
      <c r="BE266" s="742"/>
    </row>
    <row r="267" spans="1:57" s="2" customFormat="1" x14ac:dyDescent="0.3">
      <c r="A267" s="732"/>
      <c r="B267" s="522" t="s">
        <v>4650</v>
      </c>
      <c r="C267" s="522" t="s">
        <v>4651</v>
      </c>
      <c r="D267" s="733">
        <v>4</v>
      </c>
      <c r="E267" s="733">
        <v>2</v>
      </c>
      <c r="F267" s="733">
        <v>0</v>
      </c>
      <c r="G267" s="734">
        <v>2</v>
      </c>
      <c r="H267" s="733">
        <v>4</v>
      </c>
      <c r="I267" s="733" t="s">
        <v>558</v>
      </c>
      <c r="J267" s="735" t="s">
        <v>4046</v>
      </c>
      <c r="K267" s="522"/>
      <c r="L267" s="733"/>
      <c r="M267" s="733"/>
      <c r="N267" s="733"/>
      <c r="O267" s="734"/>
      <c r="P267" s="733"/>
      <c r="Q267" s="736"/>
      <c r="S267" s="742"/>
      <c r="AL267" s="742"/>
      <c r="BE267" s="742"/>
    </row>
    <row r="268" spans="1:57" s="2" customFormat="1" x14ac:dyDescent="0.3">
      <c r="A268" s="727"/>
      <c r="B268" s="527" t="s">
        <v>4652</v>
      </c>
      <c r="C268" s="527" t="s">
        <v>4653</v>
      </c>
      <c r="D268" s="728">
        <v>11</v>
      </c>
      <c r="E268" s="728">
        <v>16</v>
      </c>
      <c r="F268" s="728">
        <v>13</v>
      </c>
      <c r="G268" s="729">
        <v>29</v>
      </c>
      <c r="H268" s="728">
        <v>4</v>
      </c>
      <c r="I268" s="728" t="s">
        <v>558</v>
      </c>
      <c r="J268" s="730" t="s">
        <v>4046</v>
      </c>
      <c r="K268" s="527" t="s">
        <v>4095</v>
      </c>
      <c r="L268" s="728">
        <v>5</v>
      </c>
      <c r="M268" s="728">
        <v>2</v>
      </c>
      <c r="N268" s="728">
        <v>0</v>
      </c>
      <c r="O268" s="729">
        <v>2</v>
      </c>
      <c r="P268" s="728">
        <v>7</v>
      </c>
      <c r="Q268" s="731" t="s">
        <v>558</v>
      </c>
      <c r="S268" s="742"/>
      <c r="AL268" s="742"/>
      <c r="BE268" s="742"/>
    </row>
    <row r="269" spans="1:57" s="2" customFormat="1" x14ac:dyDescent="0.3">
      <c r="A269" s="732" t="s">
        <v>4096</v>
      </c>
      <c r="B269" s="522" t="s">
        <v>4111</v>
      </c>
      <c r="C269" s="522" t="s">
        <v>4595</v>
      </c>
      <c r="D269" s="733">
        <v>56</v>
      </c>
      <c r="E269" s="733">
        <v>21</v>
      </c>
      <c r="F269" s="733">
        <v>20</v>
      </c>
      <c r="G269" s="734">
        <v>41</v>
      </c>
      <c r="H269" s="733">
        <v>22</v>
      </c>
      <c r="I269" s="733">
        <v>11</v>
      </c>
      <c r="J269" s="735" t="s">
        <v>4046</v>
      </c>
      <c r="K269" s="522" t="s">
        <v>4095</v>
      </c>
      <c r="L269" s="733">
        <v>2</v>
      </c>
      <c r="M269" s="733">
        <v>0</v>
      </c>
      <c r="N269" s="733">
        <v>1</v>
      </c>
      <c r="O269" s="734">
        <v>1</v>
      </c>
      <c r="P269" s="733">
        <v>0</v>
      </c>
      <c r="Q269" s="736">
        <v>-1</v>
      </c>
      <c r="S269" s="742"/>
      <c r="AL269" s="742"/>
      <c r="BE269" s="742"/>
    </row>
    <row r="270" spans="1:57" s="2" customFormat="1" x14ac:dyDescent="0.3">
      <c r="A270" s="727" t="s">
        <v>4081</v>
      </c>
      <c r="B270" s="527" t="s">
        <v>4111</v>
      </c>
      <c r="C270" s="527" t="s">
        <v>4595</v>
      </c>
      <c r="D270" s="728">
        <v>32</v>
      </c>
      <c r="E270" s="728">
        <v>18</v>
      </c>
      <c r="F270" s="728">
        <v>14</v>
      </c>
      <c r="G270" s="729">
        <v>32</v>
      </c>
      <c r="H270" s="728">
        <v>33</v>
      </c>
      <c r="I270" s="728">
        <v>8</v>
      </c>
      <c r="J270" s="730" t="s">
        <v>4046</v>
      </c>
      <c r="K270" s="527" t="s">
        <v>4095</v>
      </c>
      <c r="L270" s="728">
        <v>18</v>
      </c>
      <c r="M270" s="728">
        <v>5</v>
      </c>
      <c r="N270" s="728">
        <v>4</v>
      </c>
      <c r="O270" s="729">
        <v>9</v>
      </c>
      <c r="P270" s="728">
        <v>8</v>
      </c>
      <c r="Q270" s="731">
        <v>4</v>
      </c>
      <c r="S270" s="742"/>
      <c r="AL270" s="742"/>
      <c r="BE270" s="742"/>
    </row>
    <row r="271" spans="1:57" s="2" customFormat="1" x14ac:dyDescent="0.3">
      <c r="A271" s="732"/>
      <c r="B271" s="522" t="s">
        <v>4654</v>
      </c>
      <c r="C271" s="522" t="s">
        <v>4591</v>
      </c>
      <c r="D271" s="733">
        <v>8</v>
      </c>
      <c r="E271" s="733">
        <v>3</v>
      </c>
      <c r="F271" s="733">
        <v>0</v>
      </c>
      <c r="G271" s="734">
        <v>3</v>
      </c>
      <c r="H271" s="733">
        <v>0</v>
      </c>
      <c r="I271" s="733">
        <v>0</v>
      </c>
      <c r="J271" s="735" t="s">
        <v>4046</v>
      </c>
      <c r="K271" s="522"/>
      <c r="L271" s="733"/>
      <c r="M271" s="733"/>
      <c r="N271" s="733"/>
      <c r="O271" s="734"/>
      <c r="P271" s="733"/>
      <c r="Q271" s="736"/>
      <c r="S271" s="742"/>
      <c r="AL271" s="742"/>
      <c r="BE271" s="742"/>
    </row>
    <row r="272" spans="1:57" s="2" customFormat="1" x14ac:dyDescent="0.3">
      <c r="A272" s="727" t="s">
        <v>4589</v>
      </c>
      <c r="B272" s="527" t="s">
        <v>4111</v>
      </c>
      <c r="C272" s="527" t="s">
        <v>4595</v>
      </c>
      <c r="D272" s="728">
        <v>29</v>
      </c>
      <c r="E272" s="728">
        <v>11</v>
      </c>
      <c r="F272" s="728">
        <v>12</v>
      </c>
      <c r="G272" s="729">
        <v>23</v>
      </c>
      <c r="H272" s="728">
        <v>9</v>
      </c>
      <c r="I272" s="728">
        <v>0</v>
      </c>
      <c r="J272" s="730" t="s">
        <v>4046</v>
      </c>
      <c r="K272" s="527"/>
      <c r="L272" s="728"/>
      <c r="M272" s="728"/>
      <c r="N272" s="728"/>
      <c r="O272" s="729"/>
      <c r="P272" s="728"/>
      <c r="Q272" s="731"/>
      <c r="S272" s="742"/>
      <c r="AL272" s="742"/>
      <c r="BE272" s="742"/>
    </row>
    <row r="273" spans="1:57" s="2" customFormat="1" ht="15" thickBot="1" x14ac:dyDescent="0.35">
      <c r="A273" s="737"/>
      <c r="B273" s="532" t="s">
        <v>4654</v>
      </c>
      <c r="C273" s="532" t="s">
        <v>4591</v>
      </c>
      <c r="D273" s="738">
        <v>20</v>
      </c>
      <c r="E273" s="738">
        <v>3</v>
      </c>
      <c r="F273" s="738">
        <v>4</v>
      </c>
      <c r="G273" s="739">
        <v>7</v>
      </c>
      <c r="H273" s="738">
        <v>10</v>
      </c>
      <c r="I273" s="738">
        <v>-1</v>
      </c>
      <c r="J273" s="740" t="s">
        <v>4046</v>
      </c>
      <c r="K273" s="740"/>
      <c r="L273" s="738"/>
      <c r="M273" s="743"/>
      <c r="N273" s="743"/>
      <c r="O273" s="743"/>
      <c r="P273" s="743"/>
      <c r="Q273" s="545"/>
      <c r="S273" s="742"/>
      <c r="AL273" s="742"/>
      <c r="BE273" s="742"/>
    </row>
    <row r="276" spans="1:57" x14ac:dyDescent="0.3">
      <c r="A276" s="1162" t="s">
        <v>4661</v>
      </c>
      <c r="B276" s="1162"/>
      <c r="C276" s="1162"/>
      <c r="D276" s="491" t="s">
        <v>213</v>
      </c>
      <c r="E276" s="491" t="s">
        <v>4051</v>
      </c>
      <c r="F276" s="491" t="s">
        <v>4052</v>
      </c>
      <c r="G276" s="491" t="s">
        <v>4053</v>
      </c>
      <c r="H276" s="491" t="s">
        <v>4054</v>
      </c>
      <c r="I276" s="491" t="s">
        <v>4055</v>
      </c>
      <c r="J276" s="491"/>
      <c r="K276" s="491" t="s">
        <v>4056</v>
      </c>
      <c r="L276" s="491" t="s">
        <v>213</v>
      </c>
      <c r="M276" s="491" t="s">
        <v>4051</v>
      </c>
      <c r="N276" s="491" t="s">
        <v>4052</v>
      </c>
      <c r="O276" s="491" t="s">
        <v>4053</v>
      </c>
      <c r="P276" s="491" t="s">
        <v>4054</v>
      </c>
      <c r="Q276" s="491" t="s">
        <v>4055</v>
      </c>
    </row>
    <row r="277" spans="1:57" x14ac:dyDescent="0.3">
      <c r="A277" s="727" t="s">
        <v>4092</v>
      </c>
      <c r="B277" s="527" t="s">
        <v>4656</v>
      </c>
      <c r="C277" s="527" t="s">
        <v>4657</v>
      </c>
      <c r="D277" s="728">
        <v>51</v>
      </c>
      <c r="E277" s="728">
        <v>6</v>
      </c>
      <c r="F277" s="728">
        <v>22</v>
      </c>
      <c r="G277" s="729">
        <v>28</v>
      </c>
      <c r="H277" s="728">
        <v>6</v>
      </c>
      <c r="I277" s="728">
        <v>2</v>
      </c>
      <c r="J277" s="730" t="s">
        <v>4046</v>
      </c>
      <c r="K277" s="527" t="s">
        <v>4095</v>
      </c>
      <c r="L277" s="728">
        <v>12</v>
      </c>
      <c r="M277" s="728">
        <v>5</v>
      </c>
      <c r="N277" s="728">
        <v>2</v>
      </c>
      <c r="O277" s="729">
        <v>7</v>
      </c>
      <c r="P277" s="728">
        <v>4</v>
      </c>
      <c r="Q277" s="731">
        <v>-1</v>
      </c>
    </row>
    <row r="278" spans="1:57" ht="17.25" customHeight="1" x14ac:dyDescent="0.3">
      <c r="A278" s="732" t="s">
        <v>4096</v>
      </c>
      <c r="B278" s="522" t="s">
        <v>4658</v>
      </c>
      <c r="C278" s="522" t="s">
        <v>4657</v>
      </c>
      <c r="D278" s="733">
        <v>53</v>
      </c>
      <c r="E278" s="733">
        <v>23</v>
      </c>
      <c r="F278" s="733">
        <v>39</v>
      </c>
      <c r="G278" s="734">
        <v>62</v>
      </c>
      <c r="H278" s="733">
        <v>58</v>
      </c>
      <c r="I278" s="733">
        <v>41</v>
      </c>
      <c r="J278" s="735" t="s">
        <v>4046</v>
      </c>
      <c r="K278" s="735"/>
      <c r="L278" s="733"/>
      <c r="M278" s="733"/>
      <c r="N278" s="733"/>
      <c r="O278" s="734"/>
      <c r="P278" s="733"/>
      <c r="Q278" s="736"/>
    </row>
    <row r="279" spans="1:57" ht="21" customHeight="1" x14ac:dyDescent="0.3">
      <c r="A279" s="727" t="s">
        <v>4081</v>
      </c>
      <c r="B279" s="527" t="s">
        <v>4659</v>
      </c>
      <c r="C279" s="527" t="s">
        <v>3731</v>
      </c>
      <c r="D279" s="728">
        <v>10</v>
      </c>
      <c r="E279" s="728">
        <v>2</v>
      </c>
      <c r="F279" s="728">
        <v>1</v>
      </c>
      <c r="G279" s="729">
        <v>3</v>
      </c>
      <c r="H279" s="728">
        <v>2</v>
      </c>
      <c r="I279" s="728">
        <v>-1</v>
      </c>
      <c r="J279" s="730" t="s">
        <v>4046</v>
      </c>
      <c r="K279" s="527" t="s">
        <v>4095</v>
      </c>
      <c r="L279" s="728">
        <v>2</v>
      </c>
      <c r="M279" s="728">
        <v>1</v>
      </c>
      <c r="N279" s="728">
        <v>1</v>
      </c>
      <c r="O279" s="729">
        <v>2</v>
      </c>
      <c r="P279" s="728">
        <v>0</v>
      </c>
      <c r="Q279" s="731">
        <v>1</v>
      </c>
    </row>
    <row r="280" spans="1:57" ht="21.75" customHeight="1" thickBot="1" x14ac:dyDescent="0.35">
      <c r="A280" s="737" t="s">
        <v>4589</v>
      </c>
      <c r="B280" s="532" t="s">
        <v>4660</v>
      </c>
      <c r="C280" s="532" t="s">
        <v>4591</v>
      </c>
      <c r="D280" s="738">
        <v>48</v>
      </c>
      <c r="E280" s="738">
        <v>11</v>
      </c>
      <c r="F280" s="738">
        <v>19</v>
      </c>
      <c r="G280" s="739">
        <v>30</v>
      </c>
      <c r="H280" s="738">
        <v>6</v>
      </c>
      <c r="I280" s="738">
        <v>-2</v>
      </c>
      <c r="J280" s="740" t="s">
        <v>4046</v>
      </c>
      <c r="K280" s="532" t="s">
        <v>4095</v>
      </c>
      <c r="L280" s="738">
        <v>8</v>
      </c>
      <c r="M280" s="738">
        <v>2</v>
      </c>
      <c r="N280" s="738">
        <v>2</v>
      </c>
      <c r="O280" s="739">
        <v>4</v>
      </c>
      <c r="P280" s="738">
        <v>6</v>
      </c>
      <c r="Q280" s="741">
        <v>2</v>
      </c>
    </row>
    <row r="283" spans="1:57" x14ac:dyDescent="0.3">
      <c r="A283" s="1162" t="s">
        <v>4662</v>
      </c>
      <c r="B283" s="1162"/>
      <c r="C283" s="1162"/>
      <c r="D283" s="491" t="s">
        <v>213</v>
      </c>
      <c r="E283" s="491" t="s">
        <v>4051</v>
      </c>
      <c r="F283" s="491" t="s">
        <v>4052</v>
      </c>
      <c r="G283" s="491" t="s">
        <v>4053</v>
      </c>
      <c r="H283" s="491" t="s">
        <v>4054</v>
      </c>
      <c r="I283" s="491" t="s">
        <v>4055</v>
      </c>
      <c r="J283" s="491"/>
      <c r="K283" s="491" t="s">
        <v>4056</v>
      </c>
      <c r="L283" s="491" t="s">
        <v>213</v>
      </c>
      <c r="M283" s="491" t="s">
        <v>4051</v>
      </c>
      <c r="N283" s="491" t="s">
        <v>4052</v>
      </c>
      <c r="O283" s="491" t="s">
        <v>4053</v>
      </c>
      <c r="P283" s="491" t="s">
        <v>4054</v>
      </c>
      <c r="Q283" s="491" t="s">
        <v>4055</v>
      </c>
    </row>
    <row r="284" spans="1:57" x14ac:dyDescent="0.3">
      <c r="A284" s="732" t="s">
        <v>4092</v>
      </c>
      <c r="B284" s="522" t="s">
        <v>4663</v>
      </c>
      <c r="C284" s="522" t="s">
        <v>3733</v>
      </c>
      <c r="D284" s="733">
        <v>47</v>
      </c>
      <c r="E284" s="733">
        <v>16</v>
      </c>
      <c r="F284" s="733">
        <v>30</v>
      </c>
      <c r="G284" s="734">
        <v>46</v>
      </c>
      <c r="H284" s="733">
        <v>49</v>
      </c>
      <c r="I284" s="733">
        <v>13</v>
      </c>
      <c r="J284" s="735" t="s">
        <v>4046</v>
      </c>
      <c r="K284" s="522" t="s">
        <v>4095</v>
      </c>
      <c r="L284" s="733">
        <v>3</v>
      </c>
      <c r="M284" s="733">
        <v>0</v>
      </c>
      <c r="N284" s="733">
        <v>2</v>
      </c>
      <c r="O284" s="734">
        <v>2</v>
      </c>
      <c r="P284" s="733">
        <v>10</v>
      </c>
      <c r="Q284" s="736">
        <v>0</v>
      </c>
    </row>
    <row r="285" spans="1:57" ht="18.75" customHeight="1" x14ac:dyDescent="0.3">
      <c r="A285" s="727" t="s">
        <v>4096</v>
      </c>
      <c r="B285" s="527" t="s">
        <v>4664</v>
      </c>
      <c r="C285" s="527" t="s">
        <v>4591</v>
      </c>
      <c r="D285" s="728">
        <v>6</v>
      </c>
      <c r="E285" s="728">
        <v>0</v>
      </c>
      <c r="F285" s="728">
        <v>0</v>
      </c>
      <c r="G285" s="729">
        <v>0</v>
      </c>
      <c r="H285" s="728">
        <v>12</v>
      </c>
      <c r="I285" s="728">
        <v>-1</v>
      </c>
      <c r="J285" s="730" t="s">
        <v>4046</v>
      </c>
      <c r="K285" s="527"/>
      <c r="L285" s="728"/>
      <c r="M285" s="728"/>
      <c r="N285" s="728"/>
      <c r="O285" s="729"/>
      <c r="P285" s="728"/>
      <c r="Q285" s="731"/>
    </row>
    <row r="286" spans="1:57" x14ac:dyDescent="0.3">
      <c r="A286" s="732"/>
      <c r="B286" s="522" t="s">
        <v>4665</v>
      </c>
      <c r="C286" s="522" t="s">
        <v>4595</v>
      </c>
      <c r="D286" s="733">
        <v>48</v>
      </c>
      <c r="E286" s="733">
        <v>18</v>
      </c>
      <c r="F286" s="733">
        <v>27</v>
      </c>
      <c r="G286" s="734">
        <v>45</v>
      </c>
      <c r="H286" s="733">
        <v>58</v>
      </c>
      <c r="I286" s="733">
        <v>12</v>
      </c>
      <c r="J286" s="735" t="s">
        <v>4046</v>
      </c>
      <c r="K286" s="522"/>
      <c r="L286" s="733"/>
      <c r="M286" s="733"/>
      <c r="N286" s="733"/>
      <c r="O286" s="734"/>
      <c r="P286" s="733"/>
      <c r="Q286" s="736"/>
    </row>
    <row r="287" spans="1:57" x14ac:dyDescent="0.3">
      <c r="A287" s="727" t="s">
        <v>4081</v>
      </c>
      <c r="B287" s="527" t="s">
        <v>4666</v>
      </c>
      <c r="C287" s="527" t="s">
        <v>4595</v>
      </c>
      <c r="D287" s="728">
        <v>34</v>
      </c>
      <c r="E287" s="728">
        <v>16</v>
      </c>
      <c r="F287" s="728">
        <v>20</v>
      </c>
      <c r="G287" s="729">
        <v>36</v>
      </c>
      <c r="H287" s="728">
        <v>46</v>
      </c>
      <c r="I287" s="728">
        <v>16</v>
      </c>
      <c r="J287" s="730" t="s">
        <v>4046</v>
      </c>
      <c r="K287" s="527" t="s">
        <v>4095</v>
      </c>
      <c r="L287" s="728">
        <v>15</v>
      </c>
      <c r="M287" s="728">
        <v>4</v>
      </c>
      <c r="N287" s="728">
        <v>7</v>
      </c>
      <c r="O287" s="729">
        <v>11</v>
      </c>
      <c r="P287" s="728">
        <v>33</v>
      </c>
      <c r="Q287" s="731">
        <v>4</v>
      </c>
    </row>
    <row r="288" spans="1:57" x14ac:dyDescent="0.3">
      <c r="A288" s="732" t="s">
        <v>4589</v>
      </c>
      <c r="B288" s="522" t="s">
        <v>4666</v>
      </c>
      <c r="C288" s="522" t="s">
        <v>4591</v>
      </c>
      <c r="D288" s="733">
        <v>55</v>
      </c>
      <c r="E288" s="733">
        <v>15</v>
      </c>
      <c r="F288" s="733">
        <v>18</v>
      </c>
      <c r="G288" s="734">
        <v>33</v>
      </c>
      <c r="H288" s="733">
        <v>49</v>
      </c>
      <c r="I288" s="733">
        <v>-4</v>
      </c>
      <c r="J288" s="735" t="s">
        <v>4046</v>
      </c>
      <c r="K288" s="735"/>
      <c r="L288" s="733"/>
      <c r="M288" s="733"/>
      <c r="N288" s="733"/>
      <c r="O288" s="734"/>
      <c r="P288" s="733"/>
      <c r="Q288" s="736"/>
    </row>
    <row r="289" spans="1:57" ht="15" thickBot="1" x14ac:dyDescent="0.35">
      <c r="A289" s="744"/>
      <c r="B289" s="541" t="s">
        <v>4666</v>
      </c>
      <c r="C289" s="541" t="s">
        <v>4667</v>
      </c>
      <c r="D289" s="745" t="s">
        <v>558</v>
      </c>
      <c r="E289" s="745" t="s">
        <v>558</v>
      </c>
      <c r="F289" s="745" t="s">
        <v>558</v>
      </c>
      <c r="G289" s="746" t="s">
        <v>558</v>
      </c>
      <c r="H289" s="745" t="s">
        <v>558</v>
      </c>
      <c r="I289" s="745" t="s">
        <v>558</v>
      </c>
      <c r="J289" s="747" t="s">
        <v>4046</v>
      </c>
      <c r="K289" s="541" t="s">
        <v>4668</v>
      </c>
      <c r="L289" s="745">
        <v>5</v>
      </c>
      <c r="M289" s="745">
        <v>2</v>
      </c>
      <c r="N289" s="745">
        <v>5</v>
      </c>
      <c r="O289" s="746">
        <v>7</v>
      </c>
      <c r="P289" s="745">
        <v>0</v>
      </c>
      <c r="Q289" s="748">
        <v>5</v>
      </c>
    </row>
    <row r="291" spans="1:57" s="2" customFormat="1" ht="15" thickBot="1" x14ac:dyDescent="0.35">
      <c r="B291" s="781" t="s">
        <v>4705</v>
      </c>
      <c r="C291" s="782"/>
      <c r="D291" s="782">
        <v>105</v>
      </c>
      <c r="E291" s="782">
        <v>20</v>
      </c>
      <c r="F291" s="782">
        <v>21</v>
      </c>
      <c r="G291" s="783">
        <v>41</v>
      </c>
      <c r="H291" s="782">
        <v>79</v>
      </c>
      <c r="I291" s="782">
        <v>-4</v>
      </c>
      <c r="K291" s="784" t="s">
        <v>4046</v>
      </c>
      <c r="L291" s="782">
        <v>2</v>
      </c>
      <c r="M291" s="782">
        <v>11</v>
      </c>
      <c r="N291" s="782">
        <v>0</v>
      </c>
      <c r="O291" s="782"/>
      <c r="P291" s="782">
        <v>37</v>
      </c>
      <c r="Q291" s="785">
        <v>-5</v>
      </c>
      <c r="R291"/>
      <c r="S291" s="552"/>
      <c r="AL291" s="742"/>
      <c r="BE291" s="742"/>
    </row>
    <row r="292" spans="1:57" s="2" customFormat="1" ht="15.75" customHeight="1" x14ac:dyDescent="0.3">
      <c r="B292" s="675" t="s">
        <v>4706</v>
      </c>
      <c r="C292" s="786"/>
      <c r="D292" s="786">
        <f>D291-D288</f>
        <v>50</v>
      </c>
      <c r="E292" s="786">
        <f t="shared" ref="E292:G292" si="44">E291-E288</f>
        <v>5</v>
      </c>
      <c r="F292" s="786">
        <f t="shared" si="44"/>
        <v>3</v>
      </c>
      <c r="G292" s="786">
        <f t="shared" si="44"/>
        <v>8</v>
      </c>
      <c r="H292" s="786"/>
      <c r="I292" s="786"/>
      <c r="J292" s="786"/>
      <c r="K292" s="788"/>
      <c r="L292" s="786"/>
      <c r="M292" s="786"/>
      <c r="N292" s="786"/>
      <c r="O292" s="786"/>
      <c r="P292" s="787"/>
      <c r="Q292" s="786"/>
      <c r="R292"/>
      <c r="S292" s="552"/>
      <c r="AL292" s="742"/>
      <c r="BE292" s="742"/>
    </row>
    <row r="294" spans="1:57" x14ac:dyDescent="0.3">
      <c r="A294" s="1162" t="s">
        <v>4678</v>
      </c>
      <c r="B294" s="1162"/>
      <c r="C294" s="1162"/>
      <c r="D294" s="491" t="s">
        <v>213</v>
      </c>
      <c r="E294" s="491" t="s">
        <v>4051</v>
      </c>
      <c r="F294" s="491" t="s">
        <v>4052</v>
      </c>
      <c r="G294" s="491" t="s">
        <v>4053</v>
      </c>
      <c r="H294" s="491" t="s">
        <v>4054</v>
      </c>
      <c r="I294" s="491" t="s">
        <v>4055</v>
      </c>
      <c r="J294" s="491"/>
      <c r="K294" s="491" t="s">
        <v>4056</v>
      </c>
      <c r="L294" s="491" t="s">
        <v>213</v>
      </c>
      <c r="M294" s="491" t="s">
        <v>4051</v>
      </c>
      <c r="N294" s="491" t="s">
        <v>4052</v>
      </c>
      <c r="O294" s="491" t="s">
        <v>4053</v>
      </c>
      <c r="P294" s="491" t="s">
        <v>4054</v>
      </c>
      <c r="Q294" s="491" t="s">
        <v>4055</v>
      </c>
    </row>
    <row r="295" spans="1:57" s="2" customFormat="1" x14ac:dyDescent="0.3">
      <c r="A295" s="749" t="s">
        <v>4092</v>
      </c>
      <c r="B295" s="527" t="s">
        <v>4669</v>
      </c>
      <c r="C295" s="527" t="s">
        <v>4670</v>
      </c>
      <c r="D295" s="750">
        <v>48</v>
      </c>
      <c r="E295" s="750">
        <v>10</v>
      </c>
      <c r="F295" s="750">
        <v>20</v>
      </c>
      <c r="G295" s="751">
        <v>30</v>
      </c>
      <c r="H295" s="750">
        <v>36</v>
      </c>
      <c r="I295" s="750">
        <v>17</v>
      </c>
      <c r="J295" s="752" t="s">
        <v>4046</v>
      </c>
      <c r="K295" s="527" t="s">
        <v>4095</v>
      </c>
      <c r="L295" s="750">
        <v>13</v>
      </c>
      <c r="M295" s="750">
        <v>2</v>
      </c>
      <c r="N295" s="750">
        <v>1</v>
      </c>
      <c r="O295" s="751">
        <v>3</v>
      </c>
      <c r="P295" s="750">
        <v>16</v>
      </c>
      <c r="Q295" s="753">
        <v>1</v>
      </c>
      <c r="S295" s="742"/>
      <c r="AL295" s="742"/>
      <c r="BE295" s="742"/>
    </row>
    <row r="296" spans="1:57" s="2" customFormat="1" x14ac:dyDescent="0.3">
      <c r="A296" s="754"/>
      <c r="B296" s="522" t="s">
        <v>4671</v>
      </c>
      <c r="C296" s="522" t="s">
        <v>4672</v>
      </c>
      <c r="D296" s="755">
        <v>3</v>
      </c>
      <c r="E296" s="755">
        <v>0</v>
      </c>
      <c r="F296" s="755">
        <v>0</v>
      </c>
      <c r="G296" s="756">
        <v>0</v>
      </c>
      <c r="H296" s="755">
        <v>0</v>
      </c>
      <c r="I296" s="755">
        <v>-3</v>
      </c>
      <c r="J296" s="757" t="s">
        <v>4046</v>
      </c>
      <c r="K296" s="522"/>
      <c r="L296" s="755"/>
      <c r="M296" s="755"/>
      <c r="N296" s="755"/>
      <c r="O296" s="756"/>
      <c r="P296" s="755"/>
      <c r="Q296" s="758"/>
      <c r="S296" s="742"/>
      <c r="AL296" s="742"/>
      <c r="BE296" s="742"/>
    </row>
    <row r="297" spans="1:57" s="2" customFormat="1" x14ac:dyDescent="0.3">
      <c r="A297" s="759"/>
      <c r="B297" s="527" t="s">
        <v>4673</v>
      </c>
      <c r="C297" s="527" t="s">
        <v>4674</v>
      </c>
      <c r="D297" s="760">
        <v>12</v>
      </c>
      <c r="E297" s="760">
        <v>0</v>
      </c>
      <c r="F297" s="760">
        <v>2</v>
      </c>
      <c r="G297" s="761">
        <v>2</v>
      </c>
      <c r="H297" s="760">
        <v>12</v>
      </c>
      <c r="I297" s="760">
        <v>-1</v>
      </c>
      <c r="J297" s="762" t="s">
        <v>4046</v>
      </c>
      <c r="K297" s="527"/>
      <c r="L297" s="760"/>
      <c r="M297" s="760"/>
      <c r="N297" s="760"/>
      <c r="O297" s="761"/>
      <c r="P297" s="760"/>
      <c r="Q297" s="763"/>
      <c r="S297" s="742"/>
      <c r="AL297" s="742"/>
      <c r="BE297" s="742"/>
    </row>
    <row r="298" spans="1:57" s="2" customFormat="1" x14ac:dyDescent="0.3">
      <c r="A298" s="732" t="s">
        <v>4096</v>
      </c>
      <c r="B298" s="522" t="s">
        <v>4593</v>
      </c>
      <c r="C298" s="522" t="s">
        <v>4591</v>
      </c>
      <c r="D298" s="733">
        <v>37</v>
      </c>
      <c r="E298" s="733">
        <v>3</v>
      </c>
      <c r="F298" s="733">
        <v>5</v>
      </c>
      <c r="G298" s="734">
        <v>8</v>
      </c>
      <c r="H298" s="733">
        <v>28</v>
      </c>
      <c r="I298" s="733">
        <v>0</v>
      </c>
      <c r="J298" s="735" t="s">
        <v>4046</v>
      </c>
      <c r="K298" s="522" t="s">
        <v>4095</v>
      </c>
      <c r="L298" s="733">
        <v>2</v>
      </c>
      <c r="M298" s="733">
        <v>0</v>
      </c>
      <c r="N298" s="733">
        <v>0</v>
      </c>
      <c r="O298" s="734">
        <v>0</v>
      </c>
      <c r="P298" s="733">
        <v>0</v>
      </c>
      <c r="Q298" s="736">
        <v>0</v>
      </c>
      <c r="S298" s="742"/>
      <c r="AL298" s="742"/>
      <c r="BE298" s="742"/>
    </row>
    <row r="299" spans="1:57" s="2" customFormat="1" x14ac:dyDescent="0.3">
      <c r="A299" s="727"/>
      <c r="B299" s="527" t="s">
        <v>4675</v>
      </c>
      <c r="C299" s="527" t="s">
        <v>4595</v>
      </c>
      <c r="D299" s="728">
        <v>9</v>
      </c>
      <c r="E299" s="728">
        <v>2</v>
      </c>
      <c r="F299" s="728">
        <v>2</v>
      </c>
      <c r="G299" s="729">
        <v>4</v>
      </c>
      <c r="H299" s="728">
        <v>14</v>
      </c>
      <c r="I299" s="728">
        <v>4</v>
      </c>
      <c r="J299" s="730" t="s">
        <v>4046</v>
      </c>
      <c r="K299" s="730"/>
      <c r="L299" s="728"/>
      <c r="M299" s="728"/>
      <c r="N299" s="728"/>
      <c r="O299" s="729"/>
      <c r="P299" s="728"/>
      <c r="Q299" s="731"/>
      <c r="S299" s="742"/>
      <c r="AL299" s="742"/>
      <c r="BE299" s="742"/>
    </row>
    <row r="300" spans="1:57" s="2" customFormat="1" x14ac:dyDescent="0.3">
      <c r="A300" s="732" t="s">
        <v>4081</v>
      </c>
      <c r="B300" s="522" t="s">
        <v>4593</v>
      </c>
      <c r="C300" s="522" t="s">
        <v>4591</v>
      </c>
      <c r="D300" s="733">
        <v>49</v>
      </c>
      <c r="E300" s="733">
        <v>2</v>
      </c>
      <c r="F300" s="733">
        <v>5</v>
      </c>
      <c r="G300" s="734">
        <v>7</v>
      </c>
      <c r="H300" s="733">
        <v>58</v>
      </c>
      <c r="I300" s="733">
        <v>-6</v>
      </c>
      <c r="J300" s="735" t="s">
        <v>4046</v>
      </c>
      <c r="K300" s="522" t="s">
        <v>4095</v>
      </c>
      <c r="L300" s="733">
        <v>7</v>
      </c>
      <c r="M300" s="733">
        <v>2</v>
      </c>
      <c r="N300" s="733">
        <v>0</v>
      </c>
      <c r="O300" s="734">
        <v>2</v>
      </c>
      <c r="P300" s="733">
        <v>4</v>
      </c>
      <c r="Q300" s="736">
        <v>1</v>
      </c>
      <c r="S300" s="742"/>
      <c r="AL300" s="742"/>
      <c r="BE300" s="742"/>
    </row>
    <row r="301" spans="1:57" s="2" customFormat="1" x14ac:dyDescent="0.3">
      <c r="A301" s="759"/>
      <c r="B301" s="527" t="s">
        <v>4676</v>
      </c>
      <c r="C301" s="527" t="s">
        <v>4104</v>
      </c>
      <c r="D301" s="760">
        <v>3</v>
      </c>
      <c r="E301" s="760">
        <v>1</v>
      </c>
      <c r="F301" s="760">
        <v>3</v>
      </c>
      <c r="G301" s="761">
        <v>4</v>
      </c>
      <c r="H301" s="760">
        <v>0</v>
      </c>
      <c r="I301" s="760">
        <v>5</v>
      </c>
      <c r="J301" s="762" t="s">
        <v>4046</v>
      </c>
      <c r="K301" s="762"/>
      <c r="L301" s="760"/>
      <c r="M301" s="760"/>
      <c r="N301" s="760"/>
      <c r="O301" s="761"/>
      <c r="P301" s="760"/>
      <c r="Q301" s="763"/>
      <c r="S301" s="742"/>
      <c r="AL301" s="742"/>
      <c r="BE301" s="742"/>
    </row>
    <row r="302" spans="1:57" s="2" customFormat="1" x14ac:dyDescent="0.3">
      <c r="A302" s="732" t="s">
        <v>4589</v>
      </c>
      <c r="B302" s="522" t="s">
        <v>4593</v>
      </c>
      <c r="C302" s="522" t="s">
        <v>4591</v>
      </c>
      <c r="D302" s="733">
        <v>29</v>
      </c>
      <c r="E302" s="733">
        <v>0</v>
      </c>
      <c r="F302" s="733">
        <v>3</v>
      </c>
      <c r="G302" s="734">
        <v>3</v>
      </c>
      <c r="H302" s="733">
        <v>8</v>
      </c>
      <c r="I302" s="733">
        <v>2</v>
      </c>
      <c r="J302" s="735" t="s">
        <v>4046</v>
      </c>
      <c r="K302" s="735"/>
      <c r="L302" s="733"/>
      <c r="M302" s="733"/>
      <c r="N302" s="733"/>
      <c r="O302" s="734"/>
      <c r="P302" s="733"/>
      <c r="Q302" s="736"/>
      <c r="S302" s="742"/>
      <c r="AL302" s="742"/>
      <c r="BE302" s="742"/>
    </row>
    <row r="303" spans="1:57" s="2" customFormat="1" ht="15" thickBot="1" x14ac:dyDescent="0.35">
      <c r="A303" s="744"/>
      <c r="B303" s="541" t="s">
        <v>4677</v>
      </c>
      <c r="C303" s="541" t="s">
        <v>4595</v>
      </c>
      <c r="D303" s="745">
        <v>19</v>
      </c>
      <c r="E303" s="745">
        <v>1</v>
      </c>
      <c r="F303" s="745">
        <v>4</v>
      </c>
      <c r="G303" s="746">
        <v>5</v>
      </c>
      <c r="H303" s="745">
        <v>18</v>
      </c>
      <c r="I303" s="745">
        <v>-4</v>
      </c>
      <c r="J303" s="747" t="s">
        <v>4046</v>
      </c>
      <c r="K303" s="743"/>
      <c r="L303" s="743"/>
      <c r="M303" s="743"/>
      <c r="N303" s="743"/>
      <c r="O303" s="743"/>
      <c r="P303" s="743"/>
      <c r="Q303" s="545"/>
      <c r="S303" s="742"/>
      <c r="AL303" s="742"/>
      <c r="BE303" s="742"/>
    </row>
    <row r="306" spans="1:17" x14ac:dyDescent="0.3">
      <c r="A306" s="557"/>
      <c r="B306" s="557"/>
      <c r="C306" s="764" t="s">
        <v>213</v>
      </c>
      <c r="D306" s="764" t="s">
        <v>4051</v>
      </c>
      <c r="E306" s="764" t="s">
        <v>4052</v>
      </c>
      <c r="F306" s="764" t="s">
        <v>4053</v>
      </c>
      <c r="G306" s="764" t="s">
        <v>4054</v>
      </c>
      <c r="H306" s="764" t="s">
        <v>4055</v>
      </c>
      <c r="I306" s="764" t="s">
        <v>4681</v>
      </c>
      <c r="J306" s="557"/>
      <c r="K306" s="557"/>
      <c r="L306" s="557"/>
      <c r="M306" s="557"/>
      <c r="N306" s="557"/>
      <c r="O306" s="557"/>
      <c r="P306" s="557"/>
      <c r="Q306" s="557"/>
    </row>
    <row r="307" spans="1:17" x14ac:dyDescent="0.3">
      <c r="A307" s="765" t="s">
        <v>4589</v>
      </c>
      <c r="B307" s="183" t="s">
        <v>4611</v>
      </c>
      <c r="C307" s="765">
        <v>55</v>
      </c>
      <c r="D307" s="765">
        <v>15</v>
      </c>
      <c r="E307" s="765">
        <v>18</v>
      </c>
      <c r="F307" s="765">
        <v>33</v>
      </c>
      <c r="G307" s="765">
        <v>49</v>
      </c>
      <c r="H307" s="765">
        <v>-4</v>
      </c>
      <c r="I307" s="768">
        <f>F307/C307</f>
        <v>0.6</v>
      </c>
      <c r="J307" s="557"/>
      <c r="K307" s="769" t="s">
        <v>4668</v>
      </c>
      <c r="L307" s="765">
        <v>5</v>
      </c>
      <c r="M307" s="765">
        <v>2</v>
      </c>
      <c r="N307" s="765">
        <v>5</v>
      </c>
      <c r="O307" s="765">
        <v>7</v>
      </c>
      <c r="P307" s="765">
        <v>0</v>
      </c>
      <c r="Q307" s="765">
        <v>5</v>
      </c>
    </row>
    <row r="308" spans="1:17" x14ac:dyDescent="0.3">
      <c r="A308" s="765" t="s">
        <v>4589</v>
      </c>
      <c r="B308" s="183" t="s">
        <v>4612</v>
      </c>
      <c r="C308" s="765">
        <v>48</v>
      </c>
      <c r="D308" s="765">
        <v>11</v>
      </c>
      <c r="E308" s="765">
        <v>19</v>
      </c>
      <c r="F308" s="765">
        <v>30</v>
      </c>
      <c r="G308" s="765">
        <v>6</v>
      </c>
      <c r="H308" s="765">
        <v>-2</v>
      </c>
      <c r="I308" s="768">
        <f t="shared" ref="I308:I313" si="45">F308/C308</f>
        <v>0.625</v>
      </c>
      <c r="J308" s="557"/>
      <c r="K308" s="769" t="s">
        <v>4095</v>
      </c>
      <c r="L308" s="765">
        <v>8</v>
      </c>
      <c r="M308" s="765">
        <v>2</v>
      </c>
      <c r="N308" s="765">
        <v>2</v>
      </c>
      <c r="O308" s="765">
        <v>4</v>
      </c>
      <c r="P308" s="765">
        <v>6</v>
      </c>
      <c r="Q308" s="765">
        <v>2</v>
      </c>
    </row>
    <row r="309" spans="1:17" x14ac:dyDescent="0.3">
      <c r="A309" s="765" t="s">
        <v>4589</v>
      </c>
      <c r="B309" s="183" t="s">
        <v>2972</v>
      </c>
      <c r="C309" s="765">
        <v>51</v>
      </c>
      <c r="D309" s="765">
        <v>10</v>
      </c>
      <c r="E309" s="765">
        <v>14</v>
      </c>
      <c r="F309" s="765">
        <v>24</v>
      </c>
      <c r="G309" s="765">
        <v>34</v>
      </c>
      <c r="H309" s="765">
        <v>-13</v>
      </c>
      <c r="I309" s="768">
        <f t="shared" si="45"/>
        <v>0.47058823529411764</v>
      </c>
      <c r="J309" s="557"/>
      <c r="K309" s="557"/>
      <c r="L309" s="557"/>
      <c r="M309" s="557"/>
      <c r="N309" s="557"/>
      <c r="O309" s="557"/>
      <c r="P309" s="557"/>
      <c r="Q309" s="557"/>
    </row>
    <row r="310" spans="1:17" x14ac:dyDescent="0.3">
      <c r="A310" s="765" t="s">
        <v>4589</v>
      </c>
      <c r="B310" s="183" t="s">
        <v>4</v>
      </c>
      <c r="C310" s="765">
        <v>56</v>
      </c>
      <c r="D310" s="765">
        <v>8</v>
      </c>
      <c r="E310" s="765">
        <v>16</v>
      </c>
      <c r="F310" s="765">
        <v>24</v>
      </c>
      <c r="G310" s="765">
        <v>24</v>
      </c>
      <c r="H310" s="765">
        <v>-7</v>
      </c>
      <c r="I310" s="768">
        <f t="shared" si="45"/>
        <v>0.42857142857142855</v>
      </c>
      <c r="J310" s="557"/>
      <c r="K310" s="557"/>
      <c r="L310" s="557"/>
      <c r="M310" s="557"/>
      <c r="N310" s="557"/>
      <c r="O310" s="557"/>
      <c r="P310" s="557"/>
      <c r="Q310" s="557"/>
    </row>
    <row r="311" spans="1:17" x14ac:dyDescent="0.3">
      <c r="A311" s="765" t="s">
        <v>4589</v>
      </c>
      <c r="B311" s="183" t="s">
        <v>9</v>
      </c>
      <c r="C311" s="765">
        <v>41</v>
      </c>
      <c r="D311" s="765">
        <v>2</v>
      </c>
      <c r="E311" s="765">
        <v>14</v>
      </c>
      <c r="F311" s="765">
        <v>16</v>
      </c>
      <c r="G311" s="765">
        <v>12</v>
      </c>
      <c r="H311" s="765">
        <v>-5</v>
      </c>
      <c r="I311" s="768">
        <f t="shared" si="45"/>
        <v>0.3902439024390244</v>
      </c>
      <c r="J311" s="557"/>
      <c r="K311" s="557"/>
      <c r="L311" s="557"/>
      <c r="M311" s="557"/>
      <c r="N311" s="557"/>
      <c r="O311" s="557"/>
      <c r="P311" s="557"/>
      <c r="Q311" s="557"/>
    </row>
    <row r="312" spans="1:17" x14ac:dyDescent="0.3">
      <c r="A312" s="765" t="s">
        <v>4589</v>
      </c>
      <c r="B312" s="183" t="s">
        <v>26</v>
      </c>
      <c r="C312" s="765">
        <v>41</v>
      </c>
      <c r="D312" s="765">
        <v>2</v>
      </c>
      <c r="E312" s="765">
        <v>5</v>
      </c>
      <c r="F312" s="765">
        <v>7</v>
      </c>
      <c r="G312" s="765">
        <v>8</v>
      </c>
      <c r="H312" s="765">
        <v>-3</v>
      </c>
      <c r="I312" s="768">
        <f t="shared" si="45"/>
        <v>0.17073170731707318</v>
      </c>
      <c r="J312" s="557"/>
      <c r="K312" s="557"/>
      <c r="L312" s="557"/>
      <c r="M312" s="557"/>
      <c r="N312" s="557"/>
      <c r="O312" s="557"/>
      <c r="P312" s="557"/>
      <c r="Q312" s="557"/>
    </row>
    <row r="313" spans="1:17" x14ac:dyDescent="0.3">
      <c r="A313" s="765" t="s">
        <v>4589</v>
      </c>
      <c r="B313" s="183" t="s">
        <v>1244</v>
      </c>
      <c r="C313" s="183">
        <v>45</v>
      </c>
      <c r="D313" s="183">
        <v>7</v>
      </c>
      <c r="E313" s="183">
        <v>2</v>
      </c>
      <c r="F313" s="183">
        <v>9</v>
      </c>
      <c r="G313" s="183">
        <v>41</v>
      </c>
      <c r="H313" s="183">
        <v>-5</v>
      </c>
      <c r="I313" s="768">
        <f t="shared" si="45"/>
        <v>0.2</v>
      </c>
      <c r="J313" s="557"/>
      <c r="K313" s="557"/>
      <c r="L313" s="557"/>
      <c r="M313" s="557"/>
      <c r="N313" s="557"/>
      <c r="O313" s="557"/>
      <c r="P313" s="557"/>
      <c r="Q313" s="557"/>
    </row>
    <row r="314" spans="1:17" x14ac:dyDescent="0.3">
      <c r="A314" s="766" t="s">
        <v>4589</v>
      </c>
      <c r="B314" s="767" t="s">
        <v>4679</v>
      </c>
      <c r="C314" s="767">
        <f>C307+C308+L307+L308</f>
        <v>116</v>
      </c>
      <c r="D314" s="767">
        <f t="shared" ref="D314:F314" si="46">D307+D308+M307+M308</f>
        <v>30</v>
      </c>
      <c r="E314" s="767">
        <f t="shared" si="46"/>
        <v>44</v>
      </c>
      <c r="F314" s="767">
        <f t="shared" si="46"/>
        <v>74</v>
      </c>
      <c r="G314" s="767">
        <f>G307+G308+P307+P308</f>
        <v>61</v>
      </c>
      <c r="H314" s="767">
        <f>H307+H308+Q307+Q308</f>
        <v>1</v>
      </c>
      <c r="I314" s="768">
        <f>F314/C314</f>
        <v>0.63793103448275867</v>
      </c>
      <c r="J314" s="557"/>
      <c r="K314" s="557"/>
      <c r="L314" s="557"/>
      <c r="M314" s="557"/>
      <c r="N314" s="557"/>
      <c r="O314" s="557"/>
      <c r="P314" s="557"/>
      <c r="Q314" s="557"/>
    </row>
    <row r="315" spans="1:17" x14ac:dyDescent="0.3">
      <c r="A315" s="766" t="s">
        <v>4589</v>
      </c>
      <c r="B315" s="767" t="s">
        <v>4680</v>
      </c>
      <c r="C315" s="767">
        <f>SUM(C309:C313)</f>
        <v>234</v>
      </c>
      <c r="D315" s="767">
        <f>SUM(D309:D313)</f>
        <v>29</v>
      </c>
      <c r="E315" s="767">
        <f t="shared" ref="E315" si="47">SUM(E309:E313)</f>
        <v>51</v>
      </c>
      <c r="F315" s="767">
        <f>SUM(F309:F313)</f>
        <v>80</v>
      </c>
      <c r="G315" s="767">
        <f>SUM(G309:G313)</f>
        <v>119</v>
      </c>
      <c r="H315" s="767">
        <f>SUM(H309:H313)</f>
        <v>-33</v>
      </c>
      <c r="I315" s="768">
        <f>F315/C315</f>
        <v>0.34188034188034189</v>
      </c>
      <c r="J315" s="557"/>
      <c r="K315" s="557"/>
      <c r="L315" s="557"/>
      <c r="M315" s="557"/>
      <c r="N315" s="557"/>
      <c r="O315" s="557"/>
      <c r="P315" s="557"/>
      <c r="Q315" s="557"/>
    </row>
  </sheetData>
  <mergeCells count="29">
    <mergeCell ref="BF1:BW1"/>
    <mergeCell ref="C74:F74"/>
    <mergeCell ref="T1:AK1"/>
    <mergeCell ref="AM1:BD1"/>
    <mergeCell ref="A1:R1"/>
    <mergeCell ref="C39:F39"/>
    <mergeCell ref="G39:J39"/>
    <mergeCell ref="K39:N39"/>
    <mergeCell ref="O39:R39"/>
    <mergeCell ref="A117:C117"/>
    <mergeCell ref="A124:C124"/>
    <mergeCell ref="A134:C134"/>
    <mergeCell ref="A186:C186"/>
    <mergeCell ref="A193:C193"/>
    <mergeCell ref="A144:C144"/>
    <mergeCell ref="A154:C154"/>
    <mergeCell ref="A162:C162"/>
    <mergeCell ref="A170:C170"/>
    <mergeCell ref="A178:C178"/>
    <mergeCell ref="A202:C202"/>
    <mergeCell ref="B218:C218"/>
    <mergeCell ref="B223:C223"/>
    <mergeCell ref="A226:C226"/>
    <mergeCell ref="A265:C265"/>
    <mergeCell ref="A276:C276"/>
    <mergeCell ref="A283:C283"/>
    <mergeCell ref="A294:C294"/>
    <mergeCell ref="A236:C236"/>
    <mergeCell ref="A247:C247"/>
  </mergeCells>
  <hyperlinks>
    <hyperlink ref="B22" r:id="rId1" display="https://hokej.cz/hrac/14150" xr:uid="{00000000-0004-0000-1000-000000000000}"/>
    <hyperlink ref="B10" r:id="rId2" display="https://hokej.cz/hrac/10099336" xr:uid="{00000000-0004-0000-1000-000001000000}"/>
    <hyperlink ref="B26" r:id="rId3" display="https://hokej.cz/hrac/11188" xr:uid="{00000000-0004-0000-1000-000002000000}"/>
    <hyperlink ref="B4" r:id="rId4" display="https://hokej.cz/hrac/7229427" xr:uid="{00000000-0004-0000-1000-000003000000}"/>
    <hyperlink ref="B29" r:id="rId5" display="https://hokej.cz/hrac/1741" xr:uid="{00000000-0004-0000-1000-000004000000}"/>
    <hyperlink ref="B3" r:id="rId6" display="https://hokej.cz/hrac/318533" xr:uid="{00000000-0004-0000-1000-000005000000}"/>
    <hyperlink ref="B9" r:id="rId7" display="https://hokej.cz/hrac/2955" xr:uid="{00000000-0004-0000-1000-000006000000}"/>
    <hyperlink ref="B16" r:id="rId8" display="https://hokej.cz/hrac/9447" xr:uid="{00000000-0004-0000-1000-000007000000}"/>
    <hyperlink ref="B24" r:id="rId9" display="https://hokej.cz/hrac/11296" xr:uid="{00000000-0004-0000-1000-000008000000}"/>
    <hyperlink ref="B14" r:id="rId10" display="https://hokej.cz/hrac/11291" xr:uid="{00000000-0004-0000-1000-000009000000}"/>
    <hyperlink ref="B27" r:id="rId11" display="https://hokej.cz/hrac/8607" xr:uid="{00000000-0004-0000-1000-00000A000000}"/>
    <hyperlink ref="B28" r:id="rId12" display="https://hokej.cz/hrac/10083188" xr:uid="{00000000-0004-0000-1000-00000B000000}"/>
    <hyperlink ref="B21" r:id="rId13" display="https://hokej.cz/hrac/14369" xr:uid="{00000000-0004-0000-1000-00000C000000}"/>
    <hyperlink ref="B13" r:id="rId14" display="https://hokej.cz/hrac/10077692" xr:uid="{00000000-0004-0000-1000-00000D000000}"/>
    <hyperlink ref="B23" r:id="rId15" display="https://hokej.cz/hrac/10096884" xr:uid="{00000000-0004-0000-1000-00000E000000}"/>
    <hyperlink ref="B25" r:id="rId16" display="https://hokej.cz/hrac/29031" xr:uid="{00000000-0004-0000-1000-00000F000000}"/>
    <hyperlink ref="B6" r:id="rId17" display="https://hokej.cz/hrac/51841" xr:uid="{00000000-0004-0000-1000-000010000000}"/>
    <hyperlink ref="B15" r:id="rId18" display="https://hokej.cz/hrac/17112" xr:uid="{00000000-0004-0000-1000-000011000000}"/>
    <hyperlink ref="B19" r:id="rId19" display="https://hokej.cz/hrac/10079354" xr:uid="{00000000-0004-0000-1000-000012000000}"/>
    <hyperlink ref="B11" r:id="rId20" display="https://hokej.cz/hrac/13198" xr:uid="{00000000-0004-0000-1000-000013000000}"/>
    <hyperlink ref="B8" r:id="rId21" display="https://hokej.cz/hrac/13437" xr:uid="{00000000-0004-0000-1000-000014000000}"/>
    <hyperlink ref="B12" r:id="rId22" display="https://hokej.cz/hrac/15400" xr:uid="{00000000-0004-0000-1000-000015000000}"/>
    <hyperlink ref="B17" r:id="rId23" display="https://hokej.cz/hrac/2491887" xr:uid="{00000000-0004-0000-1000-000016000000}"/>
    <hyperlink ref="B7" r:id="rId24" display="https://hokej.cz/hrac/17113" xr:uid="{00000000-0004-0000-1000-000017000000}"/>
    <hyperlink ref="B20" r:id="rId25" display="https://hokej.cz/hrac/11273" xr:uid="{00000000-0004-0000-1000-000018000000}"/>
    <hyperlink ref="B18" r:id="rId26" display="https://hokej.cz/hrac/10099509" xr:uid="{00000000-0004-0000-1000-000019000000}"/>
    <hyperlink ref="B5" r:id="rId27" display="https://hokej.cz/hrac/13305" xr:uid="{00000000-0004-0000-1000-00001A000000}"/>
    <hyperlink ref="U22" r:id="rId28" display="https://www.hokej.cz/hrac/14150" xr:uid="{00000000-0004-0000-1000-00001B000000}"/>
    <hyperlink ref="U10" r:id="rId29" display="https://www.hokej.cz/hrac/10099336" xr:uid="{00000000-0004-0000-1000-00001C000000}"/>
    <hyperlink ref="U26" r:id="rId30" display="https://www.hokej.cz/hrac/11188" xr:uid="{00000000-0004-0000-1000-00001D000000}"/>
    <hyperlink ref="U29" r:id="rId31" display="https://www.hokej.cz/hrac/1741" xr:uid="{00000000-0004-0000-1000-00001E000000}"/>
    <hyperlink ref="U28" r:id="rId32" display="https://www.hokej.cz/hrac/10083188" xr:uid="{00000000-0004-0000-1000-00001F000000}"/>
    <hyperlink ref="U21" r:id="rId33" display="https://www.hokej.cz/hrac/14369" xr:uid="{00000000-0004-0000-1000-000020000000}"/>
    <hyperlink ref="U4" r:id="rId34" display="https://www.hokej.cz/hrac/7229427" xr:uid="{00000000-0004-0000-1000-000021000000}"/>
    <hyperlink ref="U24" r:id="rId35" display="https://www.hokej.cz/hrac/11296" xr:uid="{00000000-0004-0000-1000-000022000000}"/>
    <hyperlink ref="U3" r:id="rId36" display="https://www.hokej.cz/hrac/318533" xr:uid="{00000000-0004-0000-1000-000023000000}"/>
    <hyperlink ref="U9" r:id="rId37" display="https://www.hokej.cz/hrac/2955" xr:uid="{00000000-0004-0000-1000-000024000000}"/>
    <hyperlink ref="U16" r:id="rId38" display="https://www.hokej.cz/hrac/9447" xr:uid="{00000000-0004-0000-1000-000025000000}"/>
    <hyperlink ref="U14" r:id="rId39" display="https://www.hokej.cz/hrac/11291" xr:uid="{00000000-0004-0000-1000-000026000000}"/>
    <hyperlink ref="U36" r:id="rId40" display="https://www.hokej.cz/hrac/18941" xr:uid="{00000000-0004-0000-1000-000027000000}"/>
    <hyperlink ref="U27" r:id="rId41" display="https://www.hokej.cz/hrac/8607" xr:uid="{00000000-0004-0000-1000-000028000000}"/>
    <hyperlink ref="U18" r:id="rId42" display="https://www.hokej.cz/hrac/10099509" xr:uid="{00000000-0004-0000-1000-000029000000}"/>
    <hyperlink ref="U25" r:id="rId43" display="https://www.hokej.cz/hrac/29031" xr:uid="{00000000-0004-0000-1000-00002A000000}"/>
    <hyperlink ref="U23" r:id="rId44" display="https://www.hokej.cz/hrac/10096884" xr:uid="{00000000-0004-0000-1000-00002B000000}"/>
    <hyperlink ref="U19" r:id="rId45" display="https://www.hokej.cz/hrac/10079354" xr:uid="{00000000-0004-0000-1000-00002C000000}"/>
    <hyperlink ref="U13" r:id="rId46" display="https://www.hokej.cz/hrac/10077692" xr:uid="{00000000-0004-0000-1000-00002D000000}"/>
    <hyperlink ref="U8" r:id="rId47" display="https://www.hokej.cz/hrac/13437" xr:uid="{00000000-0004-0000-1000-00002E000000}"/>
    <hyperlink ref="U6" r:id="rId48" display="https://www.hokej.cz/hrac/51841" xr:uid="{00000000-0004-0000-1000-00002F000000}"/>
    <hyperlink ref="U17" r:id="rId49" display="https://www.hokej.cz/hrac/2491887" xr:uid="{00000000-0004-0000-1000-000030000000}"/>
    <hyperlink ref="U15" r:id="rId50" display="https://www.hokej.cz/hrac/17112" xr:uid="{00000000-0004-0000-1000-000031000000}"/>
    <hyperlink ref="U20" r:id="rId51" display="https://www.hokej.cz/hrac/11273" xr:uid="{00000000-0004-0000-1000-000032000000}"/>
    <hyperlink ref="U12" r:id="rId52" display="https://www.hokej.cz/hrac/15400" xr:uid="{00000000-0004-0000-1000-000033000000}"/>
    <hyperlink ref="U11" r:id="rId53" display="https://www.hokej.cz/hrac/13198" xr:uid="{00000000-0004-0000-1000-000034000000}"/>
    <hyperlink ref="U7" r:id="rId54" display="https://www.hokej.cz/hrac/17113" xr:uid="{00000000-0004-0000-1000-000035000000}"/>
    <hyperlink ref="U34" r:id="rId55" display="https://www.hokej.cz/hrac/14465" xr:uid="{00000000-0004-0000-1000-000036000000}"/>
    <hyperlink ref="U5" r:id="rId56" display="https://www.hokej.cz/hrac/13305" xr:uid="{00000000-0004-0000-1000-000037000000}"/>
    <hyperlink ref="AN10" r:id="rId57" display="https://www.hokej.cz/hrac/10099336" xr:uid="{00000000-0004-0000-1000-000038000000}"/>
    <hyperlink ref="AN22" r:id="rId58" display="https://www.hokej.cz/hrac/14150" xr:uid="{00000000-0004-0000-1000-000039000000}"/>
    <hyperlink ref="AN29" r:id="rId59" display="https://www.hokej.cz/hrac/1741" xr:uid="{00000000-0004-0000-1000-00003A000000}"/>
    <hyperlink ref="AN26" r:id="rId60" display="https://www.hokej.cz/hrac/11188" xr:uid="{00000000-0004-0000-1000-00003B000000}"/>
    <hyperlink ref="AN4" r:id="rId61" display="https://www.hokej.cz/hrac/7229427" xr:uid="{00000000-0004-0000-1000-00003C000000}"/>
    <hyperlink ref="AN28" r:id="rId62" display="https://www.hokej.cz/hrac/10083188" xr:uid="{00000000-0004-0000-1000-00003D000000}"/>
    <hyperlink ref="AN3" r:id="rId63" display="https://www.hokej.cz/hrac/318533" xr:uid="{00000000-0004-0000-1000-00003E000000}"/>
    <hyperlink ref="AN24" r:id="rId64" display="https://www.hokej.cz/hrac/11296" xr:uid="{00000000-0004-0000-1000-00003F000000}"/>
    <hyperlink ref="AN21" r:id="rId65" display="https://www.hokej.cz/hrac/14369" xr:uid="{00000000-0004-0000-1000-000040000000}"/>
    <hyperlink ref="AN9" r:id="rId66" display="https://www.hokej.cz/hrac/2955" xr:uid="{00000000-0004-0000-1000-000041000000}"/>
    <hyperlink ref="AN16" r:id="rId67" display="https://www.hokej.cz/hrac/9447" xr:uid="{00000000-0004-0000-1000-000042000000}"/>
    <hyperlink ref="AN14" r:id="rId68" display="https://www.hokej.cz/hrac/11291" xr:uid="{00000000-0004-0000-1000-000043000000}"/>
    <hyperlink ref="AN36" r:id="rId69" display="https://www.hokej.cz/hrac/18941" xr:uid="{00000000-0004-0000-1000-000044000000}"/>
    <hyperlink ref="AN23" r:id="rId70" display="https://www.hokej.cz/hrac/10096884" xr:uid="{00000000-0004-0000-1000-000045000000}"/>
    <hyperlink ref="AN25" r:id="rId71" display="https://www.hokej.cz/hrac/29031" xr:uid="{00000000-0004-0000-1000-000046000000}"/>
    <hyperlink ref="AN27" r:id="rId72" display="https://www.hokej.cz/hrac/8607" xr:uid="{00000000-0004-0000-1000-000047000000}"/>
    <hyperlink ref="AN17" r:id="rId73" display="https://www.hokej.cz/hrac/2491887" xr:uid="{00000000-0004-0000-1000-000048000000}"/>
    <hyperlink ref="AN18" r:id="rId74" display="https://www.hokej.cz/hrac/10099509" xr:uid="{00000000-0004-0000-1000-000049000000}"/>
    <hyperlink ref="AN11" r:id="rId75" display="https://www.hokej.cz/hrac/13198" xr:uid="{00000000-0004-0000-1000-00004A000000}"/>
    <hyperlink ref="AN19" r:id="rId76" display="https://www.hokej.cz/hrac/10079354" xr:uid="{00000000-0004-0000-1000-00004B000000}"/>
    <hyperlink ref="AN12" r:id="rId77" display="https://www.hokej.cz/hrac/15400" xr:uid="{00000000-0004-0000-1000-00004C000000}"/>
    <hyperlink ref="AN13" r:id="rId78" display="https://www.hokej.cz/hrac/10077692" xr:uid="{00000000-0004-0000-1000-00004D000000}"/>
    <hyperlink ref="AN15" r:id="rId79" display="https://www.hokej.cz/hrac/17112" xr:uid="{00000000-0004-0000-1000-00004E000000}"/>
    <hyperlink ref="AN8" r:id="rId80" display="https://www.hokej.cz/hrac/13437" xr:uid="{00000000-0004-0000-1000-00004F000000}"/>
    <hyperlink ref="AN35" r:id="rId81" display="https://www.hokej.cz/hrac/13792" xr:uid="{00000000-0004-0000-1000-000050000000}"/>
    <hyperlink ref="AN6" r:id="rId82" display="https://www.hokej.cz/hrac/51841" xr:uid="{00000000-0004-0000-1000-000051000000}"/>
    <hyperlink ref="AN32" r:id="rId83" display="https://www.hokej.cz/hrac/51601" xr:uid="{00000000-0004-0000-1000-000052000000}"/>
    <hyperlink ref="AN20" r:id="rId84" display="https://www.hokej.cz/hrac/11273" xr:uid="{00000000-0004-0000-1000-000053000000}"/>
    <hyperlink ref="AN5" r:id="rId85" display="https://www.hokej.cz/hrac/13305" xr:uid="{00000000-0004-0000-1000-000054000000}"/>
    <hyperlink ref="AN33" r:id="rId86" display="https://www.hokej.cz/hrac/10079423" xr:uid="{00000000-0004-0000-1000-000055000000}"/>
    <hyperlink ref="AN34" r:id="rId87" display="https://www.hokej.cz/hrac/14465" xr:uid="{00000000-0004-0000-1000-000056000000}"/>
    <hyperlink ref="AN7" r:id="rId88" display="https://www.hokej.cz/hrac/17113" xr:uid="{00000000-0004-0000-1000-000057000000}"/>
    <hyperlink ref="BG10" r:id="rId89" display="https://www.hokej.cz/hrac/10099336" xr:uid="{00000000-0004-0000-1000-000058000000}"/>
    <hyperlink ref="BG22" r:id="rId90" display="https://www.hokej.cz/hrac/14150" xr:uid="{00000000-0004-0000-1000-000059000000}"/>
    <hyperlink ref="BG3" r:id="rId91" display="https://www.hokej.cz/hrac/318533" xr:uid="{00000000-0004-0000-1000-00005A000000}"/>
    <hyperlink ref="BG26" r:id="rId92" display="https://www.hokej.cz/hrac/11188" xr:uid="{00000000-0004-0000-1000-00005B000000}"/>
    <hyperlink ref="BG29" r:id="rId93" display="https://www.hokej.cz/hrac/1741" xr:uid="{00000000-0004-0000-1000-00005C000000}"/>
    <hyperlink ref="BG4" r:id="rId94" display="https://www.hokej.cz/hrac/7229427" xr:uid="{00000000-0004-0000-1000-00005D000000}"/>
    <hyperlink ref="BG28" r:id="rId95" display="https://www.hokej.cz/hrac/10083188" xr:uid="{00000000-0004-0000-1000-00005E000000}"/>
    <hyperlink ref="BG24" r:id="rId96" display="https://www.hokej.cz/hrac/11296" xr:uid="{00000000-0004-0000-1000-00005F000000}"/>
    <hyperlink ref="BG21" r:id="rId97" display="https://www.hokej.cz/hrac/14369" xr:uid="{00000000-0004-0000-1000-000060000000}"/>
    <hyperlink ref="BG16" r:id="rId98" display="https://www.hokej.cz/hrac/9447" xr:uid="{00000000-0004-0000-1000-000061000000}"/>
    <hyperlink ref="BG9" r:id="rId99" display="https://www.hokej.cz/hrac/2955" xr:uid="{00000000-0004-0000-1000-000062000000}"/>
    <hyperlink ref="BG14" r:id="rId100" display="https://www.hokej.cz/hrac/11291" xr:uid="{00000000-0004-0000-1000-000063000000}"/>
    <hyperlink ref="BG17" r:id="rId101" display="https://www.hokej.cz/hrac/2491887" xr:uid="{00000000-0004-0000-1000-000064000000}"/>
    <hyperlink ref="BG25" r:id="rId102" display="https://www.hokej.cz/hrac/29031" xr:uid="{00000000-0004-0000-1000-000065000000}"/>
    <hyperlink ref="BG23" r:id="rId103" display="https://www.hokej.cz/hrac/10096884" xr:uid="{00000000-0004-0000-1000-000066000000}"/>
    <hyperlink ref="BG36" r:id="rId104" display="https://www.hokej.cz/hrac/18941" xr:uid="{00000000-0004-0000-1000-000067000000}"/>
    <hyperlink ref="BG11" r:id="rId105" display="https://www.hokej.cz/hrac/13198" xr:uid="{00000000-0004-0000-1000-000068000000}"/>
    <hyperlink ref="BG35" r:id="rId106" display="https://www.hokej.cz/hrac/13792" xr:uid="{00000000-0004-0000-1000-000069000000}"/>
    <hyperlink ref="BG8" r:id="rId107" display="https://www.hokej.cz/hrac/13437" xr:uid="{00000000-0004-0000-1000-00006A000000}"/>
    <hyperlink ref="BG27" r:id="rId108" display="https://www.hokej.cz/hrac/8607" xr:uid="{00000000-0004-0000-1000-00006B000000}"/>
    <hyperlink ref="BG15" r:id="rId109" display="https://www.hokej.cz/hrac/17112" xr:uid="{00000000-0004-0000-1000-00006C000000}"/>
    <hyperlink ref="BG18" r:id="rId110" display="https://www.hokej.cz/hrac/10099509" xr:uid="{00000000-0004-0000-1000-00006D000000}"/>
    <hyperlink ref="BG19" r:id="rId111" display="https://www.hokej.cz/hrac/10079354" xr:uid="{00000000-0004-0000-1000-00006E000000}"/>
    <hyperlink ref="BG12" r:id="rId112" display="https://www.hokej.cz/hrac/15400" xr:uid="{00000000-0004-0000-1000-00006F000000}"/>
    <hyperlink ref="BG13" r:id="rId113" display="https://www.hokej.cz/hrac/10077692" xr:uid="{00000000-0004-0000-1000-000070000000}"/>
    <hyperlink ref="BG5" r:id="rId114" display="https://www.hokej.cz/hrac/13305" xr:uid="{00000000-0004-0000-1000-000071000000}"/>
    <hyperlink ref="BG6" r:id="rId115" display="https://www.hokej.cz/hrac/51841" xr:uid="{00000000-0004-0000-1000-000072000000}"/>
    <hyperlink ref="BG32" r:id="rId116" display="https://www.hokej.cz/hrac/51601" xr:uid="{00000000-0004-0000-1000-000073000000}"/>
    <hyperlink ref="BG20" r:id="rId117" display="https://www.hokej.cz/hrac/11273" xr:uid="{00000000-0004-0000-1000-000074000000}"/>
    <hyperlink ref="BG34" r:id="rId118" display="https://www.hokej.cz/hrac/14465" xr:uid="{00000000-0004-0000-1000-000075000000}"/>
    <hyperlink ref="BG7" r:id="rId119" display="https://www.hokej.cz/hrac/17113" xr:uid="{00000000-0004-0000-1000-000076000000}"/>
    <hyperlink ref="BG33" r:id="rId120" display="https://www.hokej.cz/hrac/10079423" xr:uid="{00000000-0004-0000-1000-000077000000}"/>
    <hyperlink ref="B118" r:id="rId121" display="https://www.eliteprospects.com/team/700/bili-tygri-liberec/2018-2019?tab=stats" xr:uid="{00000000-0004-0000-1000-000078000000}"/>
    <hyperlink ref="C118" r:id="rId122" display="https://www.eliteprospects.com/league/czech/stats/2018-2019" xr:uid="{00000000-0004-0000-1000-000079000000}"/>
    <hyperlink ref="K118" r:id="rId123" display="https://www.eliteprospects.com/league/czech/stats/2018-2019/playoffs" xr:uid="{00000000-0004-0000-1000-00007A000000}"/>
    <hyperlink ref="B119" r:id="rId124" display="https://www.eliteprospects.com/team/153/hc-energie-karlovy-vary/2019-2020?tab=stats" xr:uid="{00000000-0004-0000-1000-00007B000000}"/>
    <hyperlink ref="C119" r:id="rId125" display="https://www.eliteprospects.com/league/czech/stats/2019-2020" xr:uid="{00000000-0004-0000-1000-00007C000000}"/>
    <hyperlink ref="K119" r:id="rId126" display="https://www.eliteprospects.com/league/czech/stats/2019-2020/playoffs" xr:uid="{00000000-0004-0000-1000-00007D000000}"/>
    <hyperlink ref="B120" r:id="rId127" display="https://www.eliteprospects.com/team/637/hc-plzen/2020-2021?tab=stats" xr:uid="{00000000-0004-0000-1000-00007E000000}"/>
    <hyperlink ref="C120" r:id="rId128" display="https://www.eliteprospects.com/league/czech/stats/2020-2021" xr:uid="{00000000-0004-0000-1000-00007F000000}"/>
    <hyperlink ref="K120" r:id="rId129" display="https://www.eliteprospects.com/league/czech/stats/2020-2021/playoffs" xr:uid="{00000000-0004-0000-1000-000080000000}"/>
    <hyperlink ref="B125" r:id="rId130" display="https://www.eliteprospects.com/team/772/hc-vitkovice/2018-2019?tab=stats" xr:uid="{00000000-0004-0000-1000-000081000000}"/>
    <hyperlink ref="C125" r:id="rId131" display="https://www.eliteprospects.com/league/czech/stats/2018-2019" xr:uid="{00000000-0004-0000-1000-000082000000}"/>
    <hyperlink ref="K125" r:id="rId132" display="https://www.eliteprospects.com/league/czech/stats/2018-2019" xr:uid="{00000000-0004-0000-1000-000083000000}"/>
    <hyperlink ref="B126" r:id="rId133" display="https://www.eliteprospects.com/team/185/amur-khabarovsk/2018-2019?tab=stats" xr:uid="{00000000-0004-0000-1000-000084000000}"/>
    <hyperlink ref="C126" r:id="rId134" display="https://www.eliteprospects.com/league/khl/stats/2018-2019" xr:uid="{00000000-0004-0000-1000-000085000000}"/>
    <hyperlink ref="B127" r:id="rId135" display="https://www.eliteprospects.com/team/9763/czech-republic-all/2018-2019?tab=stats" xr:uid="{00000000-0004-0000-1000-000086000000}"/>
    <hyperlink ref="C127" r:id="rId136" display="https://www.eliteprospects.com/league/international/stats/2018-2019" xr:uid="{00000000-0004-0000-1000-000087000000}"/>
    <hyperlink ref="K127" r:id="rId137" display="https://www.eliteprospects.com/league/international/stats/2018-2019" xr:uid="{00000000-0004-0000-1000-000088000000}"/>
    <hyperlink ref="B128" r:id="rId138" display="https://www.eliteprospects.com/team/699/bk-mlada-boleslav/2019-2020?tab=stats" xr:uid="{00000000-0004-0000-1000-000089000000}"/>
    <hyperlink ref="C128" r:id="rId139" display="https://www.eliteprospects.com/league/czech/stats/2019-2020" xr:uid="{00000000-0004-0000-1000-00008A000000}"/>
    <hyperlink ref="B129" r:id="rId140" display="https://www.eliteprospects.com/team/9763/czech-republic-all/2019-2020?tab=stats" xr:uid="{00000000-0004-0000-1000-00008B000000}"/>
    <hyperlink ref="C129" r:id="rId141" display="https://www.eliteprospects.com/league/international/stats/2019-2020" xr:uid="{00000000-0004-0000-1000-00008C000000}"/>
    <hyperlink ref="K129" r:id="rId142" display="https://www.eliteprospects.com/league/international/stats/2019-2020" xr:uid="{00000000-0004-0000-1000-00008D000000}"/>
    <hyperlink ref="B130" r:id="rId143" display="https://www.eliteprospects.com/team/699/bk-mlada-boleslav/2020-2021?tab=stats" xr:uid="{00000000-0004-0000-1000-00008E000000}"/>
    <hyperlink ref="C130" r:id="rId144" display="https://www.eliteprospects.com/league/czech/stats/2020-2021" xr:uid="{00000000-0004-0000-1000-00008F000000}"/>
    <hyperlink ref="K130" r:id="rId145" display="https://www.eliteprospects.com/league/czech/stats/2020-2021/playoffs" xr:uid="{00000000-0004-0000-1000-000090000000}"/>
    <hyperlink ref="B135" r:id="rId146" display="https://www.eliteprospects.com/team/1342/lhk-jestrabi-prostejov/2018-2019?tab=stats" xr:uid="{00000000-0004-0000-1000-000091000000}"/>
    <hyperlink ref="C135" r:id="rId147" display="https://www.eliteprospects.com/league/czech2/stats/2018-2019" xr:uid="{00000000-0004-0000-1000-000092000000}"/>
    <hyperlink ref="K135" r:id="rId148" display="https://www.eliteprospects.com/league/czech2/stats/2018-2019/playoffs" xr:uid="{00000000-0004-0000-1000-000093000000}"/>
    <hyperlink ref="B136" r:id="rId149" display="https://www.eliteprospects.com/team/159/hc-dynamo-pardubice/2018-2019?tab=stats" xr:uid="{00000000-0004-0000-1000-000094000000}"/>
    <hyperlink ref="C136" r:id="rId150" display="https://www.eliteprospects.com/league/czech/stats/2018-2019" xr:uid="{00000000-0004-0000-1000-000095000000}"/>
    <hyperlink ref="K136" r:id="rId151" display="https://www.eliteprospects.com/league/czech/stats/2018-2019" xr:uid="{00000000-0004-0000-1000-000096000000}"/>
    <hyperlink ref="B137" r:id="rId152" display="https://www.eliteprospects.com/team/1163/hc-dukla-jihlava/2019-2020?tab=stats" xr:uid="{00000000-0004-0000-1000-000097000000}"/>
    <hyperlink ref="C137" r:id="rId153" display="https://www.eliteprospects.com/league/czech2/stats/2019-2020" xr:uid="{00000000-0004-0000-1000-000098000000}"/>
    <hyperlink ref="K137" r:id="rId154" display="https://www.eliteprospects.com/league/czech2/stats/2019-2020/playoffs" xr:uid="{00000000-0004-0000-1000-000099000000}"/>
    <hyperlink ref="C138" r:id="rId155" display="https://www.eliteprospects.com/league/czech2/stats/2020-2021" xr:uid="{00000000-0004-0000-1000-00009A000000}"/>
    <hyperlink ref="K138" r:id="rId156" display="https://www.eliteprospects.com/league/czech2/stats/2020-2021/playoffs" xr:uid="{00000000-0004-0000-1000-00009B000000}"/>
    <hyperlink ref="K139" r:id="rId157" display="https://www.eliteprospects.com/league/czech/stats/2020-2021" xr:uid="{00000000-0004-0000-1000-00009C000000}"/>
    <hyperlink ref="C139" r:id="rId158" display="https://www.eliteprospects.com/league/czech/stats/2020-2021" xr:uid="{00000000-0004-0000-1000-00009D000000}"/>
    <hyperlink ref="B139" r:id="rId159" display="https://www.eliteprospects.com/team/155/hc-litvinov/2020-2021?tab=stats" xr:uid="{00000000-0004-0000-1000-00009E000000}"/>
    <hyperlink ref="B138" r:id="rId160" display="https://www.eliteprospects.com/team/1163/hc-dukla-jihlava/2019-2020?tab=stats" xr:uid="{00000000-0004-0000-1000-00009F000000}"/>
    <hyperlink ref="B131" r:id="rId161" display="https://www.eliteprospects.com/team/155/hc-verva-litvinov/2021-2022?tab=stats" xr:uid="{00000000-0004-0000-1000-0000A0000000}"/>
    <hyperlink ref="C131" r:id="rId162" display="https://www.eliteprospects.com/league/czechia/stats/2021-2022" xr:uid="{00000000-0004-0000-1000-0000A1000000}"/>
    <hyperlink ref="B121" r:id="rId163" display="https://www.eliteprospects.com/team/155/hc-verva-litvinov/2021-2022?tab=stats" xr:uid="{00000000-0004-0000-1000-0000A2000000}"/>
    <hyperlink ref="C121" r:id="rId164" display="https://www.eliteprospects.com/league/czechia/stats/2021-2022" xr:uid="{00000000-0004-0000-1000-0000A3000000}"/>
    <hyperlink ref="B140" r:id="rId165" display="https://www.eliteprospects.com/team/155/hc-verva-litvinov/2021-2022?tab=stats" xr:uid="{00000000-0004-0000-1000-0000A4000000}"/>
    <hyperlink ref="C140" r:id="rId166" display="https://www.eliteprospects.com/league/czechia/stats/2021-2022" xr:uid="{00000000-0004-0000-1000-0000A5000000}"/>
    <hyperlink ref="B145" r:id="rId167" display="https://www.eliteprospects.com/team/15659/mountfield-hk/2018-2019?tab=stats" xr:uid="{00000000-0004-0000-1000-0000A6000000}"/>
    <hyperlink ref="C145" r:id="rId168" display="https://www.eliteprospects.com/league/czechia/stats/2018-2019" xr:uid="{00000000-0004-0000-1000-0000A7000000}"/>
    <hyperlink ref="K145" r:id="rId169" display="https://www.eliteprospects.com/league/czechia/stats/2018-2019/playoffs" xr:uid="{00000000-0004-0000-1000-0000A8000000}"/>
    <hyperlink ref="B146" r:id="rId170" display="https://www.eliteprospects.com/team/15659/mountfield-hk/2019-2020?tab=stats" xr:uid="{00000000-0004-0000-1000-0000A9000000}"/>
    <hyperlink ref="C146" r:id="rId171" display="https://www.eliteprospects.com/league/czechia/stats/2019-2020" xr:uid="{00000000-0004-0000-1000-0000AA000000}"/>
    <hyperlink ref="K146" r:id="rId172" display="https://www.eliteprospects.com/league/czechia/stats/2019-2020/playoffs" xr:uid="{00000000-0004-0000-1000-0000AB000000}"/>
    <hyperlink ref="B147" r:id="rId173" display="https://www.eliteprospects.com/team/1418/sk-trha%C4%8Di-kada%C5%88/2019-2020?tab=stats" xr:uid="{00000000-0004-0000-1000-0000AC000000}"/>
    <hyperlink ref="C147" r:id="rId174" display="https://www.eliteprospects.com/league/czechia2/stats/2019-2020" xr:uid="{00000000-0004-0000-1000-0000AD000000}"/>
    <hyperlink ref="K147" r:id="rId175" display="https://www.eliteprospects.com/league/czechia2/stats/2019-2020" xr:uid="{00000000-0004-0000-1000-0000AE000000}"/>
    <hyperlink ref="B148" r:id="rId176" display="https://www.eliteprospects.com/team/15659/mountfield-hk/2020-2021?tab=stats" xr:uid="{00000000-0004-0000-1000-0000AF000000}"/>
    <hyperlink ref="C148" r:id="rId177" display="https://www.eliteprospects.com/league/czechia/stats/2020-2021" xr:uid="{00000000-0004-0000-1000-0000B0000000}"/>
    <hyperlink ref="K148" r:id="rId178" display="https://www.eliteprospects.com/league/czechia/stats/2020-2021" xr:uid="{00000000-0004-0000-1000-0000B1000000}"/>
    <hyperlink ref="B149" r:id="rId179" display="https://www.eliteprospects.com/team/825/rockford-icehogs/2020-2021?tab=stats" xr:uid="{00000000-0004-0000-1000-0000B2000000}"/>
    <hyperlink ref="C149" r:id="rId180" display="https://www.eliteprospects.com/league/ahl/stats/2020-2021" xr:uid="{00000000-0004-0000-1000-0000B3000000}"/>
    <hyperlink ref="K149" r:id="rId181" display="https://www.eliteprospects.com/league/ahl/stats/2020-2021" xr:uid="{00000000-0004-0000-1000-0000B4000000}"/>
    <hyperlink ref="B150" r:id="rId182" display="https://www.eliteprospects.com/team/155/hc-verva-litvinov/2021-2022?tab=stats" xr:uid="{00000000-0004-0000-1000-0000B5000000}"/>
    <hyperlink ref="C150" r:id="rId183" display="https://www.eliteprospects.com/league/czechia/stats/2021-2022" xr:uid="{00000000-0004-0000-1000-0000B6000000}"/>
    <hyperlink ref="C155" r:id="rId184" display="https://www.eliteprospects.com/league/czechia/stats/2018-2019" xr:uid="{00000000-0004-0000-1000-0000B7000000}"/>
    <hyperlink ref="K155" r:id="rId185" display="https://www.eliteprospects.com/league/czechia/stats/2018-2019/relegation" xr:uid="{00000000-0004-0000-1000-0000B8000000}"/>
    <hyperlink ref="C156" r:id="rId186" display="https://www.eliteprospects.com/league/czechia/stats/2019-2020" xr:uid="{00000000-0004-0000-1000-0000B9000000}"/>
    <hyperlink ref="C157" r:id="rId187" display="https://www.eliteprospects.com/league/czechia/stats/2020-2021" xr:uid="{00000000-0004-0000-1000-0000BA000000}"/>
    <hyperlink ref="K157" r:id="rId188" display="https://www.eliteprospects.com/league/czechia/stats/2020-2021/playoffs" xr:uid="{00000000-0004-0000-1000-0000BB000000}"/>
    <hyperlink ref="C158" r:id="rId189" display="https://www.eliteprospects.com/league/czechia/stats/2021-2022" xr:uid="{00000000-0004-0000-1000-0000BC000000}"/>
    <hyperlink ref="B163" r:id="rId190" display="https://www.eliteprospects.com/team/155/hc-verva-litvinov/2018-2019?tab=stats" xr:uid="{00000000-0004-0000-1000-0000BD000000}"/>
    <hyperlink ref="C163" r:id="rId191" display="https://www.eliteprospects.com/league/czechia/stats/2018-2019" xr:uid="{00000000-0004-0000-1000-0000BE000000}"/>
    <hyperlink ref="K163" r:id="rId192" display="https://www.eliteprospects.com/league/czechia/stats/2018-2019/relegation" xr:uid="{00000000-0004-0000-1000-0000BF000000}"/>
    <hyperlink ref="B164" r:id="rId193" display="https://www.eliteprospects.com/team/155/hc-verva-litvinov/2019-2020?tab=stats" xr:uid="{00000000-0004-0000-1000-0000C0000000}"/>
    <hyperlink ref="C164" r:id="rId194" display="https://www.eliteprospects.com/league/czechia/stats/2019-2020" xr:uid="{00000000-0004-0000-1000-0000C1000000}"/>
    <hyperlink ref="B165" r:id="rId195" display="https://www.eliteprospects.com/team/155/hc-verva-litvinov/2020-2021?tab=stats" xr:uid="{00000000-0004-0000-1000-0000C2000000}"/>
    <hyperlink ref="C165" r:id="rId196" display="https://www.eliteprospects.com/league/czechia/stats/2020-2021" xr:uid="{00000000-0004-0000-1000-0000C3000000}"/>
    <hyperlink ref="K165" r:id="rId197" display="https://www.eliteprospects.com/league/czechia/stats/2020-2021/playoffs" xr:uid="{00000000-0004-0000-1000-0000C4000000}"/>
    <hyperlink ref="C166" r:id="rId198" display="https://www.eliteprospects.com/league/czechia/stats/2021-2022" xr:uid="{00000000-0004-0000-1000-0000C5000000}"/>
    <hyperlink ref="B171" r:id="rId199" display="https://www.eliteprospects.com/team/164/hc-sparta-praha/2018-2019?tab=stats" xr:uid="{00000000-0004-0000-1000-0000C6000000}"/>
    <hyperlink ref="C171" r:id="rId200" display="https://www.eliteprospects.com/league/czechia/stats/2018-2019" xr:uid="{00000000-0004-0000-1000-0000C7000000}"/>
    <hyperlink ref="K171" r:id="rId201" display="https://www.eliteprospects.com/league/czechia/stats/2018-2019/playoffs" xr:uid="{00000000-0004-0000-1000-0000C8000000}"/>
    <hyperlink ref="B172" r:id="rId202" display="https://www.eliteprospects.com/team/155/hc-verva-litvinov/2019-2020?tab=stats" xr:uid="{00000000-0004-0000-1000-0000C9000000}"/>
    <hyperlink ref="C172" r:id="rId203" display="https://www.eliteprospects.com/league/czechia/stats/2019-2020" xr:uid="{00000000-0004-0000-1000-0000CA000000}"/>
    <hyperlink ref="K172" r:id="rId204" display="https://www.eliteprospects.com/league/czechia/stats/2019-2020" xr:uid="{00000000-0004-0000-1000-0000CB000000}"/>
    <hyperlink ref="B173" r:id="rId205" display="https://www.eliteprospects.com/team/155/hc-verva-litvinov/2020-2021?tab=stats" xr:uid="{00000000-0004-0000-1000-0000CC000000}"/>
    <hyperlink ref="C173" r:id="rId206" display="https://www.eliteprospects.com/league/czechia/stats/2020-2021" xr:uid="{00000000-0004-0000-1000-0000CD000000}"/>
    <hyperlink ref="K173" r:id="rId207" display="https://www.eliteprospects.com/league/czechia/stats/2020-2021/playoffs" xr:uid="{00000000-0004-0000-1000-0000CE000000}"/>
    <hyperlink ref="B174" r:id="rId208" display="https://www.eliteprospects.com/team/155/hc-verva-litvinov/2021-2022?tab=stats" xr:uid="{00000000-0004-0000-1000-0000CF000000}"/>
    <hyperlink ref="C174" r:id="rId209" display="https://www.eliteprospects.com/league/czechia/stats/2021-2022" xr:uid="{00000000-0004-0000-1000-0000D0000000}"/>
    <hyperlink ref="K174" r:id="rId210" display="https://www.eliteprospects.com/league/czechia/stats/2021-2022" xr:uid="{00000000-0004-0000-1000-0000D1000000}"/>
    <hyperlink ref="B179" r:id="rId211" display="https://www.eliteprospects.com/team/155/hc-verva-litvinov/2018-2019?tab=stats" xr:uid="{00000000-0004-0000-1000-0000D2000000}"/>
    <hyperlink ref="C179" r:id="rId212" display="https://www.eliteprospects.com/league/czechia/stats/2018-2019" xr:uid="{00000000-0004-0000-1000-0000D3000000}"/>
    <hyperlink ref="K179" r:id="rId213" display="https://www.eliteprospects.com/league/czechia/stats/2018-2019" xr:uid="{00000000-0004-0000-1000-0000D4000000}"/>
    <hyperlink ref="B180" r:id="rId214" display="https://www.eliteprospects.com/team/155/hc-verva-litvinov/2019-2020?tab=stats" xr:uid="{00000000-0004-0000-1000-0000D5000000}"/>
    <hyperlink ref="C180" r:id="rId215" display="https://www.eliteprospects.com/league/czechia/stats/2019-2020" xr:uid="{00000000-0004-0000-1000-0000D6000000}"/>
    <hyperlink ref="B181" r:id="rId216" display="https://www.eliteprospects.com/team/155/hc-verva-litvinov/2020-2021?tab=stats" xr:uid="{00000000-0004-0000-1000-0000D7000000}"/>
    <hyperlink ref="C181" r:id="rId217" display="https://www.eliteprospects.com/league/czechia/stats/2020-2021" xr:uid="{00000000-0004-0000-1000-0000D8000000}"/>
    <hyperlink ref="K181" r:id="rId218" display="https://www.eliteprospects.com/league/czechia/stats/2020-2021/playoffs" xr:uid="{00000000-0004-0000-1000-0000D9000000}"/>
    <hyperlink ref="B182" r:id="rId219" display="https://www.eliteprospects.com/team/155/hc-verva-litvinov/2021-2022?tab=stats" xr:uid="{00000000-0004-0000-1000-0000DA000000}"/>
    <hyperlink ref="C182" r:id="rId220" display="https://www.eliteprospects.com/league/czechia/stats/2021-2022" xr:uid="{00000000-0004-0000-1000-0000DB000000}"/>
    <hyperlink ref="B187" r:id="rId221" display="https://www.eliteprospects.com/team/637/hc-plzen/2018-2019?tab=stats" xr:uid="{00000000-0004-0000-1000-0000DC000000}"/>
    <hyperlink ref="C187" r:id="rId222" display="https://www.eliteprospects.com/league/czech/stats/2018-2019" xr:uid="{00000000-0004-0000-1000-0000DD000000}"/>
    <hyperlink ref="K187" r:id="rId223" display="https://www.eliteprospects.com/league/czech/stats/2018-2019/playoffs" xr:uid="{00000000-0004-0000-1000-0000DE000000}"/>
    <hyperlink ref="B188" r:id="rId224" display="https://www.eliteprospects.com/team/637/hc-plzen/2019-2020?tab=stats" xr:uid="{00000000-0004-0000-1000-0000DF000000}"/>
    <hyperlink ref="C188" r:id="rId225" display="https://www.eliteprospects.com/league/czech/stats/2019-2020" xr:uid="{00000000-0004-0000-1000-0000E0000000}"/>
    <hyperlink ref="C189" r:id="rId226" display="https://www.eliteprospects.com/league/czech/stats/2020-2021" xr:uid="{00000000-0004-0000-1000-0000E1000000}"/>
    <hyperlink ref="K189" r:id="rId227" display="https://www.eliteprospects.com/league/czech/stats/2020-2021/playoffs" xr:uid="{00000000-0004-0000-1000-0000E2000000}"/>
    <hyperlink ref="B194" r:id="rId228" display="https://www.eliteprospects.com/team/164/hc-sparta-praha/2018-2019?tab=stats" xr:uid="{00000000-0004-0000-1000-0000E3000000}"/>
    <hyperlink ref="C194" r:id="rId229" display="https://www.eliteprospects.com/league/czech/stats/2018-2019" xr:uid="{00000000-0004-0000-1000-0000E4000000}"/>
    <hyperlink ref="K194" r:id="rId230" display="https://www.eliteprospects.com/league/czech/stats/2018-2019/playoffs" xr:uid="{00000000-0004-0000-1000-0000E5000000}"/>
    <hyperlink ref="B195" r:id="rId231" display="https://www.eliteprospects.com/team/12426/slovakia-all/2018-2019?tab=stats" xr:uid="{00000000-0004-0000-1000-0000E6000000}"/>
    <hyperlink ref="C195" r:id="rId232" display="https://www.eliteprospects.com/league/international/stats/2018-2019" xr:uid="{00000000-0004-0000-1000-0000E7000000}"/>
    <hyperlink ref="K195" r:id="rId233" display="https://www.eliteprospects.com/league/international/stats/2018-2019" xr:uid="{00000000-0004-0000-1000-0000E8000000}"/>
    <hyperlink ref="B196" r:id="rId234" display="https://www.eliteprospects.com/team/164/hc-sparta-praha/2019-2020?tab=stats" xr:uid="{00000000-0004-0000-1000-0000E9000000}"/>
    <hyperlink ref="C196" r:id="rId235" display="https://www.eliteprospects.com/league/czech/stats/2019-2020" xr:uid="{00000000-0004-0000-1000-0000EA000000}"/>
    <hyperlink ref="B197" r:id="rId236" display="https://www.eliteprospects.com/team/12426/slovakia-all/2019-2020?tab=stats" xr:uid="{00000000-0004-0000-1000-0000EB000000}"/>
    <hyperlink ref="C197" r:id="rId237" display="https://www.eliteprospects.com/league/international/stats/2019-2020" xr:uid="{00000000-0004-0000-1000-0000EC000000}"/>
    <hyperlink ref="K197" r:id="rId238" display="https://www.eliteprospects.com/league/international/stats/2019-2020" xr:uid="{00000000-0004-0000-1000-0000ED000000}"/>
    <hyperlink ref="B198" r:id="rId239" display="https://www.eliteprospects.com/team/164/hc-sparta-praha/2020-2021?tab=stats" xr:uid="{00000000-0004-0000-1000-0000EE000000}"/>
    <hyperlink ref="C198" r:id="rId240" display="https://www.eliteprospects.com/league/czech/stats/2020-2021" xr:uid="{00000000-0004-0000-1000-0000EF000000}"/>
    <hyperlink ref="K198" r:id="rId241" display="https://www.eliteprospects.com/league/czech/stats/2020-2021/playoffs" xr:uid="{00000000-0004-0000-1000-0000F0000000}"/>
    <hyperlink ref="B207" r:id="rId242" display="https://www.eliteprospects.com/team/164/hc-sparta-praha/2019-2020?tab=stats" xr:uid="{00000000-0004-0000-1000-0000F1000000}"/>
    <hyperlink ref="C207" r:id="rId243" display="https://www.eliteprospects.com/league/czech/stats/2019-2020" xr:uid="{00000000-0004-0000-1000-0000F2000000}"/>
    <hyperlink ref="B208" r:id="rId244" display="https://www.eliteprospects.com/team/12426/slovakia-all/2019-2020?tab=stats" xr:uid="{00000000-0004-0000-1000-0000F3000000}"/>
    <hyperlink ref="C208" r:id="rId245" display="https://www.eliteprospects.com/league/international/stats/2019-2020" xr:uid="{00000000-0004-0000-1000-0000F4000000}"/>
    <hyperlink ref="K208" r:id="rId246" display="https://www.eliteprospects.com/league/international/stats/2019-2020" xr:uid="{00000000-0004-0000-1000-0000F5000000}"/>
    <hyperlink ref="B209" r:id="rId247" display="https://www.eliteprospects.com/team/164/hc-sparta-praha/2020-2021?tab=stats" xr:uid="{00000000-0004-0000-1000-0000F6000000}"/>
    <hyperlink ref="C209" r:id="rId248" display="https://www.eliteprospects.com/league/czech/stats/2020-2021" xr:uid="{00000000-0004-0000-1000-0000F7000000}"/>
    <hyperlink ref="K209" r:id="rId249" display="https://www.eliteprospects.com/league/czech/stats/2020-2021/playoffs" xr:uid="{00000000-0004-0000-1000-0000F8000000}"/>
    <hyperlink ref="B210" r:id="rId250" display="https://www.eliteprospects.com/team/1632/slovakia/2020-2021?tab=stats" xr:uid="{00000000-0004-0000-1000-0000F9000000}"/>
    <hyperlink ref="C210" r:id="rId251" display="https://www.eliteprospects.com/league/wc/stats/2020-2021" xr:uid="{00000000-0004-0000-1000-0000FA000000}"/>
    <hyperlink ref="B203" r:id="rId252" display="https://www.eliteprospects.com/team/169/hc-slovan-bratislava/2018-2019?tab=stats" xr:uid="{00000000-0004-0000-1000-0000FB000000}"/>
    <hyperlink ref="C203" r:id="rId253" display="https://www.eliteprospects.com/league/khl/stats/2018-2019" xr:uid="{00000000-0004-0000-1000-0000FC000000}"/>
    <hyperlink ref="B204" r:id="rId254" display="https://www.eliteprospects.com/team/170/hk-32-liptovsky-mikulas/2018-2019?tab=stats" xr:uid="{00000000-0004-0000-1000-0000FD000000}"/>
    <hyperlink ref="C204" r:id="rId255" display="https://www.eliteprospects.com/league/slovakia/stats/2018-2019" xr:uid="{00000000-0004-0000-1000-0000FE000000}"/>
    <hyperlink ref="B205" r:id="rId256" display="https://www.eliteprospects.com/team/1632/slovakia/2018-2019?tab=stats" xr:uid="{00000000-0004-0000-1000-0000FF000000}"/>
    <hyperlink ref="C205" r:id="rId257" display="https://www.eliteprospects.com/league/wc/stats/2018-2019" xr:uid="{00000000-0004-0000-1000-000000010000}"/>
    <hyperlink ref="B206" r:id="rId258" display="https://www.eliteprospects.com/team/12426/slovakia-all/2018-2019?tab=stats" xr:uid="{00000000-0004-0000-1000-000001010000}"/>
    <hyperlink ref="C206" r:id="rId259" display="https://www.eliteprospects.com/league/international/stats/2018-2019" xr:uid="{00000000-0004-0000-1000-000002010000}"/>
    <hyperlink ref="C215" r:id="rId260" display="https://www.eliteprospects.com/league/czech/stats/2020-2021" xr:uid="{00000000-0004-0000-1000-000003010000}"/>
    <hyperlink ref="K215" r:id="rId261" display="https://www.eliteprospects.com/league/czech/stats/2020-2021/playoffs" xr:uid="{00000000-0004-0000-1000-000004010000}"/>
    <hyperlink ref="C216" r:id="rId262" display="https://www.eliteprospects.com/league/czech/stats/2020-2021" xr:uid="{00000000-0004-0000-1000-000005010000}"/>
    <hyperlink ref="K216" r:id="rId263" display="https://www.eliteprospects.com/league/czech/stats/2020-2021/playoffs" xr:uid="{00000000-0004-0000-1000-000006010000}"/>
    <hyperlink ref="C217" r:id="rId264" display="https://www.eliteprospects.com/league/czech/stats/2020-2021" xr:uid="{00000000-0004-0000-1000-000007010000}"/>
    <hyperlink ref="K217" r:id="rId265" display="https://www.eliteprospects.com/league/czech/stats/2020-2021/playoffs" xr:uid="{00000000-0004-0000-1000-000008010000}"/>
    <hyperlink ref="B227" r:id="rId266" display="https://www.eliteprospects.com/team/1336/toronto-marlies/2018-2019?tab=stats" xr:uid="{00000000-0004-0000-1000-000009010000}"/>
    <hyperlink ref="C227" r:id="rId267" display="https://www.eliteprospects.com/league/ahl/stats/2018-2019" xr:uid="{00000000-0004-0000-1000-00000A010000}"/>
    <hyperlink ref="K227" r:id="rId268" display="https://www.eliteprospects.com/league/ahl/stats/2018-2019" xr:uid="{00000000-0004-0000-1000-00000B010000}"/>
    <hyperlink ref="B228" r:id="rId269" display="https://www.eliteprospects.com/team/25837/newfoundland-growlers/2018-2019?tab=stats" xr:uid="{00000000-0004-0000-1000-00000C010000}"/>
    <hyperlink ref="C228" r:id="rId270" display="https://www.eliteprospects.com/league/echl/stats/2018-2019" xr:uid="{00000000-0004-0000-1000-00000D010000}"/>
    <hyperlink ref="K228" r:id="rId271" display="https://www.eliteprospects.com/league/echl/stats/2018-2019/playoffs" xr:uid="{00000000-0004-0000-1000-00000E010000}"/>
    <hyperlink ref="B229" r:id="rId272" display="https://www.eliteprospects.com/team/1336/toronto-marlies/2019-2020?tab=stats" xr:uid="{00000000-0004-0000-1000-00000F010000}"/>
    <hyperlink ref="C229" r:id="rId273" display="https://www.eliteprospects.com/league/ahl/stats/2019-2020" xr:uid="{00000000-0004-0000-1000-000010010000}"/>
    <hyperlink ref="B230" r:id="rId274" display="https://www.eliteprospects.com/team/25837/newfoundland-growlers/2019-2020?tab=stats" xr:uid="{00000000-0004-0000-1000-000011010000}"/>
    <hyperlink ref="C230" r:id="rId275" display="https://www.eliteprospects.com/league/echl/stats/2019-2020" xr:uid="{00000000-0004-0000-1000-000012010000}"/>
    <hyperlink ref="B231" r:id="rId276" display="https://www.eliteprospects.com/team/18602/stockton-heat/2020-2021?tab=stats" xr:uid="{00000000-0004-0000-1000-000013010000}"/>
    <hyperlink ref="C231" r:id="rId277" display="https://www.eliteprospects.com/league/ahl/stats/2020-2021" xr:uid="{00000000-0004-0000-1000-000014010000}"/>
    <hyperlink ref="K231" r:id="rId278" display="https://www.eliteprospects.com/league/ahl/stats/2020-2021" xr:uid="{00000000-0004-0000-1000-000015010000}"/>
    <hyperlink ref="B232" r:id="rId279" display="https://www.eliteprospects.com/team/4800/kansas-city-mavericks/2020-2021?tab=stats" xr:uid="{00000000-0004-0000-1000-000016010000}"/>
    <hyperlink ref="C232" r:id="rId280" display="https://www.eliteprospects.com/league/echl/stats/2020-2021" xr:uid="{00000000-0004-0000-1000-000017010000}"/>
    <hyperlink ref="B233" r:id="rId281" display="https://www.eliteprospects.com/team/155/hc-verva-litvinov/2021-2022?tab=stats" xr:uid="{00000000-0004-0000-1000-000018010000}"/>
    <hyperlink ref="C233" r:id="rId282" display="https://www.eliteprospects.com/league/czechia/stats/2021-2022" xr:uid="{00000000-0004-0000-1000-000019010000}"/>
    <hyperlink ref="C190" r:id="rId283" display="https://www.eliteprospects.com/league/czechia/stats/2021-2022" xr:uid="{00000000-0004-0000-1000-00001A010000}"/>
    <hyperlink ref="B199" r:id="rId284" display="https://www.eliteprospects.com/team/155/hc-verva-litvinov/2021-2022?tab=stats" xr:uid="{00000000-0004-0000-1000-00001B010000}"/>
    <hyperlink ref="C199" r:id="rId285" display="https://www.eliteprospects.com/league/czechia/stats/2021-2022" xr:uid="{00000000-0004-0000-1000-00001C010000}"/>
    <hyperlink ref="B211" r:id="rId286" display="https://www.eliteprospects.com/team/155/hc-verva-litvinov/2021-2022?tab=stats" xr:uid="{00000000-0004-0000-1000-00001D010000}"/>
    <hyperlink ref="C211" r:id="rId287" display="https://www.eliteprospects.com/league/czechia/stats/2021-2022" xr:uid="{00000000-0004-0000-1000-00001E010000}"/>
    <hyperlink ref="C220" r:id="rId288" display="https://www.eliteprospects.com/league/czech/stats/2020-2021" xr:uid="{00000000-0004-0000-1000-00001F010000}"/>
    <hyperlink ref="C221" r:id="rId289" display="https://www.eliteprospects.com/league/czech/stats/2020-2021" xr:uid="{00000000-0004-0000-1000-000020010000}"/>
    <hyperlink ref="C222" r:id="rId290" display="https://www.eliteprospects.com/league/czech/stats/2020-2021" xr:uid="{00000000-0004-0000-1000-000021010000}"/>
    <hyperlink ref="B266" r:id="rId291" display="https://www.eliteprospects.com/team/9328/ehc-freiburg/2018-2019?tab=stats" xr:uid="{00000000-0004-0000-1000-000022010000}"/>
    <hyperlink ref="C266" r:id="rId292" display="https://www.eliteprospects.com/league/del2/stats/2018-2019" xr:uid="{00000000-0004-0000-1000-000023010000}"/>
    <hyperlink ref="K266" r:id="rId293" display="https://www.eliteprospects.com/league/del2/stats/2018-2019" xr:uid="{00000000-0004-0000-1000-000024010000}"/>
    <hyperlink ref="B267" r:id="rId294" display="https://www.eliteprospects.com/team/2883/herner-ev-2007/2018-2019?tab=stats" xr:uid="{00000000-0004-0000-1000-000025010000}"/>
    <hyperlink ref="C267" r:id="rId295" display="https://www.eliteprospects.com/league/germany3/stats/2018-2019" xr:uid="{00000000-0004-0000-1000-000026010000}"/>
    <hyperlink ref="K267" r:id="rId296" display="https://www.eliteprospects.com/league/germany3/stats/2018-2019" xr:uid="{00000000-0004-0000-1000-000027010000}"/>
    <hyperlink ref="B268" r:id="rId297" display="https://www.eliteprospects.com/team/3089/fiemme/2018-2019?tab=stats" xr:uid="{00000000-0004-0000-1000-000028010000}"/>
    <hyperlink ref="C268" r:id="rId298" display="https://www.eliteprospects.com/league/italy2/stats/2018-2019" xr:uid="{00000000-0004-0000-1000-000029010000}"/>
    <hyperlink ref="K268" r:id="rId299" display="https://www.eliteprospects.com/league/italy2/stats/2018-2019/playoffs" xr:uid="{00000000-0004-0000-1000-00002A010000}"/>
    <hyperlink ref="B269" r:id="rId300" display="https://www.eliteprospects.com/team/1163/hc-dukla-jihlava/2019-2020?tab=stats" xr:uid="{00000000-0004-0000-1000-00002B010000}"/>
    <hyperlink ref="C269" r:id="rId301" display="https://www.eliteprospects.com/league/czechia2/stats/2019-2020" xr:uid="{00000000-0004-0000-1000-00002C010000}"/>
    <hyperlink ref="K269" r:id="rId302" display="https://www.eliteprospects.com/league/czechia2/stats/2019-2020/playoffs" xr:uid="{00000000-0004-0000-1000-00002D010000}"/>
    <hyperlink ref="B270" r:id="rId303" display="https://www.eliteprospects.com/team/1163/hc-dukla-jihlava/2020-2021?tab=stats" xr:uid="{00000000-0004-0000-1000-00002E010000}"/>
    <hyperlink ref="C270" r:id="rId304" display="https://www.eliteprospects.com/league/czechia2/stats/2020-2021" xr:uid="{00000000-0004-0000-1000-00002F010000}"/>
    <hyperlink ref="K270" r:id="rId305" display="https://www.eliteprospects.com/league/czechia2/stats/2020-2021/playoffs" xr:uid="{00000000-0004-0000-1000-000030010000}"/>
    <hyperlink ref="B271" r:id="rId306" display="https://www.eliteprospects.com/team/155/hc-litvinov/2020-2021?tab=stats" xr:uid="{00000000-0004-0000-1000-000031010000}"/>
    <hyperlink ref="C271" r:id="rId307" display="https://www.eliteprospects.com/league/czechia/stats/2020-2021" xr:uid="{00000000-0004-0000-1000-000032010000}"/>
    <hyperlink ref="K271" r:id="rId308" display="https://www.eliteprospects.com/league/czechia/stats/2020-2021" xr:uid="{00000000-0004-0000-1000-000033010000}"/>
    <hyperlink ref="B272" r:id="rId309" display="https://www.eliteprospects.com/team/1163/hc-dukla-jihlava/2021-2022?tab=stats" xr:uid="{00000000-0004-0000-1000-000034010000}"/>
    <hyperlink ref="C272" r:id="rId310" display="https://www.eliteprospects.com/league/czechia2/stats/2021-2022" xr:uid="{00000000-0004-0000-1000-000035010000}"/>
    <hyperlink ref="K272" r:id="rId311" display="https://www.eliteprospects.com/league/czechia2/stats/2021-2022" xr:uid="{00000000-0004-0000-1000-000036010000}"/>
    <hyperlink ref="B273" r:id="rId312" display="https://www.eliteprospects.com/team/155/hc-litvinov/2021-2022?tab=stats" xr:uid="{00000000-0004-0000-1000-000037010000}"/>
    <hyperlink ref="C273" r:id="rId313" display="https://www.eliteprospects.com/league/czechia/stats/2021-2022" xr:uid="{00000000-0004-0000-1000-000038010000}"/>
    <hyperlink ref="B277" r:id="rId314" display="https://www.eliteprospects.com/team/168/hk-poprad/2018-2019?tab=stats" xr:uid="{00000000-0004-0000-1000-000039010000}"/>
    <hyperlink ref="C277" r:id="rId315" display="https://www.eliteprospects.com/league/slovakia/stats/2018-2019" xr:uid="{00000000-0004-0000-1000-00003A010000}"/>
    <hyperlink ref="K277" r:id="rId316" display="https://www.eliteprospects.com/league/slovakia/stats/2018-2019/playoffs" xr:uid="{00000000-0004-0000-1000-00003B010000}"/>
    <hyperlink ref="B278" r:id="rId317" display="https://www.eliteprospects.com/team/169/hc-slovan-bratislava/2019-2020?tab=stats" xr:uid="{00000000-0004-0000-1000-00003C010000}"/>
    <hyperlink ref="C278" r:id="rId318" display="https://www.eliteprospects.com/league/slovakia/stats/2019-2020" xr:uid="{00000000-0004-0000-1000-00003D010000}"/>
    <hyperlink ref="B279" r:id="rId319" display="https://www.eliteprospects.com/team/198/severstal-cherepovets/2020-2021?tab=stats" xr:uid="{00000000-0004-0000-1000-00003E010000}"/>
    <hyperlink ref="C279" r:id="rId320" display="https://www.eliteprospects.com/league/khl/stats/2020-2021" xr:uid="{00000000-0004-0000-1000-00003F010000}"/>
    <hyperlink ref="K279" r:id="rId321" display="https://www.eliteprospects.com/league/khl/stats/2020-2021/playoffs" xr:uid="{00000000-0004-0000-1000-000040010000}"/>
    <hyperlink ref="B280" r:id="rId322" display="https://www.eliteprospects.com/team/154/hc-motor-%C4%8Ceske-bud%C4%9Bjovice/2021-2022?tab=stats" xr:uid="{00000000-0004-0000-1000-000041010000}"/>
    <hyperlink ref="C280" r:id="rId323" display="https://www.eliteprospects.com/league/czechia/stats/2021-2022" xr:uid="{00000000-0004-0000-1000-000042010000}"/>
    <hyperlink ref="K280" r:id="rId324" display="https://www.eliteprospects.com/league/czechia/stats/2021-2022/playoffs" xr:uid="{00000000-0004-0000-1000-000043010000}"/>
    <hyperlink ref="B284" r:id="rId325" display="https://www.eliteprospects.com/team/9882/orli-znojmo/2018-2019?tab=stats" xr:uid="{00000000-0004-0000-1000-000044010000}"/>
    <hyperlink ref="C284" r:id="rId326" display="https://www.eliteprospects.com/league/ebel/stats/2018-2019" xr:uid="{00000000-0004-0000-1000-000045010000}"/>
    <hyperlink ref="K284" r:id="rId327" display="https://www.eliteprospects.com/league/ebel/stats/2018-2019/playoffs" xr:uid="{00000000-0004-0000-1000-000046010000}"/>
    <hyperlink ref="B285" r:id="rId328" display="https://www.eliteprospects.com/team/153/hc-energie-karlovy-vary/2019-2020?tab=stats" xr:uid="{00000000-0004-0000-1000-000047010000}"/>
    <hyperlink ref="C285" r:id="rId329" display="https://www.eliteprospects.com/league/czechia/stats/2019-2020" xr:uid="{00000000-0004-0000-1000-000048010000}"/>
    <hyperlink ref="K285" r:id="rId330" display="https://www.eliteprospects.com/league/czechia/stats/2019-2020" xr:uid="{00000000-0004-0000-1000-000049010000}"/>
    <hyperlink ref="B286" r:id="rId331" display="https://www.eliteprospects.com/team/679/pirati-chomutov/2019-2020?tab=stats" xr:uid="{00000000-0004-0000-1000-00004A010000}"/>
    <hyperlink ref="C286" r:id="rId332" display="https://www.eliteprospects.com/league/czechia2/stats/2019-2020" xr:uid="{00000000-0004-0000-1000-00004B010000}"/>
    <hyperlink ref="K286" r:id="rId333" display="https://www.eliteprospects.com/league/czechia2/stats/2019-2020" xr:uid="{00000000-0004-0000-1000-00004C010000}"/>
    <hyperlink ref="B287" r:id="rId334" display="https://www.eliteprospects.com/team/646/ryti%C5%99i-kladno/2020-2021?tab=stats" xr:uid="{00000000-0004-0000-1000-00004D010000}"/>
    <hyperlink ref="C287" r:id="rId335" display="https://www.eliteprospects.com/league/czechia2/stats/2020-2021" xr:uid="{00000000-0004-0000-1000-00004E010000}"/>
    <hyperlink ref="K287" r:id="rId336" display="https://www.eliteprospects.com/league/czechia2/stats/2020-2021/playoffs" xr:uid="{00000000-0004-0000-1000-00004F010000}"/>
    <hyperlink ref="B288" r:id="rId337" display="https://www.eliteprospects.com/team/646/ryti%C5%99i-kladno/2021-2022?tab=stats" xr:uid="{00000000-0004-0000-1000-000050010000}"/>
    <hyperlink ref="C288" r:id="rId338" display="https://www.eliteprospects.com/league/czechia/stats/2021-2022" xr:uid="{00000000-0004-0000-1000-000051010000}"/>
    <hyperlink ref="B289" r:id="rId339" display="https://www.eliteprospects.com/team/646/ryti%C5%99i-kladno/2021-2022?tab=stats" xr:uid="{00000000-0004-0000-1000-000052010000}"/>
    <hyperlink ref="C289" r:id="rId340" display="https://www.eliteprospects.com/league/czechia-q/stats/2021-2022" xr:uid="{00000000-0004-0000-1000-000053010000}"/>
    <hyperlink ref="K289" r:id="rId341" display="https://www.eliteprospects.com/league/czechia-q/stats/2021-2022/qualification" xr:uid="{00000000-0004-0000-1000-000054010000}"/>
    <hyperlink ref="B295" r:id="rId342" display="https://www.eliteprospects.com/team/889/rimouski-oceanic/2018-2019?tab=stats" xr:uid="{00000000-0004-0000-1000-000055010000}"/>
    <hyperlink ref="C295" r:id="rId343" display="https://www.eliteprospects.com/league/qmjhl/stats/2018-2019" xr:uid="{00000000-0004-0000-1000-000056010000}"/>
    <hyperlink ref="K295" r:id="rId344" display="https://www.eliteprospects.com/league/qmjhl/stats/2018-2019/playoffs" xr:uid="{00000000-0004-0000-1000-000057010000}"/>
    <hyperlink ref="B296" r:id="rId345" display="https://www.eliteprospects.com/team/1601/czechia-u20/2018-2019?tab=stats" xr:uid="{00000000-0004-0000-1000-000058010000}"/>
    <hyperlink ref="C296" r:id="rId346" display="https://www.eliteprospects.com/league/wjc-20/stats/2018-2019" xr:uid="{00000000-0004-0000-1000-000059010000}"/>
    <hyperlink ref="K296" r:id="rId347" display="https://www.eliteprospects.com/league/wjc-20/stats/2018-2019" xr:uid="{00000000-0004-0000-1000-00005A010000}"/>
    <hyperlink ref="B297" r:id="rId348" display="https://www.eliteprospects.com/team/9731/czechia-u20-all/2018-2019?tab=stats" xr:uid="{00000000-0004-0000-1000-00005B010000}"/>
    <hyperlink ref="C297" r:id="rId349" display="https://www.eliteprospects.com/league/international-jr/stats/2018-2019" xr:uid="{00000000-0004-0000-1000-00005C010000}"/>
    <hyperlink ref="K297" r:id="rId350" display="https://www.eliteprospects.com/league/international-jr/stats/2018-2019" xr:uid="{00000000-0004-0000-1000-00005D010000}"/>
    <hyperlink ref="B298" r:id="rId351" display="https://www.eliteprospects.com/team/15659/mountfield-hk/2019-2020?tab=stats" xr:uid="{00000000-0004-0000-1000-00005E010000}"/>
    <hyperlink ref="C298" r:id="rId352" display="https://www.eliteprospects.com/league/czechia/stats/2019-2020" xr:uid="{00000000-0004-0000-1000-00005F010000}"/>
    <hyperlink ref="K298" r:id="rId353" display="https://www.eliteprospects.com/league/czechia/stats/2019-2020/playoffs" xr:uid="{00000000-0004-0000-1000-000060010000}"/>
    <hyperlink ref="B299" r:id="rId354" display="https://www.eliteprospects.com/team/3461/hc-stadion-litom%C4%9B%C5%99ice/2019-2020?tab=stats" xr:uid="{00000000-0004-0000-1000-000061010000}"/>
    <hyperlink ref="C299" r:id="rId355" display="https://www.eliteprospects.com/league/czechia2/stats/2019-2020" xr:uid="{00000000-0004-0000-1000-000062010000}"/>
    <hyperlink ref="B300" r:id="rId356" display="https://www.eliteprospects.com/team/15659/mountfield-hk/2020-2021?tab=stats" xr:uid="{00000000-0004-0000-1000-000063010000}"/>
    <hyperlink ref="C300" r:id="rId357" display="https://www.eliteprospects.com/league/czechia/stats/2020-2021" xr:uid="{00000000-0004-0000-1000-000064010000}"/>
    <hyperlink ref="K300" r:id="rId358" display="https://www.eliteprospects.com/league/czechia/stats/2020-2021/playoffs" xr:uid="{00000000-0004-0000-1000-000065010000}"/>
    <hyperlink ref="B301" r:id="rId359" display="https://www.eliteprospects.com/team/9763/czechia-all/2020-2021?tab=stats" xr:uid="{00000000-0004-0000-1000-000066010000}"/>
    <hyperlink ref="C301" r:id="rId360" display="https://www.eliteprospects.com/league/international/stats/2020-2021" xr:uid="{00000000-0004-0000-1000-000067010000}"/>
    <hyperlink ref="B302" r:id="rId361" display="https://www.eliteprospects.com/team/15659/mountfield-hk/2021-2022?tab=stats" xr:uid="{00000000-0004-0000-1000-000068010000}"/>
    <hyperlink ref="C302" r:id="rId362" display="https://www.eliteprospects.com/league/czechia/stats/2021-2022" xr:uid="{00000000-0004-0000-1000-000069010000}"/>
    <hyperlink ref="B303" r:id="rId363" display="https://www.eliteprospects.com/team/2705/sc-kolin/2021-2022?tab=stats" xr:uid="{00000000-0004-0000-1000-00006A010000}"/>
    <hyperlink ref="C303" r:id="rId364" display="https://www.eliteprospects.com/league/czechia2/stats/2021-2022" xr:uid="{00000000-0004-0000-1000-00006B010000}"/>
    <hyperlink ref="K308" r:id="rId365" display="https://www.eliteprospects.com/league/czechia/stats/2021-2022/playoffs" xr:uid="{00000000-0004-0000-1000-00006C010000}"/>
    <hyperlink ref="K307" r:id="rId366" display="https://www.eliteprospects.com/league/czechia-q/stats/2021-2022/qualification" xr:uid="{00000000-0004-0000-1000-00006D010000}"/>
    <hyperlink ref="B237" r:id="rId367" display="https://www.eliteprospects.com/team/772/hc-vitkovice/2018-2019?tab=stats" xr:uid="{00000000-0004-0000-1000-00006E010000}"/>
    <hyperlink ref="C237" r:id="rId368" display="https://www.eliteprospects.com/league/czechia/stats/2018-2019" xr:uid="{00000000-0004-0000-1000-00006F010000}"/>
    <hyperlink ref="K237" r:id="rId369" display="https://www.eliteprospects.com/league/czechia/stats/2018-2019/playoffs" xr:uid="{00000000-0004-0000-1000-000070010000}"/>
    <hyperlink ref="B238" r:id="rId370" display="https://www.eliteprospects.com/team/3809/hc-poruba-2011/2018-2019?tab=stats" xr:uid="{00000000-0004-0000-1000-000071010000}"/>
    <hyperlink ref="C238" r:id="rId371" display="https://www.eliteprospects.com/league/czechia2/stats/2018-2019" xr:uid="{00000000-0004-0000-1000-000072010000}"/>
    <hyperlink ref="B239" r:id="rId372" display="https://www.eliteprospects.com/team/9763/czechia-all/2018-2019?tab=stats" xr:uid="{00000000-0004-0000-1000-000073010000}"/>
    <hyperlink ref="C239" r:id="rId373" display="https://www.eliteprospects.com/league/international/stats/2018-2019" xr:uid="{00000000-0004-0000-1000-000074010000}"/>
    <hyperlink ref="K239" r:id="rId374" display="https://www.eliteprospects.com/league/international/stats/2018-2019" xr:uid="{00000000-0004-0000-1000-000075010000}"/>
    <hyperlink ref="B240" r:id="rId375" display="https://www.eliteprospects.com/team/772/hc-vitkovice/2019-2020?tab=stats" xr:uid="{00000000-0004-0000-1000-000076010000}"/>
    <hyperlink ref="C240" r:id="rId376" display="https://www.eliteprospects.com/league/czechia/stats/2019-2020" xr:uid="{00000000-0004-0000-1000-000077010000}"/>
    <hyperlink ref="B241" r:id="rId377" display="https://www.eliteprospects.com/team/637/hc-plze%C5%88/2019-2020?tab=stats" xr:uid="{00000000-0004-0000-1000-000078010000}"/>
    <hyperlink ref="C241" r:id="rId378" display="https://www.eliteprospects.com/league/czechia/stats/2019-2020" xr:uid="{00000000-0004-0000-1000-000079010000}"/>
    <hyperlink ref="K241" r:id="rId379" display="https://www.eliteprospects.com/league/czechia/stats/2019-2020" xr:uid="{00000000-0004-0000-1000-00007A010000}"/>
    <hyperlink ref="B242" r:id="rId380" display="https://www.eliteprospects.com/team/155/hc-litvinov/2020-2021?tab=stats" xr:uid="{00000000-0004-0000-1000-00007B010000}"/>
    <hyperlink ref="C242" r:id="rId381" display="https://www.eliteprospects.com/league/czechia/stats/2020-2021" xr:uid="{00000000-0004-0000-1000-00007C010000}"/>
    <hyperlink ref="K242" r:id="rId382" display="https://www.eliteprospects.com/league/czechia/stats/2020-2021/playoffs" xr:uid="{00000000-0004-0000-1000-00007D010000}"/>
    <hyperlink ref="B243" r:id="rId383" display="https://www.eliteprospects.com/team/9763/czechia-all/2020-2021?tab=stats" xr:uid="{00000000-0004-0000-1000-00007E010000}"/>
    <hyperlink ref="C243" r:id="rId384" display="https://www.eliteprospects.com/league/international/stats/2020-2021" xr:uid="{00000000-0004-0000-1000-00007F010000}"/>
    <hyperlink ref="B244" r:id="rId385" display="https://www.eliteprospects.com/team/155/hc-litvinov/2021-2022?tab=stats" xr:uid="{00000000-0004-0000-1000-000080010000}"/>
    <hyperlink ref="C244" r:id="rId386" display="https://www.eliteprospects.com/league/czechia/stats/2021-2022" xr:uid="{00000000-0004-0000-1000-000081010000}"/>
    <hyperlink ref="B248" r:id="rId387" display="https://www.eliteprospects.com/team/19727/cracovia-krakow-u20/2018-2019?tab=stats" xr:uid="{00000000-0004-0000-1000-000082010000}"/>
    <hyperlink ref="C248" r:id="rId388" display="https://www.eliteprospects.com/league/poland-u20/stats/2018-2019" xr:uid="{00000000-0004-0000-1000-000083010000}"/>
    <hyperlink ref="K248" r:id="rId389" display="https://www.eliteprospects.com/league/poland-u20/stats/2018-2019" xr:uid="{00000000-0004-0000-1000-000084010000}"/>
    <hyperlink ref="B249" r:id="rId390" display="https://www.eliteprospects.com/team/1825/cracovia-krakow/2018-2019?tab=stats" xr:uid="{00000000-0004-0000-1000-000085010000}"/>
    <hyperlink ref="C249" r:id="rId391" display="https://www.eliteprospects.com/league/poland/stats/2018-2019" xr:uid="{00000000-0004-0000-1000-000086010000}"/>
    <hyperlink ref="K249" r:id="rId392" display="https://www.eliteprospects.com/league/poland/stats/2018-2019/playoffs" xr:uid="{00000000-0004-0000-1000-000087010000}"/>
    <hyperlink ref="B250" r:id="rId393" display="https://www.eliteprospects.com/team/26846/pzhl-u23/2018-2019?tab=stats" xr:uid="{00000000-0004-0000-1000-000088010000}"/>
    <hyperlink ref="C250" r:id="rId394" display="https://www.eliteprospects.com/league/poland/stats/2018-2019" xr:uid="{00000000-0004-0000-1000-000089010000}"/>
    <hyperlink ref="K250" r:id="rId395" display="https://www.eliteprospects.com/league/poland/stats/2018-2019" xr:uid="{00000000-0004-0000-1000-00008A010000}"/>
    <hyperlink ref="B251" r:id="rId396" display="https://www.eliteprospects.com/team/1719/poland-u20/2018-2019?tab=stats" xr:uid="{00000000-0004-0000-1000-00008B010000}"/>
    <hyperlink ref="C251" r:id="rId397" display="https://www.eliteprospects.com/league/wjc-20-d1b/stats/2018-2019" xr:uid="{00000000-0004-0000-1000-00008C010000}"/>
    <hyperlink ref="B252" r:id="rId398" display="https://www.eliteprospects.com/team/14520/poland-all/2018-2019?tab=stats" xr:uid="{00000000-0004-0000-1000-00008D010000}"/>
    <hyperlink ref="C252" r:id="rId399" display="https://www.eliteprospects.com/league/international/stats/2018-2019" xr:uid="{00000000-0004-0000-1000-00008E010000}"/>
    <hyperlink ref="K252" r:id="rId400" display="https://www.eliteprospects.com/league/international/stats/2018-2019" xr:uid="{00000000-0004-0000-1000-00008F010000}"/>
    <hyperlink ref="B253" r:id="rId401" display="https://www.eliteprospects.com/team/155/hc-litvinov/2019-2020?tab=stats" xr:uid="{00000000-0004-0000-1000-000090010000}"/>
    <hyperlink ref="C253" r:id="rId402" display="https://www.eliteprospects.com/league/czechia/stats/2019-2020" xr:uid="{00000000-0004-0000-1000-000091010000}"/>
    <hyperlink ref="K253" r:id="rId403" display="https://www.eliteprospects.com/league/czechia/stats/2019-2020" xr:uid="{00000000-0004-0000-1000-000092010000}"/>
    <hyperlink ref="B254" r:id="rId404" display="https://www.eliteprospects.com/team/1418/sk-trha%C4%8Di-kada%C5%88/2019-2020?tab=stats" xr:uid="{00000000-0004-0000-1000-000093010000}"/>
    <hyperlink ref="C254" r:id="rId405" display="https://www.eliteprospects.com/league/czechia2/stats/2019-2020" xr:uid="{00000000-0004-0000-1000-000094010000}"/>
    <hyperlink ref="K254" r:id="rId406" display="https://www.eliteprospects.com/league/czechia2/stats/2019-2020" xr:uid="{00000000-0004-0000-1000-000095010000}"/>
    <hyperlink ref="B255" r:id="rId407" display="https://www.eliteprospects.com/team/3461/hc-stadion-litom%C4%9B%C5%99ice/2019-2020?tab=stats" xr:uid="{00000000-0004-0000-1000-000096010000}"/>
    <hyperlink ref="C255" r:id="rId408" display="https://www.eliteprospects.com/league/czechia2/stats/2019-2020" xr:uid="{00000000-0004-0000-1000-000097010000}"/>
    <hyperlink ref="B256" r:id="rId409" display="https://www.eliteprospects.com/team/1648/poland/2019-2020?tab=stats" xr:uid="{00000000-0004-0000-1000-000098010000}"/>
    <hyperlink ref="C256" r:id="rId410" display="https://www.eliteprospects.com/league/ogq/stats/2019-2020" xr:uid="{00000000-0004-0000-1000-000099010000}"/>
    <hyperlink ref="B257" r:id="rId411" display="https://www.eliteprospects.com/team/14520/poland-all/2019-2020?tab=stats" xr:uid="{00000000-0004-0000-1000-00009A010000}"/>
    <hyperlink ref="C257" r:id="rId412" display="https://www.eliteprospects.com/league/international/stats/2019-2020" xr:uid="{00000000-0004-0000-1000-00009B010000}"/>
    <hyperlink ref="K257" r:id="rId413" display="https://www.eliteprospects.com/league/international/stats/2019-2020" xr:uid="{00000000-0004-0000-1000-00009C010000}"/>
    <hyperlink ref="B258" r:id="rId414" display="https://www.eliteprospects.com/team/155/hc-litvinov/2020-2021?tab=stats" xr:uid="{00000000-0004-0000-1000-00009D010000}"/>
    <hyperlink ref="C258" r:id="rId415" display="https://www.eliteprospects.com/league/czechia/stats/2020-2021" xr:uid="{00000000-0004-0000-1000-00009E010000}"/>
    <hyperlink ref="K258" r:id="rId416" display="https://www.eliteprospects.com/league/czechia/stats/2020-2021/playoffs" xr:uid="{00000000-0004-0000-1000-00009F010000}"/>
    <hyperlink ref="B259" r:id="rId417" display="https://www.eliteprospects.com/team/155/hc-litvinov/2021-2022?tab=stats" xr:uid="{00000000-0004-0000-1000-0000A0010000}"/>
    <hyperlink ref="C259" r:id="rId418" display="https://www.eliteprospects.com/league/czechia/stats/2021-2022" xr:uid="{00000000-0004-0000-1000-0000A1010000}"/>
    <hyperlink ref="K259" r:id="rId419" display="https://www.eliteprospects.com/league/czechia/stats/2021-2022" xr:uid="{00000000-0004-0000-1000-0000A2010000}"/>
    <hyperlink ref="B260" r:id="rId420" display="https://www.eliteprospects.com/team/1648/poland/2021-2022?tab=stats" xr:uid="{00000000-0004-0000-1000-0000A3010000}"/>
    <hyperlink ref="C260" r:id="rId421" display="https://www.eliteprospects.com/league/ogq/stats/2021-2022" xr:uid="{00000000-0004-0000-1000-0000A4010000}"/>
    <hyperlink ref="C261" r:id="rId422" display="https://www.eliteprospects.com/league/wc-d1b/stats/2021-2022" xr:uid="{00000000-0004-0000-1000-0000A5010000}"/>
  </hyperlinks>
  <pageMargins left="0.7" right="0.7" top="0.78740157499999996" bottom="0.78740157499999996" header="0.3" footer="0.3"/>
  <pageSetup paperSize="9" orientation="portrait" r:id="rId423"/>
  <drawing r:id="rId42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E11"/>
  <sheetViews>
    <sheetView workbookViewId="0">
      <selection activeCell="L12" sqref="L12"/>
    </sheetView>
  </sheetViews>
  <sheetFormatPr defaultRowHeight="14.4" x14ac:dyDescent="0.3"/>
  <cols>
    <col min="1" max="1" width="4.5546875" customWidth="1"/>
    <col min="2" max="2" width="38.44140625" customWidth="1"/>
    <col min="3" max="3" width="16.88671875" customWidth="1"/>
    <col min="4" max="4" width="17.44140625" customWidth="1"/>
    <col min="5" max="5" width="18" customWidth="1"/>
    <col min="6" max="6" width="17.88671875" customWidth="1"/>
    <col min="7" max="7" width="15" customWidth="1"/>
    <col min="8" max="8" width="16" customWidth="1"/>
    <col min="9" max="9" width="37.5546875" customWidth="1"/>
    <col min="10" max="10" width="31.5546875" customWidth="1"/>
    <col min="11" max="11" width="27.6640625" customWidth="1"/>
    <col min="12" max="12" width="31.33203125" customWidth="1"/>
  </cols>
  <sheetData>
    <row r="1" spans="2:5" x14ac:dyDescent="0.3">
      <c r="B1" s="2"/>
      <c r="C1" s="2" t="s">
        <v>5213</v>
      </c>
      <c r="D1" s="2" t="s">
        <v>555</v>
      </c>
      <c r="E1" s="2" t="s">
        <v>5214</v>
      </c>
    </row>
    <row r="2" spans="2:5" x14ac:dyDescent="0.3">
      <c r="B2" s="2" t="s">
        <v>5208</v>
      </c>
      <c r="C2" s="2">
        <f>'Výsledky a statistiky 20-21'!B54</f>
        <v>52</v>
      </c>
      <c r="D2" s="2">
        <f>'Výsledky a statistiky 20-21'!O54</f>
        <v>72</v>
      </c>
      <c r="E2" s="120">
        <f>D2/C2</f>
        <v>1.3846153846153846</v>
      </c>
    </row>
    <row r="3" spans="2:5" x14ac:dyDescent="0.3">
      <c r="B3" s="2" t="s">
        <v>5209</v>
      </c>
      <c r="C3" s="2">
        <f>COUNT('Výsledky a statistiky 21-22'!O3:O23)</f>
        <v>21</v>
      </c>
      <c r="D3" s="2">
        <f>'Výsledky a statistiky 21-22'!O23</f>
        <v>28</v>
      </c>
      <c r="E3" s="120">
        <f t="shared" ref="E3:E5" si="0">D3/C3</f>
        <v>1.3333333333333333</v>
      </c>
    </row>
    <row r="4" spans="2:5" x14ac:dyDescent="0.3">
      <c r="B4" s="2" t="s">
        <v>5210</v>
      </c>
      <c r="C4" s="2">
        <f>COUNT('Výsledky a statistiky 21-22'!O24:O58)</f>
        <v>35</v>
      </c>
      <c r="D4" s="2">
        <f>'Výsledky a statistiky 21-22'!O58-'Výsledky a statistiky 21-22'!O23</f>
        <v>42</v>
      </c>
      <c r="E4" s="120">
        <f t="shared" si="0"/>
        <v>1.2</v>
      </c>
    </row>
    <row r="5" spans="2:5" x14ac:dyDescent="0.3">
      <c r="B5" s="2" t="s">
        <v>5211</v>
      </c>
      <c r="C5" s="2">
        <f>'Výsledky a statistiky 22-23'!C16</f>
        <v>14</v>
      </c>
      <c r="D5" s="2">
        <f>'Výsledky a statistiky 22-23'!O16</f>
        <v>9</v>
      </c>
      <c r="E5" s="120">
        <f t="shared" si="0"/>
        <v>0.6428571428571429</v>
      </c>
    </row>
    <row r="6" spans="2:5" x14ac:dyDescent="0.3">
      <c r="B6" s="2" t="s">
        <v>5212</v>
      </c>
      <c r="C6" s="2">
        <f>COUNT('Výsledky a statistiky 22-23'!M17:M54)</f>
        <v>38</v>
      </c>
      <c r="D6" s="2">
        <f>'Výsledky a statistiky 22-23'!O54-'Výsledky a statistiky 22-23'!O16</f>
        <v>58</v>
      </c>
      <c r="E6" s="120">
        <f>D6/C6</f>
        <v>1.5263157894736843</v>
      </c>
    </row>
    <row r="7" spans="2:5" x14ac:dyDescent="0.3">
      <c r="B7" s="2" t="s">
        <v>5219</v>
      </c>
    </row>
    <row r="9" spans="2:5" x14ac:dyDescent="0.3">
      <c r="B9" s="2" t="s">
        <v>5216</v>
      </c>
      <c r="C9" s="2">
        <f>C2+C3</f>
        <v>73</v>
      </c>
      <c r="D9" s="2">
        <f>D2+D3</f>
        <v>100</v>
      </c>
      <c r="E9" s="120">
        <f>D9/C9</f>
        <v>1.3698630136986301</v>
      </c>
    </row>
    <row r="10" spans="2:5" x14ac:dyDescent="0.3">
      <c r="B10" s="2" t="s">
        <v>5217</v>
      </c>
      <c r="C10" s="2">
        <f>C4+C5</f>
        <v>49</v>
      </c>
      <c r="D10" s="2">
        <f>D4+D5</f>
        <v>51</v>
      </c>
      <c r="E10" s="120">
        <f>D10/C10</f>
        <v>1.0408163265306123</v>
      </c>
    </row>
    <row r="11" spans="2:5" x14ac:dyDescent="0.3">
      <c r="B11" s="2" t="s">
        <v>5218</v>
      </c>
      <c r="C11" s="2">
        <f>C6+C7</f>
        <v>38</v>
      </c>
      <c r="D11" s="2">
        <f>D6+D7</f>
        <v>58</v>
      </c>
      <c r="E11" s="120">
        <f>D11/C11</f>
        <v>1.5263157894736843</v>
      </c>
    </row>
  </sheetData>
  <pageMargins left="0.7" right="0.7" top="0.78740157499999996" bottom="0.78740157499999996"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3:AM176"/>
  <sheetViews>
    <sheetView topLeftCell="A17" workbookViewId="0">
      <selection activeCell="L12" sqref="L12"/>
    </sheetView>
  </sheetViews>
  <sheetFormatPr defaultRowHeight="14.4" x14ac:dyDescent="0.3"/>
  <cols>
    <col min="1" max="1" width="27.5546875" customWidth="1"/>
    <col min="2" max="2" width="20.33203125" customWidth="1"/>
    <col min="3" max="3" width="12.44140625" style="2" customWidth="1"/>
    <col min="4" max="4" width="17" style="2" customWidth="1"/>
    <col min="5" max="5" width="15" style="2" customWidth="1"/>
    <col min="6" max="6" width="10.109375" style="2" bestFit="1" customWidth="1"/>
    <col min="7" max="7" width="20.44140625" style="2" customWidth="1"/>
    <col min="8" max="8" width="23.109375" style="2" customWidth="1"/>
    <col min="9" max="9" width="10.109375" style="2" customWidth="1"/>
    <col min="10" max="10" width="12.5546875" customWidth="1"/>
    <col min="11" max="11" width="38.5546875" customWidth="1"/>
    <col min="12" max="12" width="25.109375" customWidth="1"/>
    <col min="13" max="13" width="19.88671875" customWidth="1"/>
    <col min="14" max="14" width="24.44140625" customWidth="1"/>
    <col min="15" max="15" width="14.33203125" style="2" customWidth="1"/>
    <col min="16" max="16" width="22.109375" customWidth="1"/>
    <col min="17" max="17" width="19.6640625" customWidth="1"/>
    <col min="18" max="18" width="11.5546875" customWidth="1"/>
    <col min="19" max="19" width="14" customWidth="1"/>
    <col min="20" max="20" width="27.88671875" customWidth="1"/>
    <col min="21" max="21" width="26.109375" customWidth="1"/>
    <col min="22" max="22" width="27.5546875" customWidth="1"/>
    <col min="31" max="31" width="13.6640625" customWidth="1"/>
    <col min="32" max="32" width="15.33203125" customWidth="1"/>
    <col min="35" max="35" width="12.44140625" customWidth="1"/>
    <col min="36" max="36" width="17.44140625" customWidth="1"/>
    <col min="37" max="37" width="13.6640625" customWidth="1"/>
    <col min="38" max="38" width="16" customWidth="1"/>
  </cols>
  <sheetData>
    <row r="3" spans="1:38" x14ac:dyDescent="0.3">
      <c r="A3" s="2" t="s">
        <v>4809</v>
      </c>
      <c r="B3" s="2" t="s">
        <v>785</v>
      </c>
      <c r="C3" s="2" t="s">
        <v>14</v>
      </c>
      <c r="D3" s="2" t="s">
        <v>15</v>
      </c>
      <c r="E3" s="2" t="s">
        <v>11</v>
      </c>
      <c r="F3" s="2" t="s">
        <v>12</v>
      </c>
      <c r="G3" s="2" t="s">
        <v>13</v>
      </c>
      <c r="H3" s="2" t="s">
        <v>157</v>
      </c>
      <c r="I3" s="2" t="s">
        <v>833</v>
      </c>
      <c r="J3" s="2"/>
      <c r="K3" s="8"/>
    </row>
    <row r="4" spans="1:38" x14ac:dyDescent="0.3">
      <c r="B4" s="2">
        <v>1</v>
      </c>
      <c r="C4" s="2">
        <v>1</v>
      </c>
      <c r="D4" s="2" t="s">
        <v>328</v>
      </c>
      <c r="E4" s="4">
        <v>44820</v>
      </c>
      <c r="F4" s="2" t="s">
        <v>18</v>
      </c>
      <c r="G4" s="2" t="s">
        <v>17</v>
      </c>
      <c r="H4" s="60">
        <v>8.5416666666666655E-2</v>
      </c>
      <c r="I4" s="60" t="s">
        <v>834</v>
      </c>
      <c r="L4" s="2"/>
      <c r="M4" s="2"/>
      <c r="N4" s="2"/>
      <c r="AE4" s="1153" t="s">
        <v>5258</v>
      </c>
      <c r="AF4" s="1153"/>
      <c r="AK4" s="1153" t="s">
        <v>5259</v>
      </c>
      <c r="AL4" s="1153"/>
    </row>
    <row r="5" spans="1:38" x14ac:dyDescent="0.3">
      <c r="B5" s="2">
        <v>2</v>
      </c>
      <c r="C5" s="2">
        <v>2</v>
      </c>
      <c r="D5" s="2" t="s">
        <v>325</v>
      </c>
      <c r="E5" s="4">
        <v>44822</v>
      </c>
      <c r="F5" s="2" t="s">
        <v>19</v>
      </c>
      <c r="G5" s="2" t="s">
        <v>16</v>
      </c>
      <c r="H5" s="60">
        <v>2.0833333333333333E-3</v>
      </c>
      <c r="I5" s="60" t="s">
        <v>834</v>
      </c>
      <c r="AE5" s="2" t="s">
        <v>11</v>
      </c>
      <c r="AF5" s="2" t="s">
        <v>157</v>
      </c>
      <c r="AK5" s="2" t="s">
        <v>11</v>
      </c>
      <c r="AL5" s="2" t="s">
        <v>157</v>
      </c>
    </row>
    <row r="6" spans="1:38" ht="15" thickBot="1" x14ac:dyDescent="0.35">
      <c r="B6" s="2">
        <v>3</v>
      </c>
      <c r="C6" s="2">
        <v>4</v>
      </c>
      <c r="D6" s="2" t="s">
        <v>6091</v>
      </c>
      <c r="E6" s="4">
        <v>44824</v>
      </c>
      <c r="F6" s="2" t="s">
        <v>20</v>
      </c>
      <c r="G6" s="2" t="s">
        <v>16</v>
      </c>
      <c r="H6" s="60">
        <v>0.12916666666666668</v>
      </c>
      <c r="I6" s="60"/>
      <c r="K6" s="2"/>
      <c r="L6" s="2"/>
      <c r="M6" s="2"/>
      <c r="N6" s="4"/>
      <c r="AD6">
        <v>1</v>
      </c>
      <c r="AE6" s="4">
        <v>44852</v>
      </c>
      <c r="AF6" s="60">
        <v>0</v>
      </c>
      <c r="AJ6">
        <v>1</v>
      </c>
      <c r="AK6" s="4">
        <v>44955</v>
      </c>
      <c r="AL6" s="60">
        <v>0</v>
      </c>
    </row>
    <row r="7" spans="1:38" ht="15" thickBot="1" x14ac:dyDescent="0.35">
      <c r="B7" s="2">
        <v>4</v>
      </c>
      <c r="C7" s="2">
        <v>3</v>
      </c>
      <c r="D7" s="2" t="s">
        <v>610</v>
      </c>
      <c r="E7" s="4">
        <v>44827</v>
      </c>
      <c r="F7" s="2" t="s">
        <v>18</v>
      </c>
      <c r="G7" s="2" t="s">
        <v>17</v>
      </c>
      <c r="H7" s="60" t="s">
        <v>161</v>
      </c>
      <c r="I7" s="60" t="s">
        <v>834</v>
      </c>
      <c r="K7" s="1163" t="s">
        <v>5272</v>
      </c>
      <c r="L7" s="1164"/>
      <c r="M7" s="1164"/>
      <c r="N7" s="1164"/>
      <c r="O7" s="1164"/>
      <c r="P7" s="1165"/>
      <c r="X7" t="s">
        <v>315</v>
      </c>
      <c r="Y7" s="2" t="s">
        <v>5105</v>
      </c>
      <c r="AD7">
        <v>2</v>
      </c>
      <c r="AE7" s="4">
        <v>44901</v>
      </c>
      <c r="AF7" s="60">
        <v>6.9444444444444447E-4</v>
      </c>
      <c r="AJ7">
        <v>2</v>
      </c>
      <c r="AK7" s="4">
        <v>44923</v>
      </c>
      <c r="AL7" s="60">
        <v>2.0833333333333333E-3</v>
      </c>
    </row>
    <row r="8" spans="1:38" x14ac:dyDescent="0.3">
      <c r="B8" s="2">
        <v>5</v>
      </c>
      <c r="C8" s="2">
        <v>5</v>
      </c>
      <c r="D8" s="2" t="s">
        <v>332</v>
      </c>
      <c r="E8" s="4">
        <v>44831</v>
      </c>
      <c r="F8" s="2" t="s">
        <v>20</v>
      </c>
      <c r="G8" s="2" t="s">
        <v>17</v>
      </c>
      <c r="H8" s="60" t="s">
        <v>589</v>
      </c>
      <c r="I8" s="60" t="s">
        <v>834</v>
      </c>
      <c r="K8" s="185" t="s">
        <v>220</v>
      </c>
      <c r="L8" s="96" t="s">
        <v>14</v>
      </c>
      <c r="M8" s="96" t="s">
        <v>15</v>
      </c>
      <c r="N8" s="96" t="s">
        <v>11</v>
      </c>
      <c r="O8" s="96" t="s">
        <v>1047</v>
      </c>
      <c r="P8" s="186" t="s">
        <v>1051</v>
      </c>
      <c r="X8" s="60">
        <v>0</v>
      </c>
      <c r="Y8" s="2">
        <v>2</v>
      </c>
      <c r="AD8">
        <v>3</v>
      </c>
      <c r="AE8" s="4">
        <v>44822</v>
      </c>
      <c r="AF8" s="60">
        <v>2.0833333333333333E-3</v>
      </c>
      <c r="AJ8">
        <v>3</v>
      </c>
      <c r="AK8" s="4">
        <v>44972</v>
      </c>
      <c r="AL8" s="60">
        <v>2.0833333333333333E-3</v>
      </c>
    </row>
    <row r="9" spans="1:38" x14ac:dyDescent="0.3">
      <c r="B9" s="2">
        <v>6</v>
      </c>
      <c r="C9" s="2">
        <v>7</v>
      </c>
      <c r="D9" s="2" t="s">
        <v>1274</v>
      </c>
      <c r="E9" s="4">
        <v>44836</v>
      </c>
      <c r="F9" s="2" t="s">
        <v>19</v>
      </c>
      <c r="G9" s="2" t="s">
        <v>17</v>
      </c>
      <c r="H9" s="60">
        <v>0.12638888888888888</v>
      </c>
      <c r="I9" s="60"/>
      <c r="K9" s="106" t="s">
        <v>4735</v>
      </c>
      <c r="L9" s="2">
        <v>2</v>
      </c>
      <c r="M9" s="2" t="s">
        <v>325</v>
      </c>
      <c r="N9" s="4">
        <v>44822</v>
      </c>
      <c r="O9" s="60">
        <v>2.0833333333333333E-3</v>
      </c>
      <c r="P9" s="99" t="s">
        <v>743</v>
      </c>
      <c r="X9" s="60">
        <v>4.2361111111111106E-2</v>
      </c>
      <c r="Y9" s="2">
        <v>3</v>
      </c>
      <c r="AD9">
        <v>4</v>
      </c>
      <c r="AE9" s="4">
        <v>44883</v>
      </c>
      <c r="AF9" s="60">
        <v>2.0833333333333333E-3</v>
      </c>
      <c r="AJ9">
        <v>4</v>
      </c>
      <c r="AK9" s="4">
        <v>44962</v>
      </c>
      <c r="AL9" s="60">
        <v>4.2361111111111106E-2</v>
      </c>
    </row>
    <row r="10" spans="1:38" ht="15" thickBot="1" x14ac:dyDescent="0.35">
      <c r="B10" s="2">
        <v>7</v>
      </c>
      <c r="C10" s="2">
        <v>6</v>
      </c>
      <c r="D10" s="2" t="s">
        <v>6076</v>
      </c>
      <c r="E10" s="4">
        <v>44838</v>
      </c>
      <c r="F10" s="2" t="s">
        <v>20</v>
      </c>
      <c r="G10" s="2" t="s">
        <v>16</v>
      </c>
      <c r="H10" s="60">
        <v>0.1673611111111111</v>
      </c>
      <c r="I10" s="60"/>
      <c r="K10" s="106" t="s">
        <v>4736</v>
      </c>
      <c r="L10" s="2">
        <v>11</v>
      </c>
      <c r="M10" s="2" t="s">
        <v>331</v>
      </c>
      <c r="N10" s="4">
        <v>44850</v>
      </c>
      <c r="O10" s="60">
        <v>0.1277777777777778</v>
      </c>
      <c r="P10" s="99" t="s">
        <v>743</v>
      </c>
      <c r="X10" s="60">
        <v>8.4722222222222213E-2</v>
      </c>
      <c r="Y10" s="2">
        <v>9</v>
      </c>
      <c r="AD10">
        <v>5</v>
      </c>
      <c r="AE10" s="4">
        <v>44831</v>
      </c>
      <c r="AF10" s="60">
        <v>4.2361111111111106E-2</v>
      </c>
      <c r="AJ10">
        <v>5</v>
      </c>
      <c r="AK10" s="4">
        <v>44941</v>
      </c>
      <c r="AL10" s="60">
        <v>4.3055555555555562E-2</v>
      </c>
    </row>
    <row r="11" spans="1:38" x14ac:dyDescent="0.3">
      <c r="B11" s="2">
        <v>8</v>
      </c>
      <c r="C11" s="2">
        <v>8</v>
      </c>
      <c r="D11" s="2" t="s">
        <v>6179</v>
      </c>
      <c r="E11" s="4">
        <v>44841</v>
      </c>
      <c r="F11" s="2" t="s">
        <v>18</v>
      </c>
      <c r="G11" s="2" t="s">
        <v>16</v>
      </c>
      <c r="H11" s="60">
        <v>0.17013888888888887</v>
      </c>
      <c r="I11" s="60"/>
      <c r="K11" s="106" t="s">
        <v>4782</v>
      </c>
      <c r="L11" s="2">
        <v>18</v>
      </c>
      <c r="M11" s="2" t="s">
        <v>332</v>
      </c>
      <c r="N11" s="4">
        <v>44869</v>
      </c>
      <c r="O11" s="60" t="s">
        <v>171</v>
      </c>
      <c r="P11" s="99" t="s">
        <v>743</v>
      </c>
      <c r="T11" s="95" t="s">
        <v>191</v>
      </c>
      <c r="U11" s="96" t="s">
        <v>221</v>
      </c>
      <c r="V11" s="97" t="s">
        <v>222</v>
      </c>
      <c r="X11" s="60">
        <v>0.12708333333333333</v>
      </c>
      <c r="Y11" s="2">
        <v>1</v>
      </c>
      <c r="AD11">
        <v>6</v>
      </c>
      <c r="AE11" s="4">
        <v>44890</v>
      </c>
      <c r="AF11" s="60">
        <v>4.2361111111111106E-2</v>
      </c>
      <c r="AJ11">
        <v>6</v>
      </c>
      <c r="AK11" s="4">
        <v>44929</v>
      </c>
      <c r="AL11" s="60">
        <v>4.3750000000000004E-2</v>
      </c>
    </row>
    <row r="12" spans="1:38" x14ac:dyDescent="0.3">
      <c r="B12" s="2">
        <v>9</v>
      </c>
      <c r="C12" s="2">
        <v>9</v>
      </c>
      <c r="D12" s="2" t="s">
        <v>334</v>
      </c>
      <c r="E12" s="4">
        <v>44843</v>
      </c>
      <c r="F12" s="2" t="s">
        <v>19</v>
      </c>
      <c r="G12" s="2" t="s">
        <v>16</v>
      </c>
      <c r="H12" s="60">
        <v>4.4444444444444446E-2</v>
      </c>
      <c r="I12" s="60"/>
      <c r="K12" s="106" t="s">
        <v>4782</v>
      </c>
      <c r="L12" s="2">
        <v>20</v>
      </c>
      <c r="M12" s="2" t="s">
        <v>1274</v>
      </c>
      <c r="N12" s="4">
        <v>44883</v>
      </c>
      <c r="O12" s="60">
        <v>2.0833333333333333E-3</v>
      </c>
      <c r="P12" s="99" t="s">
        <v>743</v>
      </c>
      <c r="T12" s="105" t="s">
        <v>184</v>
      </c>
      <c r="U12" s="62">
        <v>7</v>
      </c>
      <c r="V12" s="549">
        <v>7</v>
      </c>
      <c r="X12" s="60">
        <v>6.9444444444444447E-4</v>
      </c>
      <c r="Y12" s="2">
        <v>1</v>
      </c>
      <c r="AD12">
        <v>7</v>
      </c>
      <c r="AE12" s="4">
        <v>44843</v>
      </c>
      <c r="AF12" s="60">
        <v>4.4444444444444446E-2</v>
      </c>
      <c r="AJ12">
        <v>7</v>
      </c>
      <c r="AK12" s="4">
        <v>44993</v>
      </c>
      <c r="AL12" s="60">
        <v>4.3750000000000004E-2</v>
      </c>
    </row>
    <row r="13" spans="1:38" x14ac:dyDescent="0.3">
      <c r="B13" s="2">
        <v>10</v>
      </c>
      <c r="C13" s="2">
        <v>10</v>
      </c>
      <c r="D13" s="2" t="s">
        <v>6086</v>
      </c>
      <c r="E13" s="4">
        <v>44848</v>
      </c>
      <c r="F13" s="2" t="s">
        <v>18</v>
      </c>
      <c r="G13" s="2" t="s">
        <v>17</v>
      </c>
      <c r="H13" s="60">
        <v>0.1277777777777778</v>
      </c>
      <c r="I13" s="60" t="s">
        <v>834</v>
      </c>
      <c r="K13" s="106" t="s">
        <v>4782</v>
      </c>
      <c r="L13" s="2">
        <v>44</v>
      </c>
      <c r="M13" s="2" t="s">
        <v>332</v>
      </c>
      <c r="N13" s="4">
        <v>44960</v>
      </c>
      <c r="O13" s="60">
        <v>8.6805555555555566E-2</v>
      </c>
      <c r="P13" s="99" t="s">
        <v>743</v>
      </c>
      <c r="T13" s="105" t="s">
        <v>185</v>
      </c>
      <c r="U13" s="62">
        <v>9</v>
      </c>
      <c r="V13" s="549">
        <v>9</v>
      </c>
      <c r="X13" s="60">
        <v>4.3055555555555562E-2</v>
      </c>
      <c r="Y13" s="2">
        <v>1</v>
      </c>
      <c r="AD13">
        <v>8</v>
      </c>
      <c r="AE13" s="4">
        <v>44827</v>
      </c>
      <c r="AF13" s="60">
        <v>8.4722222222222213E-2</v>
      </c>
      <c r="AJ13">
        <v>8</v>
      </c>
      <c r="AK13" s="4">
        <v>44939</v>
      </c>
      <c r="AL13" s="60">
        <v>4.4444444444444446E-2</v>
      </c>
    </row>
    <row r="14" spans="1:38" x14ac:dyDescent="0.3">
      <c r="B14" s="2">
        <v>11</v>
      </c>
      <c r="C14" s="2">
        <v>11</v>
      </c>
      <c r="D14" s="2" t="s">
        <v>331</v>
      </c>
      <c r="E14" s="4">
        <v>44850</v>
      </c>
      <c r="F14" s="2" t="s">
        <v>19</v>
      </c>
      <c r="G14" s="2" t="s">
        <v>16</v>
      </c>
      <c r="H14" s="60">
        <v>0.1277777777777778</v>
      </c>
      <c r="I14" s="60" t="s">
        <v>834</v>
      </c>
      <c r="K14" s="106"/>
      <c r="L14" s="2"/>
      <c r="M14" s="2"/>
      <c r="N14" s="4"/>
      <c r="O14" s="60"/>
      <c r="P14" s="99"/>
      <c r="T14" s="105" t="s">
        <v>186</v>
      </c>
      <c r="U14" s="635">
        <v>17</v>
      </c>
      <c r="V14" s="549">
        <v>17</v>
      </c>
      <c r="X14" s="60">
        <v>2.0833333333333333E-3</v>
      </c>
      <c r="Y14" s="2">
        <v>4</v>
      </c>
      <c r="AD14">
        <v>9</v>
      </c>
      <c r="AE14" s="4">
        <v>44864</v>
      </c>
      <c r="AF14" s="60">
        <v>8.4722222222222213E-2</v>
      </c>
      <c r="AJ14">
        <v>9</v>
      </c>
      <c r="AK14" s="4">
        <v>44953</v>
      </c>
      <c r="AL14" s="60">
        <v>4.5138888888888888E-2</v>
      </c>
    </row>
    <row r="15" spans="1:38" x14ac:dyDescent="0.3">
      <c r="B15" s="2">
        <v>12</v>
      </c>
      <c r="C15" s="2">
        <v>12</v>
      </c>
      <c r="D15" s="2" t="s">
        <v>327</v>
      </c>
      <c r="E15" s="4">
        <v>44852</v>
      </c>
      <c r="F15" s="2" t="s">
        <v>20</v>
      </c>
      <c r="G15" s="2" t="s">
        <v>17</v>
      </c>
      <c r="H15" s="60" t="s">
        <v>158</v>
      </c>
      <c r="I15" s="60" t="s">
        <v>834</v>
      </c>
      <c r="K15" s="106"/>
      <c r="O15" s="60"/>
      <c r="P15" s="99"/>
      <c r="T15" s="105" t="s">
        <v>187</v>
      </c>
      <c r="U15" s="2">
        <v>7</v>
      </c>
      <c r="V15" s="99">
        <v>9</v>
      </c>
      <c r="X15" s="60">
        <v>4.3750000000000004E-2</v>
      </c>
      <c r="Y15" s="2">
        <v>2</v>
      </c>
      <c r="AD15">
        <v>10</v>
      </c>
      <c r="AE15" s="4">
        <v>44869</v>
      </c>
      <c r="AF15" s="60">
        <v>8.4722222222222213E-2</v>
      </c>
      <c r="AJ15">
        <v>10</v>
      </c>
      <c r="AK15" s="4">
        <v>44981</v>
      </c>
      <c r="AL15" s="60">
        <v>8.4027777777777771E-2</v>
      </c>
    </row>
    <row r="16" spans="1:38" x14ac:dyDescent="0.3">
      <c r="B16" s="2">
        <v>13</v>
      </c>
      <c r="C16" s="2">
        <v>13</v>
      </c>
      <c r="D16" s="2" t="s">
        <v>626</v>
      </c>
      <c r="E16" s="4">
        <v>44855</v>
      </c>
      <c r="F16" s="2" t="s">
        <v>18</v>
      </c>
      <c r="G16" s="2" t="s">
        <v>16</v>
      </c>
      <c r="H16" s="60">
        <v>0.12847222222222224</v>
      </c>
      <c r="I16" s="60"/>
      <c r="K16" s="106"/>
      <c r="O16" s="60"/>
      <c r="P16" s="99"/>
      <c r="T16" s="105" t="s">
        <v>188</v>
      </c>
      <c r="U16" s="2">
        <v>6</v>
      </c>
      <c r="V16" s="99">
        <v>8</v>
      </c>
      <c r="X16" s="60">
        <v>8.5416666666666655E-2</v>
      </c>
      <c r="Y16" s="2">
        <v>3</v>
      </c>
      <c r="AD16">
        <v>11</v>
      </c>
      <c r="AE16" s="4">
        <v>44915</v>
      </c>
      <c r="AF16" s="60">
        <v>8.4722222222222213E-2</v>
      </c>
      <c r="AJ16">
        <v>11</v>
      </c>
      <c r="AK16" s="4">
        <v>44983</v>
      </c>
      <c r="AL16" s="60">
        <v>8.4027777777777771E-2</v>
      </c>
    </row>
    <row r="17" spans="1:38" x14ac:dyDescent="0.3">
      <c r="A17" s="2" t="s">
        <v>4771</v>
      </c>
      <c r="B17" s="2">
        <v>14</v>
      </c>
      <c r="C17" s="2">
        <v>14</v>
      </c>
      <c r="D17" s="2" t="s">
        <v>328</v>
      </c>
      <c r="E17" s="4">
        <v>44857</v>
      </c>
      <c r="F17" s="2" t="s">
        <v>19</v>
      </c>
      <c r="G17" s="2" t="s">
        <v>16</v>
      </c>
      <c r="H17" s="60">
        <v>0.12847222222222224</v>
      </c>
      <c r="I17" s="60"/>
      <c r="K17" s="106"/>
      <c r="L17" s="2"/>
      <c r="M17" s="2"/>
      <c r="N17" s="4"/>
      <c r="O17" s="60"/>
      <c r="P17" s="99"/>
      <c r="T17" s="105" t="s">
        <v>189</v>
      </c>
      <c r="U17" s="2">
        <v>7</v>
      </c>
      <c r="V17" s="99">
        <v>3</v>
      </c>
      <c r="X17" s="60">
        <v>4.4444444444444446E-2</v>
      </c>
      <c r="Y17" s="2">
        <v>2</v>
      </c>
      <c r="AD17">
        <v>12</v>
      </c>
      <c r="AE17" s="4">
        <v>44820</v>
      </c>
      <c r="AF17" s="60">
        <v>8.5416666666666655E-2</v>
      </c>
      <c r="AJ17">
        <v>12</v>
      </c>
      <c r="AK17" s="4">
        <v>44925</v>
      </c>
      <c r="AL17" s="60">
        <v>8.4722222222222213E-2</v>
      </c>
    </row>
    <row r="18" spans="1:38" x14ac:dyDescent="0.3">
      <c r="A18" t="s">
        <v>4810</v>
      </c>
      <c r="B18" s="2">
        <v>15</v>
      </c>
      <c r="C18" s="2">
        <v>15</v>
      </c>
      <c r="D18" s="2" t="s">
        <v>325</v>
      </c>
      <c r="E18" s="4">
        <v>44862</v>
      </c>
      <c r="F18" s="2" t="s">
        <v>18</v>
      </c>
      <c r="G18" s="2" t="s">
        <v>17</v>
      </c>
      <c r="H18" s="60">
        <v>0.16666666666666666</v>
      </c>
      <c r="I18" s="2" t="s">
        <v>834</v>
      </c>
      <c r="K18" s="106"/>
      <c r="L18" s="2"/>
      <c r="M18" s="2"/>
      <c r="N18" s="4"/>
      <c r="O18" s="60"/>
      <c r="P18" s="99"/>
      <c r="T18" s="105" t="s">
        <v>190</v>
      </c>
      <c r="U18" s="2">
        <v>1</v>
      </c>
      <c r="V18" s="99">
        <v>1</v>
      </c>
      <c r="X18" s="60">
        <v>8.6111111111111124E-2</v>
      </c>
      <c r="Y18" s="2">
        <v>1</v>
      </c>
      <c r="AD18">
        <v>13</v>
      </c>
      <c r="AE18" s="4">
        <v>44894</v>
      </c>
      <c r="AF18" s="60">
        <v>8.6111111111111124E-2</v>
      </c>
      <c r="AJ18">
        <v>13</v>
      </c>
      <c r="AK18" s="4">
        <v>44932</v>
      </c>
      <c r="AL18" s="60">
        <v>8.4722222222222213E-2</v>
      </c>
    </row>
    <row r="19" spans="1:38" x14ac:dyDescent="0.3">
      <c r="B19" s="2">
        <v>16</v>
      </c>
      <c r="C19" s="2">
        <v>16</v>
      </c>
      <c r="D19" s="2" t="s">
        <v>610</v>
      </c>
      <c r="E19" s="4">
        <v>44864</v>
      </c>
      <c r="F19" s="2" t="s">
        <v>19</v>
      </c>
      <c r="G19" s="2" t="s">
        <v>16</v>
      </c>
      <c r="H19" s="60" t="s">
        <v>351</v>
      </c>
      <c r="K19" s="106"/>
      <c r="L19" s="2"/>
      <c r="M19" s="2"/>
      <c r="N19" s="4"/>
      <c r="O19" s="60"/>
      <c r="P19" s="99"/>
      <c r="T19" s="105" t="s">
        <v>855</v>
      </c>
      <c r="U19" s="2">
        <v>0</v>
      </c>
      <c r="V19" s="99">
        <v>0</v>
      </c>
      <c r="X19" s="60">
        <v>0.1277777777777778</v>
      </c>
      <c r="Y19" s="2">
        <v>2</v>
      </c>
      <c r="AD19">
        <v>14</v>
      </c>
      <c r="AE19" s="4">
        <v>44836</v>
      </c>
      <c r="AF19" s="60">
        <v>0.12638888888888888</v>
      </c>
      <c r="AJ19">
        <v>14</v>
      </c>
      <c r="AK19" s="4">
        <v>44948</v>
      </c>
      <c r="AL19" s="60">
        <v>8.4722222222222213E-2</v>
      </c>
    </row>
    <row r="20" spans="1:38" x14ac:dyDescent="0.3">
      <c r="B20" s="2">
        <v>17</v>
      </c>
      <c r="C20" s="2">
        <v>17</v>
      </c>
      <c r="D20" s="2" t="s">
        <v>6091</v>
      </c>
      <c r="E20" s="4">
        <v>44866</v>
      </c>
      <c r="F20" s="2" t="s">
        <v>20</v>
      </c>
      <c r="G20" s="2" t="s">
        <v>17</v>
      </c>
      <c r="H20" s="60">
        <v>0.25277777777777777</v>
      </c>
      <c r="I20" s="60" t="s">
        <v>834</v>
      </c>
      <c r="K20" s="106"/>
      <c r="L20" s="2"/>
      <c r="M20" s="2"/>
      <c r="N20" s="4"/>
      <c r="O20" s="60"/>
      <c r="P20" s="99"/>
      <c r="T20" s="105" t="s">
        <v>5165</v>
      </c>
      <c r="U20" s="2">
        <v>1</v>
      </c>
      <c r="V20" s="99">
        <v>1</v>
      </c>
      <c r="X20" s="60">
        <v>0.12847222222222224</v>
      </c>
      <c r="Y20" s="2">
        <v>2</v>
      </c>
      <c r="AD20">
        <v>15</v>
      </c>
      <c r="AE20" s="4">
        <v>44848</v>
      </c>
      <c r="AF20" s="60">
        <v>0.1277777777777778</v>
      </c>
      <c r="AJ20">
        <v>15</v>
      </c>
      <c r="AK20" s="4">
        <v>44974</v>
      </c>
      <c r="AL20" s="60">
        <v>8.4722222222222213E-2</v>
      </c>
    </row>
    <row r="21" spans="1:38" x14ac:dyDescent="0.3">
      <c r="B21" s="2">
        <v>18</v>
      </c>
      <c r="C21" s="2">
        <v>18</v>
      </c>
      <c r="D21" s="2" t="s">
        <v>332</v>
      </c>
      <c r="E21" s="4">
        <v>44869</v>
      </c>
      <c r="F21" s="2" t="s">
        <v>18</v>
      </c>
      <c r="G21" s="2" t="s">
        <v>16</v>
      </c>
      <c r="H21" s="60" t="s">
        <v>171</v>
      </c>
      <c r="I21" s="2" t="s">
        <v>834</v>
      </c>
      <c r="K21" s="106"/>
      <c r="L21" s="2"/>
      <c r="M21" s="2"/>
      <c r="N21" s="4"/>
      <c r="P21" s="99"/>
      <c r="T21" s="106"/>
      <c r="U21" s="2">
        <f>SUM(U12:U20)</f>
        <v>55</v>
      </c>
      <c r="V21" s="99">
        <f>SUM(V12:V20)</f>
        <v>55</v>
      </c>
      <c r="X21" s="60">
        <v>0.12916666666666668</v>
      </c>
      <c r="Y21" s="2">
        <v>1</v>
      </c>
      <c r="AD21">
        <v>16</v>
      </c>
      <c r="AE21" s="4">
        <v>44850</v>
      </c>
      <c r="AF21" s="60">
        <v>0.1277777777777778</v>
      </c>
      <c r="AJ21">
        <v>16</v>
      </c>
      <c r="AK21" s="4">
        <v>44988</v>
      </c>
      <c r="AL21" s="60">
        <v>8.4722222222222213E-2</v>
      </c>
    </row>
    <row r="22" spans="1:38" ht="15" thickBot="1" x14ac:dyDescent="0.35">
      <c r="B22" s="2">
        <v>19</v>
      </c>
      <c r="C22" s="2">
        <v>19</v>
      </c>
      <c r="D22" s="2" t="s">
        <v>6076</v>
      </c>
      <c r="E22" s="4">
        <v>44871</v>
      </c>
      <c r="F22" s="2" t="s">
        <v>19</v>
      </c>
      <c r="G22" s="2" t="s">
        <v>17</v>
      </c>
      <c r="H22" s="60">
        <v>0.21041666666666667</v>
      </c>
      <c r="I22" s="60" t="s">
        <v>834</v>
      </c>
      <c r="K22" s="187"/>
      <c r="L22" s="103"/>
      <c r="M22" s="103"/>
      <c r="N22" s="255"/>
      <c r="O22" s="103"/>
      <c r="P22" s="104"/>
      <c r="T22" s="106"/>
      <c r="V22" s="100"/>
      <c r="X22" s="60">
        <v>0.17013888888888887</v>
      </c>
      <c r="Y22" s="2">
        <v>1</v>
      </c>
      <c r="AD22">
        <v>17</v>
      </c>
      <c r="AE22" s="4">
        <v>44855</v>
      </c>
      <c r="AF22" s="60">
        <v>0.12847222222222224</v>
      </c>
      <c r="AJ22">
        <v>17</v>
      </c>
      <c r="AK22" s="4">
        <v>44921</v>
      </c>
      <c r="AL22" s="60">
        <v>8.5416666666666655E-2</v>
      </c>
    </row>
    <row r="23" spans="1:38" ht="15" thickBot="1" x14ac:dyDescent="0.35">
      <c r="B23" s="2">
        <v>20</v>
      </c>
      <c r="C23" s="2">
        <v>20</v>
      </c>
      <c r="D23" s="2" t="s">
        <v>1274</v>
      </c>
      <c r="E23" s="4">
        <v>44883</v>
      </c>
      <c r="F23" s="2" t="s">
        <v>18</v>
      </c>
      <c r="G23" s="2" t="s">
        <v>16</v>
      </c>
      <c r="H23" s="60">
        <v>2.0833333333333333E-3</v>
      </c>
      <c r="I23" s="2" t="s">
        <v>834</v>
      </c>
      <c r="K23" s="187" t="s">
        <v>726</v>
      </c>
      <c r="L23" s="104">
        <f>COUNT(L9:L22)</f>
        <v>5</v>
      </c>
      <c r="M23" s="2"/>
      <c r="N23" s="4"/>
      <c r="T23" s="105" t="s">
        <v>191</v>
      </c>
      <c r="U23" s="2" t="s">
        <v>221</v>
      </c>
      <c r="V23" s="101" t="s">
        <v>222</v>
      </c>
      <c r="X23" s="60">
        <v>0.17083333333333331</v>
      </c>
      <c r="Y23" s="2">
        <v>1</v>
      </c>
      <c r="AD23">
        <v>18</v>
      </c>
      <c r="AE23" s="4">
        <v>44857</v>
      </c>
      <c r="AF23" s="60">
        <v>0.12847222222222224</v>
      </c>
      <c r="AJ23">
        <v>18</v>
      </c>
      <c r="AK23" s="4">
        <v>44951</v>
      </c>
      <c r="AL23" s="60">
        <v>8.5416666666666655E-2</v>
      </c>
    </row>
    <row r="24" spans="1:38" x14ac:dyDescent="0.3">
      <c r="B24" s="2">
        <v>21</v>
      </c>
      <c r="C24" s="2">
        <v>21</v>
      </c>
      <c r="D24" s="2" t="s">
        <v>6179</v>
      </c>
      <c r="E24" s="4">
        <v>44885</v>
      </c>
      <c r="F24" s="2" t="s">
        <v>19</v>
      </c>
      <c r="G24" s="2" t="s">
        <v>17</v>
      </c>
      <c r="H24" s="60">
        <v>0.20902777777777778</v>
      </c>
      <c r="I24" s="60" t="s">
        <v>834</v>
      </c>
      <c r="K24" s="2"/>
      <c r="L24" s="2"/>
      <c r="M24" s="2"/>
      <c r="N24" s="4"/>
      <c r="T24" s="105" t="s">
        <v>198</v>
      </c>
      <c r="U24" s="62">
        <v>3</v>
      </c>
      <c r="V24" s="98">
        <v>3</v>
      </c>
      <c r="X24" s="60">
        <v>0.12638888888888888</v>
      </c>
      <c r="Y24" s="2">
        <v>1</v>
      </c>
      <c r="AD24">
        <v>19</v>
      </c>
      <c r="AE24" s="4">
        <v>44824</v>
      </c>
      <c r="AF24" s="60">
        <v>0.12916666666666668</v>
      </c>
      <c r="AJ24">
        <v>19</v>
      </c>
      <c r="AK24" s="4">
        <v>44960</v>
      </c>
      <c r="AL24" s="60">
        <v>8.6805555555555566E-2</v>
      </c>
    </row>
    <row r="25" spans="1:38" x14ac:dyDescent="0.3">
      <c r="B25" s="2">
        <v>22</v>
      </c>
      <c r="C25" s="2">
        <v>22</v>
      </c>
      <c r="D25" s="2" t="s">
        <v>334</v>
      </c>
      <c r="E25" s="4">
        <v>44890</v>
      </c>
      <c r="F25" s="2" t="s">
        <v>18</v>
      </c>
      <c r="G25" s="2" t="s">
        <v>17</v>
      </c>
      <c r="H25" s="60" t="s">
        <v>589</v>
      </c>
      <c r="I25" s="60"/>
      <c r="L25" s="2"/>
      <c r="M25" s="2"/>
      <c r="N25" s="4"/>
      <c r="T25" s="105" t="s">
        <v>199</v>
      </c>
      <c r="U25" s="2">
        <v>10</v>
      </c>
      <c r="V25" s="99">
        <v>11</v>
      </c>
      <c r="X25" s="60">
        <v>0.16666666666666666</v>
      </c>
      <c r="Y25" s="2">
        <v>1</v>
      </c>
      <c r="AD25">
        <v>20</v>
      </c>
      <c r="AE25" s="4">
        <v>44862</v>
      </c>
      <c r="AF25" s="60">
        <v>0.16666666666666666</v>
      </c>
      <c r="AJ25">
        <v>20</v>
      </c>
      <c r="AK25" s="4">
        <v>44976</v>
      </c>
      <c r="AL25" s="60">
        <v>0.12708333333333333</v>
      </c>
    </row>
    <row r="26" spans="1:38" x14ac:dyDescent="0.3">
      <c r="B26" s="2">
        <v>23</v>
      </c>
      <c r="C26" s="2">
        <v>23</v>
      </c>
      <c r="D26" s="2" t="s">
        <v>6086</v>
      </c>
      <c r="E26" s="4">
        <v>44892</v>
      </c>
      <c r="F26" s="2" t="s">
        <v>19</v>
      </c>
      <c r="G26" s="2" t="s">
        <v>16</v>
      </c>
      <c r="H26" s="60">
        <v>0.17083333333333331</v>
      </c>
      <c r="I26" s="60"/>
      <c r="L26" s="2"/>
      <c r="M26" s="2"/>
      <c r="N26" s="4"/>
      <c r="T26" s="105" t="s">
        <v>200</v>
      </c>
      <c r="U26" s="2">
        <v>13</v>
      </c>
      <c r="V26" s="99">
        <v>16</v>
      </c>
      <c r="X26" s="60">
        <v>0.1673611111111111</v>
      </c>
      <c r="Y26" s="2">
        <v>1</v>
      </c>
      <c r="AD26">
        <v>21</v>
      </c>
      <c r="AE26" s="4">
        <v>44838</v>
      </c>
      <c r="AF26" s="60">
        <v>0.1673611111111111</v>
      </c>
      <c r="AJ26">
        <v>21</v>
      </c>
      <c r="AK26" s="4">
        <v>44934</v>
      </c>
      <c r="AL26" s="60">
        <v>0.16874999999999998</v>
      </c>
    </row>
    <row r="27" spans="1:38" x14ac:dyDescent="0.3">
      <c r="B27" s="2">
        <v>24</v>
      </c>
      <c r="C27" s="2">
        <v>24</v>
      </c>
      <c r="D27" s="2" t="s">
        <v>331</v>
      </c>
      <c r="E27" s="4">
        <v>44894</v>
      </c>
      <c r="F27" s="2" t="s">
        <v>20</v>
      </c>
      <c r="G27" s="2" t="s">
        <v>17</v>
      </c>
      <c r="H27" s="60">
        <v>8.6111111111111124E-2</v>
      </c>
      <c r="I27" s="60" t="s">
        <v>834</v>
      </c>
      <c r="L27" s="2"/>
      <c r="M27" s="2"/>
      <c r="N27" s="4"/>
      <c r="T27" s="105" t="s">
        <v>201</v>
      </c>
      <c r="U27" s="2">
        <v>14</v>
      </c>
      <c r="V27" s="99">
        <v>13</v>
      </c>
      <c r="X27" s="60">
        <v>0.16874999999999998</v>
      </c>
      <c r="Y27" s="2">
        <v>1</v>
      </c>
      <c r="AD27">
        <v>22</v>
      </c>
      <c r="AE27" s="4">
        <v>44841</v>
      </c>
      <c r="AF27" s="60">
        <v>0.17013888888888887</v>
      </c>
      <c r="AJ27">
        <v>22</v>
      </c>
      <c r="AK27" s="4">
        <v>44990</v>
      </c>
      <c r="AL27" s="60">
        <v>0.20902777777777778</v>
      </c>
    </row>
    <row r="28" spans="1:38" x14ac:dyDescent="0.3">
      <c r="B28" s="2">
        <v>25</v>
      </c>
      <c r="C28" s="2">
        <v>26</v>
      </c>
      <c r="D28" s="2" t="s">
        <v>626</v>
      </c>
      <c r="E28" s="4">
        <v>44899</v>
      </c>
      <c r="F28" s="2" t="s">
        <v>19</v>
      </c>
      <c r="G28" s="2" t="s">
        <v>17</v>
      </c>
      <c r="H28" s="60">
        <v>0.21041666666666667</v>
      </c>
      <c r="I28" s="60" t="s">
        <v>834</v>
      </c>
      <c r="L28" s="2"/>
      <c r="M28" s="2"/>
      <c r="N28" s="4"/>
      <c r="T28" s="105" t="s">
        <v>202</v>
      </c>
      <c r="U28" s="2">
        <v>8</v>
      </c>
      <c r="V28" s="99">
        <v>7</v>
      </c>
      <c r="X28" s="60">
        <v>0.20902777777777778</v>
      </c>
      <c r="Y28" s="2">
        <v>2</v>
      </c>
      <c r="AD28">
        <v>23</v>
      </c>
      <c r="AE28" s="4">
        <v>44892</v>
      </c>
      <c r="AF28" s="60">
        <v>0.17083333333333331</v>
      </c>
      <c r="AJ28">
        <v>23</v>
      </c>
      <c r="AK28" s="4">
        <v>44946</v>
      </c>
      <c r="AL28" s="60">
        <v>0.33402777777777781</v>
      </c>
    </row>
    <row r="29" spans="1:38" x14ac:dyDescent="0.3">
      <c r="B29" s="2">
        <v>26</v>
      </c>
      <c r="C29" s="2">
        <v>25</v>
      </c>
      <c r="D29" s="2" t="s">
        <v>327</v>
      </c>
      <c r="E29" s="4">
        <v>44901</v>
      </c>
      <c r="F29" s="2" t="s">
        <v>20</v>
      </c>
      <c r="G29" s="2" t="s">
        <v>16</v>
      </c>
      <c r="H29" s="60">
        <v>6.9444444444444447E-4</v>
      </c>
      <c r="I29" s="60"/>
      <c r="L29" s="2"/>
      <c r="M29" s="2"/>
      <c r="N29" s="4"/>
      <c r="T29" s="105" t="s">
        <v>203</v>
      </c>
      <c r="U29" s="2">
        <v>5</v>
      </c>
      <c r="V29" s="99">
        <v>3</v>
      </c>
      <c r="X29" s="60">
        <v>0.20972222222222223</v>
      </c>
      <c r="Y29" s="2">
        <v>2</v>
      </c>
      <c r="AD29">
        <v>24</v>
      </c>
      <c r="AE29" s="4">
        <v>44885</v>
      </c>
      <c r="AF29" s="60">
        <v>0.20902777777777778</v>
      </c>
    </row>
    <row r="30" spans="1:38" x14ac:dyDescent="0.3">
      <c r="B30" s="2">
        <v>27</v>
      </c>
      <c r="C30" s="2">
        <v>27</v>
      </c>
      <c r="D30" s="2" t="s">
        <v>328</v>
      </c>
      <c r="E30" s="4">
        <v>44904</v>
      </c>
      <c r="F30" s="2" t="s">
        <v>18</v>
      </c>
      <c r="G30" s="2" t="s">
        <v>17</v>
      </c>
      <c r="H30" s="60">
        <v>0.21041666666666667</v>
      </c>
      <c r="I30" s="60"/>
      <c r="L30" s="2"/>
      <c r="M30" s="2"/>
      <c r="N30" s="4"/>
      <c r="T30" s="105" t="s">
        <v>204</v>
      </c>
      <c r="U30" s="2">
        <v>2</v>
      </c>
      <c r="V30" s="99">
        <v>2</v>
      </c>
      <c r="X30" s="60">
        <v>0.21041666666666667</v>
      </c>
      <c r="Y30" s="2">
        <v>3</v>
      </c>
      <c r="AD30">
        <v>25</v>
      </c>
      <c r="AE30" s="4">
        <v>44906</v>
      </c>
      <c r="AF30" s="60">
        <v>0.20972222222222223</v>
      </c>
    </row>
    <row r="31" spans="1:38" x14ac:dyDescent="0.3">
      <c r="B31" s="2">
        <v>28</v>
      </c>
      <c r="C31" s="2">
        <v>28</v>
      </c>
      <c r="D31" s="2" t="s">
        <v>325</v>
      </c>
      <c r="E31" s="4">
        <v>44906</v>
      </c>
      <c r="F31" s="2" t="s">
        <v>19</v>
      </c>
      <c r="G31" s="2" t="s">
        <v>17</v>
      </c>
      <c r="H31" s="60">
        <v>0.20972222222222223</v>
      </c>
      <c r="I31" s="60"/>
      <c r="L31" s="2"/>
      <c r="M31" s="2"/>
      <c r="N31" s="4"/>
      <c r="T31" s="105" t="s">
        <v>205</v>
      </c>
      <c r="U31" s="2"/>
      <c r="V31" s="99"/>
      <c r="X31" s="60">
        <v>0.25277777777777777</v>
      </c>
      <c r="Y31" s="2">
        <v>1</v>
      </c>
      <c r="AD31">
        <v>26</v>
      </c>
      <c r="AE31" s="4">
        <v>44917</v>
      </c>
      <c r="AF31" s="60">
        <v>0.20972222222222223</v>
      </c>
    </row>
    <row r="32" spans="1:38" x14ac:dyDescent="0.3">
      <c r="B32" s="2">
        <v>29</v>
      </c>
      <c r="C32" s="2">
        <v>29</v>
      </c>
      <c r="D32" s="2" t="s">
        <v>610</v>
      </c>
      <c r="E32" s="4">
        <v>44915</v>
      </c>
      <c r="F32" s="2" t="s">
        <v>20</v>
      </c>
      <c r="G32" s="2" t="s">
        <v>17</v>
      </c>
      <c r="H32" s="60" t="s">
        <v>352</v>
      </c>
      <c r="I32" s="60" t="s">
        <v>834</v>
      </c>
      <c r="K32" s="2"/>
      <c r="L32" s="2"/>
      <c r="M32" s="2"/>
      <c r="N32" s="4"/>
      <c r="T32" s="105" t="s">
        <v>3429</v>
      </c>
      <c r="U32" s="2"/>
      <c r="V32" s="99"/>
      <c r="X32" s="60">
        <v>0.33402777777777781</v>
      </c>
      <c r="Y32" s="2">
        <v>1</v>
      </c>
      <c r="AD32">
        <v>27</v>
      </c>
      <c r="AE32" s="4">
        <v>44871</v>
      </c>
      <c r="AF32" s="60">
        <v>0.21041666666666667</v>
      </c>
    </row>
    <row r="33" spans="2:39" ht="15" thickBot="1" x14ac:dyDescent="0.35">
      <c r="B33" s="2">
        <v>30</v>
      </c>
      <c r="C33" s="2">
        <v>30</v>
      </c>
      <c r="D33" s="2" t="s">
        <v>6091</v>
      </c>
      <c r="E33" s="4">
        <v>44917</v>
      </c>
      <c r="F33" s="2" t="s">
        <v>22</v>
      </c>
      <c r="G33" s="2" t="s">
        <v>16</v>
      </c>
      <c r="H33" s="60">
        <v>0.20972222222222223</v>
      </c>
      <c r="I33" s="60"/>
      <c r="L33" s="2"/>
      <c r="M33" s="2"/>
      <c r="N33" s="4"/>
      <c r="T33" s="102"/>
      <c r="U33" s="103">
        <f>SUM(U24:U32)</f>
        <v>55</v>
      </c>
      <c r="V33" s="104">
        <f>SUM(V24:V32)</f>
        <v>55</v>
      </c>
      <c r="X33" s="60">
        <v>4.5138888888888888E-2</v>
      </c>
      <c r="Y33" s="2">
        <v>1</v>
      </c>
      <c r="AD33">
        <v>28</v>
      </c>
      <c r="AE33" s="4">
        <v>44899</v>
      </c>
      <c r="AF33" s="60">
        <v>0.21041666666666667</v>
      </c>
    </row>
    <row r="34" spans="2:39" ht="15" thickBot="1" x14ac:dyDescent="0.35">
      <c r="B34" s="2">
        <v>31</v>
      </c>
      <c r="C34" s="2">
        <v>31</v>
      </c>
      <c r="D34" s="2" t="s">
        <v>332</v>
      </c>
      <c r="E34" s="4">
        <v>44921</v>
      </c>
      <c r="F34" s="2" t="s">
        <v>1250</v>
      </c>
      <c r="G34" s="2" t="s">
        <v>17</v>
      </c>
      <c r="H34" s="60">
        <v>8.5416666666666655E-2</v>
      </c>
      <c r="L34" s="2"/>
      <c r="M34" s="2"/>
      <c r="N34" s="4"/>
      <c r="X34" s="60">
        <v>8.6805555555555566E-2</v>
      </c>
      <c r="Y34" s="2">
        <v>1</v>
      </c>
      <c r="AD34">
        <v>29</v>
      </c>
      <c r="AE34" s="4">
        <v>44904</v>
      </c>
      <c r="AF34" s="60">
        <v>0.21041666666666667</v>
      </c>
    </row>
    <row r="35" spans="2:39" x14ac:dyDescent="0.3">
      <c r="B35" s="2">
        <v>32</v>
      </c>
      <c r="C35" s="2">
        <v>32</v>
      </c>
      <c r="D35" s="2" t="s">
        <v>6076</v>
      </c>
      <c r="E35" s="4">
        <v>44923</v>
      </c>
      <c r="F35" s="2" t="s">
        <v>21</v>
      </c>
      <c r="G35" s="2" t="s">
        <v>16</v>
      </c>
      <c r="H35" s="60">
        <v>2.0833333333333333E-3</v>
      </c>
      <c r="I35" s="60"/>
      <c r="L35" s="2"/>
      <c r="M35" s="2"/>
      <c r="N35" s="4"/>
      <c r="U35" s="395" t="s">
        <v>3438</v>
      </c>
      <c r="V35" s="186" t="s">
        <v>3437</v>
      </c>
      <c r="X35" s="60">
        <v>8.4027777777777771E-2</v>
      </c>
      <c r="Y35" s="2">
        <v>2</v>
      </c>
      <c r="AD35">
        <v>30</v>
      </c>
      <c r="AE35" s="4">
        <v>44866</v>
      </c>
      <c r="AF35" s="60">
        <v>0.25277777777777777</v>
      </c>
    </row>
    <row r="36" spans="2:39" ht="15" thickBot="1" x14ac:dyDescent="0.35">
      <c r="B36" s="2">
        <v>33</v>
      </c>
      <c r="C36" s="2">
        <v>33</v>
      </c>
      <c r="D36" s="2" t="s">
        <v>1274</v>
      </c>
      <c r="E36" s="4">
        <v>44925</v>
      </c>
      <c r="F36" s="2" t="s">
        <v>18</v>
      </c>
      <c r="G36" s="425" t="s">
        <v>17</v>
      </c>
      <c r="H36" s="60" t="s">
        <v>171</v>
      </c>
      <c r="I36" s="60" t="s">
        <v>834</v>
      </c>
      <c r="L36" s="2"/>
      <c r="M36" s="2"/>
      <c r="N36" s="4"/>
      <c r="U36" s="396">
        <f>(V15+V16+V17+V18+V19+V20)/V21</f>
        <v>0.4</v>
      </c>
      <c r="V36" s="394">
        <f>(V27+V28+V29+V30+V31+V32)/V33</f>
        <v>0.45454545454545453</v>
      </c>
      <c r="X36" s="60"/>
    </row>
    <row r="37" spans="2:39" x14ac:dyDescent="0.3">
      <c r="B37" s="2">
        <v>34</v>
      </c>
      <c r="C37" s="2">
        <v>34</v>
      </c>
      <c r="D37" s="2" t="s">
        <v>6179</v>
      </c>
      <c r="E37" s="4">
        <v>44929</v>
      </c>
      <c r="F37" s="2" t="s">
        <v>20</v>
      </c>
      <c r="G37" s="2" t="s">
        <v>16</v>
      </c>
      <c r="H37" s="60">
        <v>4.3750000000000004E-2</v>
      </c>
      <c r="I37" s="60"/>
      <c r="L37" s="2"/>
      <c r="M37" s="2"/>
      <c r="N37" s="4"/>
      <c r="AF37" s="2" t="s">
        <v>5257</v>
      </c>
      <c r="AG37" s="2" t="s">
        <v>783</v>
      </c>
      <c r="AL37" s="2" t="s">
        <v>5257</v>
      </c>
      <c r="AM37" s="2" t="s">
        <v>783</v>
      </c>
    </row>
    <row r="38" spans="2:39" x14ac:dyDescent="0.3">
      <c r="B38" s="2">
        <v>35</v>
      </c>
      <c r="C38" s="2">
        <v>35</v>
      </c>
      <c r="D38" s="2" t="s">
        <v>334</v>
      </c>
      <c r="E38" s="4">
        <v>44932</v>
      </c>
      <c r="F38" s="2" t="s">
        <v>18</v>
      </c>
      <c r="G38" s="2" t="s">
        <v>16</v>
      </c>
      <c r="H38" s="60" t="s">
        <v>171</v>
      </c>
      <c r="I38" s="60"/>
      <c r="AD38" s="1153" t="s">
        <v>5254</v>
      </c>
      <c r="AE38" s="1153"/>
      <c r="AF38" s="2">
        <f>COUNT(AF13:AF35)</f>
        <v>23</v>
      </c>
      <c r="AG38" s="120">
        <f>(AF38/$AD$35)*100</f>
        <v>76.666666666666671</v>
      </c>
      <c r="AJ38" s="1153" t="s">
        <v>5254</v>
      </c>
      <c r="AK38" s="1153"/>
      <c r="AL38" s="2">
        <f>COUNT(AL15:AL28)</f>
        <v>14</v>
      </c>
      <c r="AM38" s="120">
        <f>(AL38/$AJ$28)*100</f>
        <v>60.869565217391312</v>
      </c>
    </row>
    <row r="39" spans="2:39" ht="15" thickBot="1" x14ac:dyDescent="0.35">
      <c r="B39" s="2">
        <v>36</v>
      </c>
      <c r="C39" s="2">
        <v>36</v>
      </c>
      <c r="D39" s="2" t="s">
        <v>6086</v>
      </c>
      <c r="E39" s="4">
        <v>44934</v>
      </c>
      <c r="F39" s="2" t="s">
        <v>19</v>
      </c>
      <c r="G39" s="2" t="s">
        <v>17</v>
      </c>
      <c r="H39" s="60">
        <v>0.16874999999999998</v>
      </c>
      <c r="I39" s="60" t="s">
        <v>834</v>
      </c>
      <c r="AD39" s="1153" t="s">
        <v>5255</v>
      </c>
      <c r="AE39" s="1153"/>
      <c r="AF39" s="2">
        <f>COUNT(AF19:AF35)</f>
        <v>17</v>
      </c>
      <c r="AG39" s="120">
        <f>(AF39/$AD$35)*100</f>
        <v>56.666666666666664</v>
      </c>
      <c r="AJ39" s="1153" t="s">
        <v>5255</v>
      </c>
      <c r="AK39" s="1153"/>
      <c r="AL39" s="2">
        <f>COUNT(AL25:AL28)</f>
        <v>4</v>
      </c>
      <c r="AM39" s="120">
        <f>(AL39/$AJ$28)*100</f>
        <v>17.391304347826086</v>
      </c>
    </row>
    <row r="40" spans="2:39" ht="15" thickBot="1" x14ac:dyDescent="0.35">
      <c r="B40" s="2">
        <v>37</v>
      </c>
      <c r="C40" s="2">
        <v>37</v>
      </c>
      <c r="D40" s="2" t="s">
        <v>331</v>
      </c>
      <c r="E40" s="4">
        <v>44939</v>
      </c>
      <c r="F40" s="2" t="s">
        <v>18</v>
      </c>
      <c r="G40" s="2" t="s">
        <v>16</v>
      </c>
      <c r="H40" s="60">
        <v>4.4444444444444446E-2</v>
      </c>
      <c r="I40" s="60"/>
      <c r="L40" s="1146" t="s">
        <v>4709</v>
      </c>
      <c r="M40" s="1147"/>
      <c r="N40" s="1148"/>
      <c r="O40" s="240" t="s">
        <v>315</v>
      </c>
      <c r="AD40" s="1153" t="s">
        <v>5256</v>
      </c>
      <c r="AE40" s="1153"/>
      <c r="AF40" s="2">
        <f>COUNT(AF25:AF35)</f>
        <v>11</v>
      </c>
      <c r="AG40" s="120">
        <f>(AF40/$AD$35)*100</f>
        <v>36.666666666666664</v>
      </c>
      <c r="AJ40" s="1153" t="s">
        <v>5256</v>
      </c>
      <c r="AK40" s="1153"/>
      <c r="AL40" s="2">
        <f>COUNT(AL26:AL28)</f>
        <v>3</v>
      </c>
      <c r="AM40" s="120">
        <f>(AL40/$AJ$28)*100</f>
        <v>13.043478260869565</v>
      </c>
    </row>
    <row r="41" spans="2:39" x14ac:dyDescent="0.3">
      <c r="B41" s="2">
        <v>38</v>
      </c>
      <c r="C41" s="2">
        <v>38</v>
      </c>
      <c r="D41" s="2" t="s">
        <v>327</v>
      </c>
      <c r="E41" s="4">
        <v>44941</v>
      </c>
      <c r="F41" s="2" t="s">
        <v>19</v>
      </c>
      <c r="G41" s="2" t="s">
        <v>17</v>
      </c>
      <c r="H41" s="60">
        <v>4.3055555555555562E-2</v>
      </c>
      <c r="I41" s="60"/>
      <c r="L41" s="430" t="s">
        <v>238</v>
      </c>
      <c r="M41" s="431" t="s">
        <v>240</v>
      </c>
      <c r="N41" s="431" t="s">
        <v>241</v>
      </c>
      <c r="O41" s="186" t="s">
        <v>314</v>
      </c>
    </row>
    <row r="42" spans="2:39" ht="15" thickBot="1" x14ac:dyDescent="0.35">
      <c r="B42" s="2">
        <v>39</v>
      </c>
      <c r="C42" s="2">
        <v>39</v>
      </c>
      <c r="D42" s="2" t="s">
        <v>626</v>
      </c>
      <c r="E42" s="4">
        <v>44946</v>
      </c>
      <c r="F42" s="2" t="s">
        <v>18</v>
      </c>
      <c r="G42" s="2" t="s">
        <v>16</v>
      </c>
      <c r="H42" s="60">
        <v>0.33402777777777781</v>
      </c>
      <c r="I42" s="60"/>
      <c r="L42" s="354">
        <v>44777</v>
      </c>
      <c r="M42" s="63" t="s">
        <v>4029</v>
      </c>
      <c r="N42" s="63" t="s">
        <v>818</v>
      </c>
      <c r="O42" s="793">
        <v>0.125</v>
      </c>
    </row>
    <row r="43" spans="2:39" ht="15" thickBot="1" x14ac:dyDescent="0.35">
      <c r="B43" s="2">
        <v>40</v>
      </c>
      <c r="C43" s="2">
        <v>40</v>
      </c>
      <c r="D43" s="2" t="s">
        <v>328</v>
      </c>
      <c r="E43" s="4">
        <v>44948</v>
      </c>
      <c r="F43" s="2" t="s">
        <v>19</v>
      </c>
      <c r="G43" s="2" t="s">
        <v>16</v>
      </c>
      <c r="H43" s="60" t="s">
        <v>352</v>
      </c>
      <c r="I43" s="60"/>
      <c r="L43" s="354">
        <v>44782</v>
      </c>
      <c r="M43" s="63" t="s">
        <v>818</v>
      </c>
      <c r="N43" s="63" t="s">
        <v>6076</v>
      </c>
      <c r="O43" s="793">
        <v>0.20972222222222223</v>
      </c>
      <c r="T43" s="789"/>
      <c r="U43" s="380" t="s">
        <v>3438</v>
      </c>
      <c r="V43" s="240" t="s">
        <v>3437</v>
      </c>
    </row>
    <row r="44" spans="2:39" x14ac:dyDescent="0.3">
      <c r="B44" s="2">
        <v>41</v>
      </c>
      <c r="C44" s="2">
        <v>41</v>
      </c>
      <c r="D44" s="2" t="s">
        <v>325</v>
      </c>
      <c r="E44" s="4">
        <v>44951</v>
      </c>
      <c r="F44" s="2" t="s">
        <v>21</v>
      </c>
      <c r="G44" s="2" t="s">
        <v>16</v>
      </c>
      <c r="H44" s="60">
        <v>8.5416666666666655E-2</v>
      </c>
      <c r="I44" s="60"/>
      <c r="L44" s="354">
        <v>44789</v>
      </c>
      <c r="M44" s="63" t="s">
        <v>818</v>
      </c>
      <c r="N44" s="63" t="s">
        <v>331</v>
      </c>
      <c r="O44" s="793">
        <v>0.29166666666666669</v>
      </c>
      <c r="T44" s="121" t="s">
        <v>4708</v>
      </c>
      <c r="U44" s="587">
        <f>U36</f>
        <v>0.4</v>
      </c>
      <c r="V44" s="792">
        <f>V36</f>
        <v>0.45454545454545453</v>
      </c>
    </row>
    <row r="45" spans="2:39" x14ac:dyDescent="0.3">
      <c r="B45" s="2">
        <v>42</v>
      </c>
      <c r="C45" s="2">
        <v>42</v>
      </c>
      <c r="D45" s="2" t="s">
        <v>610</v>
      </c>
      <c r="E45" s="4">
        <v>44953</v>
      </c>
      <c r="F45" s="2" t="s">
        <v>18</v>
      </c>
      <c r="G45" s="2" t="s">
        <v>16</v>
      </c>
      <c r="H45" s="60">
        <v>4.5138888888888888E-2</v>
      </c>
      <c r="I45" s="60"/>
      <c r="L45" s="354">
        <v>44796</v>
      </c>
      <c r="M45" s="63" t="s">
        <v>818</v>
      </c>
      <c r="N45" s="63" t="s">
        <v>610</v>
      </c>
      <c r="O45" s="793">
        <v>8.6805555555555566E-2</v>
      </c>
      <c r="T45" s="121" t="s">
        <v>4409</v>
      </c>
      <c r="U45" s="587">
        <v>0.5178571428571429</v>
      </c>
      <c r="V45" s="792">
        <v>0.5892857142857143</v>
      </c>
    </row>
    <row r="46" spans="2:39" x14ac:dyDescent="0.3">
      <c r="B46" s="2">
        <v>43</v>
      </c>
      <c r="C46" s="2">
        <v>43</v>
      </c>
      <c r="D46" s="2" t="s">
        <v>6091</v>
      </c>
      <c r="E46" s="4">
        <v>44955</v>
      </c>
      <c r="F46" s="2" t="s">
        <v>19</v>
      </c>
      <c r="G46" s="2" t="s">
        <v>17</v>
      </c>
      <c r="H46" s="60" t="s">
        <v>619</v>
      </c>
      <c r="I46" s="60" t="s">
        <v>834</v>
      </c>
      <c r="L46" s="354">
        <v>44801</v>
      </c>
      <c r="M46" s="63" t="s">
        <v>4711</v>
      </c>
      <c r="N46" s="63" t="s">
        <v>818</v>
      </c>
      <c r="O46" s="793">
        <v>8.3333333333333329E-2</v>
      </c>
      <c r="T46" s="121" t="s">
        <v>4410</v>
      </c>
      <c r="U46" s="587">
        <v>0.38181818181818183</v>
      </c>
      <c r="V46" s="792">
        <v>0.47272727272727272</v>
      </c>
    </row>
    <row r="47" spans="2:39" x14ac:dyDescent="0.3">
      <c r="B47" s="2">
        <v>44</v>
      </c>
      <c r="C47" s="2">
        <v>44</v>
      </c>
      <c r="D47" s="2" t="s">
        <v>332</v>
      </c>
      <c r="E47" s="4">
        <v>44960</v>
      </c>
      <c r="F47" s="2" t="s">
        <v>18</v>
      </c>
      <c r="G47" s="2" t="s">
        <v>16</v>
      </c>
      <c r="H47" s="60">
        <v>8.6805555555555566E-2</v>
      </c>
      <c r="I47" s="60" t="s">
        <v>834</v>
      </c>
      <c r="L47" s="354">
        <v>44803</v>
      </c>
      <c r="M47" s="63" t="s">
        <v>818</v>
      </c>
      <c r="N47" s="63" t="s">
        <v>6086</v>
      </c>
      <c r="O47" s="793" t="s">
        <v>159</v>
      </c>
      <c r="T47" s="121" t="s">
        <v>4411</v>
      </c>
      <c r="U47" s="587">
        <v>0.51923076923076927</v>
      </c>
      <c r="V47" s="792">
        <v>0.55769230769230771</v>
      </c>
    </row>
    <row r="48" spans="2:39" x14ac:dyDescent="0.3">
      <c r="B48" s="2">
        <v>45</v>
      </c>
      <c r="C48" s="2">
        <v>45</v>
      </c>
      <c r="D48" s="2" t="s">
        <v>6076</v>
      </c>
      <c r="E48" s="4">
        <v>44962</v>
      </c>
      <c r="F48" s="2" t="s">
        <v>19</v>
      </c>
      <c r="G48" s="2" t="s">
        <v>17</v>
      </c>
      <c r="H48" s="60" t="s">
        <v>589</v>
      </c>
      <c r="I48" s="60" t="s">
        <v>834</v>
      </c>
      <c r="L48" s="354">
        <v>44805</v>
      </c>
      <c r="M48" s="63" t="s">
        <v>610</v>
      </c>
      <c r="N48" s="63" t="s">
        <v>818</v>
      </c>
      <c r="O48" s="793">
        <v>0.16874999999999998</v>
      </c>
      <c r="T48" s="121" t="s">
        <v>4412</v>
      </c>
      <c r="U48" s="587">
        <v>0.38461538461538464</v>
      </c>
      <c r="V48" s="792">
        <v>0.53846153846153844</v>
      </c>
    </row>
    <row r="49" spans="2:22" ht="15" thickBot="1" x14ac:dyDescent="0.35">
      <c r="B49" s="2">
        <v>46</v>
      </c>
      <c r="C49" s="2">
        <v>46</v>
      </c>
      <c r="D49" s="2" t="s">
        <v>1274</v>
      </c>
      <c r="E49" s="4">
        <v>44972</v>
      </c>
      <c r="F49" s="2" t="s">
        <v>21</v>
      </c>
      <c r="G49" s="2" t="s">
        <v>16</v>
      </c>
      <c r="H49" s="60">
        <v>2.0833333333333333E-3</v>
      </c>
      <c r="I49" s="60"/>
      <c r="L49" s="354">
        <v>44810</v>
      </c>
      <c r="M49" s="63" t="s">
        <v>6076</v>
      </c>
      <c r="N49" s="63" t="s">
        <v>818</v>
      </c>
      <c r="O49" s="793">
        <v>4.3055555555555562E-2</v>
      </c>
      <c r="T49" s="790" t="s">
        <v>4413</v>
      </c>
      <c r="U49" s="791">
        <v>0.375</v>
      </c>
      <c r="V49" s="396">
        <v>0.609375</v>
      </c>
    </row>
    <row r="50" spans="2:22" ht="15" thickBot="1" x14ac:dyDescent="0.35">
      <c r="B50" s="2">
        <v>47</v>
      </c>
      <c r="C50" s="2">
        <v>47</v>
      </c>
      <c r="D50" s="2" t="s">
        <v>6179</v>
      </c>
      <c r="E50" s="4">
        <v>44974</v>
      </c>
      <c r="F50" s="2" t="s">
        <v>18</v>
      </c>
      <c r="G50" s="2" t="s">
        <v>17</v>
      </c>
      <c r="H50" s="60" t="s">
        <v>352</v>
      </c>
      <c r="I50" s="60" t="s">
        <v>834</v>
      </c>
      <c r="L50" s="355">
        <v>44720</v>
      </c>
      <c r="M50" s="429" t="s">
        <v>818</v>
      </c>
      <c r="N50" s="429" t="s">
        <v>4029</v>
      </c>
      <c r="O50" s="794">
        <v>0.125</v>
      </c>
    </row>
    <row r="51" spans="2:22" x14ac:dyDescent="0.3">
      <c r="B51" s="2">
        <v>48</v>
      </c>
      <c r="C51" s="2">
        <v>48</v>
      </c>
      <c r="D51" s="2" t="s">
        <v>334</v>
      </c>
      <c r="E51" s="4">
        <v>44976</v>
      </c>
      <c r="F51" s="2" t="s">
        <v>19</v>
      </c>
      <c r="G51" s="2" t="s">
        <v>17</v>
      </c>
      <c r="H51" s="60" t="s">
        <v>164</v>
      </c>
      <c r="I51" s="60" t="s">
        <v>834</v>
      </c>
      <c r="L51" s="519"/>
      <c r="M51" s="63"/>
      <c r="N51" s="63"/>
      <c r="O51" s="60"/>
    </row>
    <row r="52" spans="2:22" x14ac:dyDescent="0.3">
      <c r="B52" s="2">
        <v>49</v>
      </c>
      <c r="C52" s="2">
        <v>49</v>
      </c>
      <c r="D52" s="2" t="s">
        <v>6086</v>
      </c>
      <c r="E52" s="4">
        <v>44981</v>
      </c>
      <c r="F52" s="2" t="s">
        <v>18</v>
      </c>
      <c r="G52" s="2" t="s">
        <v>16</v>
      </c>
      <c r="H52" s="60">
        <v>8.4027777777777771E-2</v>
      </c>
      <c r="I52" s="60"/>
      <c r="L52" s="519"/>
      <c r="M52" s="63"/>
      <c r="N52" s="63"/>
      <c r="O52" s="60"/>
      <c r="P52" s="2"/>
    </row>
    <row r="53" spans="2:22" x14ac:dyDescent="0.3">
      <c r="B53" s="2">
        <v>50</v>
      </c>
      <c r="C53" s="2">
        <v>50</v>
      </c>
      <c r="D53" s="2" t="s">
        <v>331</v>
      </c>
      <c r="E53" s="4">
        <v>44983</v>
      </c>
      <c r="F53" s="2" t="s">
        <v>19</v>
      </c>
      <c r="G53" s="2" t="s">
        <v>17</v>
      </c>
      <c r="H53" s="60">
        <v>8.4027777777777771E-2</v>
      </c>
      <c r="I53" s="60" t="s">
        <v>834</v>
      </c>
      <c r="L53" s="519"/>
      <c r="M53" s="63"/>
      <c r="N53" s="63"/>
      <c r="O53" s="60"/>
      <c r="P53" s="2"/>
    </row>
    <row r="54" spans="2:22" x14ac:dyDescent="0.3">
      <c r="B54" s="2">
        <v>51</v>
      </c>
      <c r="C54" s="2">
        <v>51</v>
      </c>
      <c r="D54" s="2" t="s">
        <v>327</v>
      </c>
      <c r="E54" s="4">
        <v>44988</v>
      </c>
      <c r="F54" s="2" t="s">
        <v>18</v>
      </c>
      <c r="G54" s="2" t="s">
        <v>16</v>
      </c>
      <c r="H54" s="60" t="s">
        <v>352</v>
      </c>
      <c r="I54" s="60"/>
      <c r="O54" s="428">
        <v>1.3020833333333333</v>
      </c>
      <c r="P54" t="s">
        <v>580</v>
      </c>
    </row>
    <row r="55" spans="2:22" x14ac:dyDescent="0.3">
      <c r="B55" s="2">
        <v>52</v>
      </c>
      <c r="C55" s="2">
        <v>52</v>
      </c>
      <c r="D55" s="2" t="s">
        <v>626</v>
      </c>
      <c r="E55" s="4">
        <v>44990</v>
      </c>
      <c r="F55" s="2" t="s">
        <v>19</v>
      </c>
      <c r="G55" s="2" t="s">
        <v>17</v>
      </c>
      <c r="H55" s="60">
        <v>0.20902777777777778</v>
      </c>
      <c r="I55" s="60"/>
      <c r="O55" s="60">
        <v>0.83819444444444446</v>
      </c>
      <c r="P55" t="s">
        <v>821</v>
      </c>
    </row>
    <row r="56" spans="2:22" x14ac:dyDescent="0.3">
      <c r="B56" s="2">
        <v>53</v>
      </c>
      <c r="C56" s="2" t="s">
        <v>1060</v>
      </c>
      <c r="D56" s="2" t="s">
        <v>334</v>
      </c>
      <c r="E56" s="4">
        <v>44993</v>
      </c>
      <c r="F56" s="2" t="s">
        <v>21</v>
      </c>
      <c r="G56" s="2" t="s">
        <v>16</v>
      </c>
      <c r="H56" s="60">
        <v>4.3750000000000004E-2</v>
      </c>
      <c r="I56" s="60"/>
    </row>
    <row r="57" spans="2:22" x14ac:dyDescent="0.3">
      <c r="B57" s="2">
        <v>54</v>
      </c>
      <c r="C57" s="2" t="s">
        <v>1060</v>
      </c>
      <c r="D57" s="2" t="s">
        <v>334</v>
      </c>
      <c r="E57" s="4">
        <v>44994</v>
      </c>
      <c r="F57" s="2" t="s">
        <v>22</v>
      </c>
      <c r="G57" s="2" t="s">
        <v>16</v>
      </c>
      <c r="H57" s="60" t="s">
        <v>359</v>
      </c>
      <c r="I57" s="60"/>
    </row>
    <row r="58" spans="2:22" x14ac:dyDescent="0.3">
      <c r="B58" s="2">
        <v>55</v>
      </c>
      <c r="C58" s="2" t="s">
        <v>1060</v>
      </c>
      <c r="D58" s="2" t="s">
        <v>334</v>
      </c>
      <c r="E58" s="4">
        <v>44996</v>
      </c>
      <c r="F58" s="2" t="s">
        <v>23</v>
      </c>
      <c r="G58" s="2" t="s">
        <v>17</v>
      </c>
      <c r="H58" s="60">
        <v>8.6111111111111124E-2</v>
      </c>
      <c r="I58" s="60" t="s">
        <v>834</v>
      </c>
    </row>
    <row r="59" spans="2:22" ht="16.5" customHeight="1" x14ac:dyDescent="0.3">
      <c r="B59" s="2"/>
      <c r="E59" s="4"/>
      <c r="H59" s="60"/>
      <c r="I59" s="60"/>
    </row>
    <row r="60" spans="2:22" x14ac:dyDescent="0.3">
      <c r="B60" s="1153"/>
      <c r="C60" s="1153"/>
      <c r="D60"/>
      <c r="E60"/>
      <c r="F60"/>
      <c r="G60"/>
      <c r="H60" s="60"/>
      <c r="I60" s="60"/>
    </row>
    <row r="61" spans="2:22" x14ac:dyDescent="0.3">
      <c r="B61" s="1153"/>
      <c r="C61" s="1153"/>
      <c r="D61"/>
      <c r="E61"/>
      <c r="F61"/>
      <c r="G61"/>
      <c r="H61" s="60"/>
      <c r="I61" s="60"/>
    </row>
    <row r="62" spans="2:22" x14ac:dyDescent="0.3">
      <c r="B62" s="1153"/>
      <c r="C62" s="1153"/>
      <c r="E62" s="4"/>
      <c r="H62" s="60"/>
      <c r="I62" s="60"/>
    </row>
    <row r="63" spans="2:22" x14ac:dyDescent="0.3">
      <c r="B63" s="1153"/>
      <c r="C63" s="1153"/>
      <c r="E63" s="4"/>
      <c r="H63" s="60"/>
      <c r="I63" s="60"/>
    </row>
    <row r="64" spans="2:22" x14ac:dyDescent="0.3">
      <c r="B64" s="1153"/>
      <c r="C64" s="1153"/>
      <c r="E64" s="4"/>
      <c r="H64" s="60"/>
      <c r="I64" s="60"/>
    </row>
    <row r="65" spans="1:22" x14ac:dyDescent="0.3">
      <c r="B65" s="2"/>
      <c r="E65" s="4"/>
      <c r="H65" s="60"/>
      <c r="I65" s="60"/>
    </row>
    <row r="66" spans="1:22" ht="15" thickBot="1" x14ac:dyDescent="0.35">
      <c r="B66" s="2"/>
      <c r="E66" s="4"/>
      <c r="H66" s="60"/>
      <c r="I66" s="60"/>
    </row>
    <row r="67" spans="1:22" ht="15" thickBot="1" x14ac:dyDescent="0.35">
      <c r="B67" s="2"/>
      <c r="E67" s="295">
        <f>I67/(E86+3)</f>
        <v>0.45454545454545453</v>
      </c>
      <c r="F67" s="296" t="s">
        <v>1121</v>
      </c>
      <c r="G67" s="297"/>
      <c r="H67" s="298"/>
      <c r="I67" s="520">
        <f>52-(COUNTBLANK(I4:I55))+1</f>
        <v>25</v>
      </c>
    </row>
    <row r="68" spans="1:22" ht="15" thickBot="1" x14ac:dyDescent="0.35">
      <c r="B68" s="2"/>
      <c r="E68"/>
      <c r="F68"/>
      <c r="G68"/>
      <c r="H68"/>
    </row>
    <row r="69" spans="1:22" x14ac:dyDescent="0.3">
      <c r="B69" s="1167" t="s">
        <v>5040</v>
      </c>
      <c r="C69" s="1168"/>
      <c r="D69" s="1168"/>
      <c r="E69" s="1168"/>
      <c r="F69" s="1168"/>
      <c r="G69" s="1168"/>
      <c r="H69" s="1169"/>
    </row>
    <row r="70" spans="1:22" s="2" customFormat="1" ht="15" thickBot="1" x14ac:dyDescent="0.35">
      <c r="A70"/>
      <c r="B70" s="201"/>
      <c r="C70" s="202" t="s">
        <v>16</v>
      </c>
      <c r="D70" s="202" t="s">
        <v>793</v>
      </c>
      <c r="E70" s="202" t="s">
        <v>794</v>
      </c>
      <c r="F70" s="202" t="s">
        <v>743</v>
      </c>
      <c r="G70" s="202" t="s">
        <v>796</v>
      </c>
      <c r="H70" s="203" t="s">
        <v>795</v>
      </c>
      <c r="J70"/>
      <c r="K70"/>
      <c r="Q70"/>
      <c r="R70"/>
      <c r="S70"/>
      <c r="T70"/>
      <c r="U70"/>
      <c r="V70"/>
    </row>
    <row r="71" spans="1:22" s="2" customFormat="1" x14ac:dyDescent="0.3">
      <c r="A71"/>
      <c r="B71" s="204" t="s">
        <v>792</v>
      </c>
      <c r="C71" s="205">
        <f>C72+C73</f>
        <v>2</v>
      </c>
      <c r="D71" s="205">
        <f t="shared" ref="D71:F71" si="0">D72+D73</f>
        <v>0</v>
      </c>
      <c r="E71" s="205">
        <f t="shared" si="0"/>
        <v>3</v>
      </c>
      <c r="F71" s="205">
        <f t="shared" si="0"/>
        <v>8</v>
      </c>
      <c r="G71" s="205">
        <f>G72+G73</f>
        <v>9</v>
      </c>
      <c r="H71" s="274">
        <v>1.2381944444444444</v>
      </c>
      <c r="I71" s="243"/>
      <c r="J71"/>
      <c r="K71"/>
      <c r="Q71"/>
      <c r="R71"/>
      <c r="S71"/>
      <c r="T71"/>
      <c r="U71"/>
      <c r="V71"/>
    </row>
    <row r="72" spans="1:22" s="2" customFormat="1" x14ac:dyDescent="0.3">
      <c r="A72"/>
      <c r="B72" s="198" t="s">
        <v>797</v>
      </c>
      <c r="C72" s="183">
        <v>1</v>
      </c>
      <c r="D72" s="183">
        <v>0</v>
      </c>
      <c r="E72" s="183">
        <v>3</v>
      </c>
      <c r="F72" s="183">
        <v>2</v>
      </c>
      <c r="G72" s="383">
        <f>C72*3+D72*2+E72</f>
        <v>6</v>
      </c>
      <c r="H72" s="229">
        <v>0.46875</v>
      </c>
      <c r="I72" s="60"/>
      <c r="J72"/>
      <c r="K72"/>
      <c r="Q72"/>
      <c r="R72"/>
      <c r="S72"/>
      <c r="T72"/>
      <c r="U72"/>
      <c r="V72"/>
    </row>
    <row r="73" spans="1:22" s="2" customFormat="1" ht="15" thickBot="1" x14ac:dyDescent="0.35">
      <c r="A73"/>
      <c r="B73" s="592" t="s">
        <v>798</v>
      </c>
      <c r="C73" s="202">
        <v>1</v>
      </c>
      <c r="D73" s="202">
        <v>0</v>
      </c>
      <c r="E73" s="202">
        <v>0</v>
      </c>
      <c r="F73" s="202">
        <v>6</v>
      </c>
      <c r="G73" s="593">
        <f>C73*3+D73*2+E73</f>
        <v>3</v>
      </c>
      <c r="H73" s="590">
        <v>0.76944444444444438</v>
      </c>
      <c r="I73" s="244"/>
      <c r="J73"/>
      <c r="K73"/>
      <c r="Q73"/>
      <c r="R73"/>
      <c r="S73"/>
      <c r="T73"/>
      <c r="U73"/>
      <c r="V73"/>
    </row>
    <row r="74" spans="1:22" s="2" customFormat="1" x14ac:dyDescent="0.3">
      <c r="A74"/>
      <c r="B74" s="204" t="s">
        <v>799</v>
      </c>
      <c r="C74" s="205">
        <f>C75+C76</f>
        <v>5</v>
      </c>
      <c r="D74" s="205">
        <f t="shared" ref="D74:F74" si="1">D75+D76</f>
        <v>1</v>
      </c>
      <c r="E74" s="205">
        <f t="shared" si="1"/>
        <v>2</v>
      </c>
      <c r="F74" s="205">
        <f t="shared" si="1"/>
        <v>5</v>
      </c>
      <c r="G74" s="589">
        <f>G75+G76</f>
        <v>19</v>
      </c>
      <c r="H74" s="274">
        <v>1.6923611111111112</v>
      </c>
      <c r="I74" s="243"/>
      <c r="J74"/>
      <c r="K74"/>
      <c r="L74"/>
      <c r="M74"/>
      <c r="N74"/>
      <c r="P74"/>
      <c r="Q74"/>
      <c r="R74"/>
      <c r="S74"/>
      <c r="T74"/>
      <c r="U74"/>
      <c r="V74"/>
    </row>
    <row r="75" spans="1:22" s="2" customFormat="1" x14ac:dyDescent="0.3">
      <c r="A75"/>
      <c r="B75" s="198" t="s">
        <v>797</v>
      </c>
      <c r="C75" s="183">
        <v>5</v>
      </c>
      <c r="D75" s="183">
        <v>0</v>
      </c>
      <c r="E75" s="183">
        <v>1</v>
      </c>
      <c r="F75" s="183">
        <v>1</v>
      </c>
      <c r="G75" s="383">
        <f>C75*3+D75*2+E75</f>
        <v>16</v>
      </c>
      <c r="H75" s="400">
        <v>1.1784722222222224</v>
      </c>
      <c r="I75" s="244"/>
      <c r="J75"/>
      <c r="K75"/>
      <c r="L75"/>
      <c r="M75"/>
      <c r="N75"/>
      <c r="P75"/>
      <c r="Q75"/>
      <c r="R75"/>
      <c r="S75"/>
      <c r="T75"/>
      <c r="U75"/>
      <c r="V75"/>
    </row>
    <row r="76" spans="1:22" s="2" customFormat="1" ht="15" thickBot="1" x14ac:dyDescent="0.35">
      <c r="A76"/>
      <c r="B76" s="199" t="s">
        <v>798</v>
      </c>
      <c r="C76" s="200">
        <v>0</v>
      </c>
      <c r="D76" s="200">
        <v>1</v>
      </c>
      <c r="E76" s="200">
        <v>1</v>
      </c>
      <c r="F76" s="200">
        <v>4</v>
      </c>
      <c r="G76" s="384">
        <f>C76*3+D76*2+E76</f>
        <v>3</v>
      </c>
      <c r="H76" s="249">
        <v>0.51388888888888895</v>
      </c>
      <c r="I76" s="244"/>
      <c r="J76"/>
      <c r="K76"/>
      <c r="L76"/>
      <c r="M76"/>
      <c r="N76"/>
      <c r="P76"/>
      <c r="Q76"/>
      <c r="R76"/>
      <c r="S76"/>
      <c r="T76"/>
      <c r="U76"/>
      <c r="V76"/>
    </row>
    <row r="77" spans="1:22" s="2" customFormat="1" x14ac:dyDescent="0.3">
      <c r="A77"/>
      <c r="B77" s="594" t="s">
        <v>800</v>
      </c>
      <c r="C77" s="595">
        <f>C78+C79</f>
        <v>5</v>
      </c>
      <c r="D77" s="595">
        <f t="shared" ref="D77:F77" si="2">D78+D79</f>
        <v>1</v>
      </c>
      <c r="E77" s="595">
        <f t="shared" si="2"/>
        <v>2</v>
      </c>
      <c r="F77" s="595">
        <f t="shared" si="2"/>
        <v>5</v>
      </c>
      <c r="G77" s="595">
        <f>G78+G79</f>
        <v>19</v>
      </c>
      <c r="H77" s="591">
        <v>1.6486111111111112</v>
      </c>
      <c r="I77" s="243"/>
      <c r="J77"/>
      <c r="K77"/>
      <c r="L77"/>
      <c r="M77"/>
      <c r="N77"/>
      <c r="P77"/>
      <c r="Q77"/>
      <c r="R77"/>
      <c r="S77"/>
      <c r="T77"/>
      <c r="U77"/>
      <c r="V77"/>
    </row>
    <row r="78" spans="1:22" s="2" customFormat="1" x14ac:dyDescent="0.3">
      <c r="A78"/>
      <c r="B78" s="198" t="s">
        <v>797</v>
      </c>
      <c r="C78" s="183">
        <v>3</v>
      </c>
      <c r="D78" s="183">
        <v>1</v>
      </c>
      <c r="E78" s="183">
        <v>1</v>
      </c>
      <c r="F78" s="183">
        <v>2</v>
      </c>
      <c r="G78" s="383">
        <f>C78*3+D78*2+E78</f>
        <v>12</v>
      </c>
      <c r="H78" s="229">
        <v>0.9291666666666667</v>
      </c>
      <c r="I78" s="244"/>
      <c r="J78"/>
      <c r="K78"/>
      <c r="L78"/>
      <c r="M78"/>
      <c r="N78"/>
      <c r="P78"/>
      <c r="Q78"/>
      <c r="R78"/>
      <c r="S78"/>
      <c r="T78"/>
      <c r="U78"/>
      <c r="V78"/>
    </row>
    <row r="79" spans="1:22" s="2" customFormat="1" ht="15" thickBot="1" x14ac:dyDescent="0.35">
      <c r="A79"/>
      <c r="B79" s="199" t="s">
        <v>798</v>
      </c>
      <c r="C79" s="200">
        <v>2</v>
      </c>
      <c r="D79" s="200">
        <v>0</v>
      </c>
      <c r="E79" s="200">
        <v>1</v>
      </c>
      <c r="F79" s="200">
        <v>3</v>
      </c>
      <c r="G79" s="384">
        <f>C79*3+D79*2+E79</f>
        <v>7</v>
      </c>
      <c r="H79" s="249">
        <v>0.71944444444444444</v>
      </c>
      <c r="I79" s="244"/>
      <c r="J79"/>
      <c r="K79"/>
      <c r="L79"/>
      <c r="M79"/>
      <c r="N79"/>
      <c r="P79"/>
      <c r="Q79"/>
      <c r="R79"/>
      <c r="S79"/>
      <c r="T79"/>
      <c r="U79"/>
      <c r="V79"/>
    </row>
    <row r="80" spans="1:22" s="2" customFormat="1" x14ac:dyDescent="0.3">
      <c r="A80"/>
      <c r="B80" s="204" t="s">
        <v>801</v>
      </c>
      <c r="C80" s="205">
        <f>C81+C82</f>
        <v>3</v>
      </c>
      <c r="D80" s="205">
        <f>D81+D82</f>
        <v>5</v>
      </c>
      <c r="E80" s="205">
        <f t="shared" ref="E80:F80" si="3">E81+E82</f>
        <v>1</v>
      </c>
      <c r="F80" s="205">
        <f t="shared" si="3"/>
        <v>4</v>
      </c>
      <c r="G80" s="205">
        <f>G81+G82</f>
        <v>20</v>
      </c>
      <c r="H80" s="274">
        <v>1.2291666666666667</v>
      </c>
      <c r="I80" s="243"/>
      <c r="J80"/>
      <c r="K80"/>
      <c r="L80"/>
      <c r="M80"/>
      <c r="N80"/>
      <c r="P80"/>
      <c r="Q80"/>
      <c r="R80"/>
      <c r="S80"/>
      <c r="T80"/>
      <c r="U80"/>
      <c r="V80"/>
    </row>
    <row r="81" spans="1:22" s="2" customFormat="1" x14ac:dyDescent="0.3">
      <c r="A81"/>
      <c r="B81" s="198" t="s">
        <v>797</v>
      </c>
      <c r="C81" s="183">
        <v>2</v>
      </c>
      <c r="D81" s="183">
        <v>3</v>
      </c>
      <c r="E81" s="183">
        <v>1</v>
      </c>
      <c r="F81" s="183">
        <v>0</v>
      </c>
      <c r="G81" s="383">
        <f>C81*3+D81*2+E81</f>
        <v>13</v>
      </c>
      <c r="H81" s="229">
        <v>0.67291666666666661</v>
      </c>
      <c r="I81" s="244"/>
      <c r="J81"/>
      <c r="K81"/>
      <c r="L81"/>
      <c r="M81"/>
      <c r="N81"/>
      <c r="P81"/>
      <c r="Q81"/>
      <c r="R81"/>
      <c r="S81"/>
      <c r="T81"/>
      <c r="U81"/>
      <c r="V81"/>
    </row>
    <row r="82" spans="1:22" s="2" customFormat="1" ht="15" thickBot="1" x14ac:dyDescent="0.35">
      <c r="A82"/>
      <c r="B82" s="592" t="s">
        <v>798</v>
      </c>
      <c r="C82" s="202">
        <v>1</v>
      </c>
      <c r="D82" s="202">
        <v>2</v>
      </c>
      <c r="E82" s="202">
        <v>0</v>
      </c>
      <c r="F82" s="202">
        <v>4</v>
      </c>
      <c r="G82" s="593">
        <f t="shared" ref="G82" si="4">C82*3+D82*2+E82</f>
        <v>7</v>
      </c>
      <c r="H82" s="590">
        <v>0.55625000000000002</v>
      </c>
      <c r="I82" s="244"/>
      <c r="J82"/>
      <c r="K82"/>
      <c r="L82"/>
      <c r="M82"/>
      <c r="N82"/>
      <c r="P82"/>
      <c r="Q82"/>
      <c r="R82"/>
      <c r="S82"/>
      <c r="T82"/>
      <c r="U82"/>
      <c r="V82"/>
    </row>
    <row r="83" spans="1:22" s="2" customFormat="1" x14ac:dyDescent="0.3">
      <c r="A83"/>
      <c r="B83" s="220" t="s">
        <v>804</v>
      </c>
      <c r="C83" s="221">
        <f>C71+C74+C77+C80</f>
        <v>15</v>
      </c>
      <c r="D83" s="221">
        <f t="shared" ref="D83:E85" si="5">D71+D74+D77+D80</f>
        <v>7</v>
      </c>
      <c r="E83" s="221">
        <f t="shared" si="5"/>
        <v>8</v>
      </c>
      <c r="F83" s="221">
        <f>F71+F74+F77+F80</f>
        <v>22</v>
      </c>
      <c r="G83" s="563">
        <f>C83*3+D83*2+E83</f>
        <v>67</v>
      </c>
      <c r="H83" s="274" t="s">
        <v>5235</v>
      </c>
      <c r="I83" s="243"/>
      <c r="J83"/>
      <c r="K83"/>
      <c r="L83"/>
      <c r="M83"/>
      <c r="N83"/>
      <c r="P83"/>
      <c r="Q83"/>
      <c r="R83"/>
      <c r="S83"/>
      <c r="T83"/>
      <c r="U83"/>
      <c r="V83"/>
    </row>
    <row r="84" spans="1:22" s="2" customFormat="1" x14ac:dyDescent="0.3">
      <c r="A84"/>
      <c r="B84" s="223" t="s">
        <v>797</v>
      </c>
      <c r="C84" s="224">
        <f>C72+C75+C78+C81</f>
        <v>11</v>
      </c>
      <c r="D84" s="224">
        <f t="shared" si="5"/>
        <v>4</v>
      </c>
      <c r="E84" s="224">
        <f t="shared" si="5"/>
        <v>6</v>
      </c>
      <c r="F84" s="224">
        <f>F72+F75+F78+F81</f>
        <v>5</v>
      </c>
      <c r="G84" s="256">
        <f>C84*3+D84*2+E84</f>
        <v>47</v>
      </c>
      <c r="H84" s="400">
        <v>3.2493055555555554</v>
      </c>
      <c r="I84" s="60"/>
      <c r="J84"/>
      <c r="K84"/>
      <c r="L84"/>
      <c r="M84"/>
      <c r="N84"/>
      <c r="P84"/>
      <c r="Q84"/>
      <c r="R84"/>
      <c r="S84"/>
      <c r="T84"/>
      <c r="U84"/>
      <c r="V84"/>
    </row>
    <row r="85" spans="1:22" s="2" customFormat="1" ht="15" thickBot="1" x14ac:dyDescent="0.35">
      <c r="A85"/>
      <c r="B85" s="226" t="s">
        <v>798</v>
      </c>
      <c r="C85" s="227">
        <f>C73+C76+C79+C82</f>
        <v>4</v>
      </c>
      <c r="D85" s="227">
        <f t="shared" si="5"/>
        <v>3</v>
      </c>
      <c r="E85" s="227">
        <f t="shared" si="5"/>
        <v>2</v>
      </c>
      <c r="F85" s="227">
        <f>F73+F76+F79+F82</f>
        <v>17</v>
      </c>
      <c r="G85" s="258">
        <f>C85*3+D85*2+E85</f>
        <v>20</v>
      </c>
      <c r="H85" s="391" t="s">
        <v>5234</v>
      </c>
      <c r="I85" s="244"/>
      <c r="J85"/>
      <c r="K85"/>
      <c r="L85"/>
      <c r="M85"/>
      <c r="N85"/>
      <c r="P85"/>
      <c r="Q85"/>
      <c r="R85"/>
      <c r="S85"/>
      <c r="T85"/>
      <c r="U85"/>
      <c r="V85"/>
    </row>
    <row r="86" spans="1:22" x14ac:dyDescent="0.3">
      <c r="B86" s="2" t="s">
        <v>811</v>
      </c>
      <c r="C86" s="8" t="s">
        <v>812</v>
      </c>
      <c r="E86" s="2">
        <f>C83+D83+E83+F83</f>
        <v>52</v>
      </c>
    </row>
    <row r="95" spans="1:22" x14ac:dyDescent="0.3">
      <c r="C95"/>
      <c r="D95"/>
      <c r="E95"/>
      <c r="K95" s="2"/>
    </row>
    <row r="96" spans="1:22" x14ac:dyDescent="0.3">
      <c r="C96"/>
      <c r="D96"/>
      <c r="E96"/>
      <c r="K96" s="129"/>
      <c r="L96" s="130"/>
      <c r="M96" s="130"/>
      <c r="N96" s="130"/>
    </row>
    <row r="97" spans="3:18" x14ac:dyDescent="0.3">
      <c r="C97"/>
      <c r="D97"/>
      <c r="E97"/>
      <c r="K97" s="129"/>
      <c r="L97" s="130"/>
      <c r="M97" s="130"/>
      <c r="N97" s="60"/>
      <c r="Q97" s="2"/>
    </row>
    <row r="98" spans="3:18" x14ac:dyDescent="0.3">
      <c r="C98"/>
      <c r="D98"/>
      <c r="E98"/>
      <c r="F98"/>
      <c r="G98"/>
      <c r="H98"/>
      <c r="I98"/>
      <c r="K98" s="2"/>
      <c r="L98" s="130"/>
      <c r="M98" s="130"/>
      <c r="N98" s="130"/>
      <c r="Q98" s="130"/>
      <c r="R98" s="129"/>
    </row>
    <row r="99" spans="3:18" x14ac:dyDescent="0.3">
      <c r="C99"/>
      <c r="D99"/>
      <c r="E99"/>
      <c r="F99"/>
      <c r="G99"/>
      <c r="H99"/>
      <c r="I99"/>
      <c r="Q99" s="130"/>
      <c r="R99" s="129"/>
    </row>
    <row r="100" spans="3:18" x14ac:dyDescent="0.3">
      <c r="C100"/>
      <c r="D100"/>
      <c r="E100"/>
      <c r="F100"/>
      <c r="G100"/>
      <c r="H100"/>
      <c r="I100"/>
      <c r="K100" s="2"/>
      <c r="L100" s="60"/>
      <c r="M100" s="2"/>
      <c r="N100" s="60"/>
      <c r="P100" s="2"/>
      <c r="Q100" s="130"/>
      <c r="R100" s="129"/>
    </row>
    <row r="101" spans="3:18" x14ac:dyDescent="0.3">
      <c r="C101"/>
      <c r="D101"/>
      <c r="E101"/>
      <c r="F101"/>
      <c r="G101"/>
      <c r="H101"/>
      <c r="I101"/>
      <c r="K101" s="2"/>
      <c r="L101" s="2"/>
      <c r="M101" s="2"/>
      <c r="N101" s="60"/>
      <c r="O101" s="130"/>
      <c r="P101" s="130"/>
    </row>
    <row r="102" spans="3:18" x14ac:dyDescent="0.3">
      <c r="C102"/>
      <c r="D102"/>
      <c r="E102"/>
      <c r="F102"/>
      <c r="G102"/>
      <c r="H102"/>
      <c r="I102"/>
      <c r="K102" s="2"/>
      <c r="L102" s="60"/>
      <c r="M102" s="60"/>
      <c r="N102" s="2"/>
      <c r="O102" s="130"/>
      <c r="P102" s="130"/>
      <c r="Q102" s="130"/>
      <c r="R102" s="129"/>
    </row>
    <row r="103" spans="3:18" x14ac:dyDescent="0.3">
      <c r="C103"/>
      <c r="D103"/>
      <c r="E103"/>
      <c r="F103"/>
      <c r="G103"/>
      <c r="H103"/>
      <c r="I103"/>
      <c r="O103" s="130"/>
      <c r="P103" s="130"/>
      <c r="Q103" s="60"/>
      <c r="R103" s="129"/>
    </row>
    <row r="104" spans="3:18" x14ac:dyDescent="0.3">
      <c r="C104"/>
      <c r="D104"/>
      <c r="E104"/>
      <c r="F104"/>
      <c r="G104"/>
      <c r="H104"/>
      <c r="I104"/>
      <c r="K104" s="2"/>
      <c r="L104" s="2"/>
      <c r="M104" s="2"/>
      <c r="Q104" s="60"/>
      <c r="R104" s="129"/>
    </row>
    <row r="105" spans="3:18" x14ac:dyDescent="0.3">
      <c r="C105"/>
      <c r="D105"/>
      <c r="E105"/>
      <c r="F105"/>
      <c r="G105"/>
      <c r="H105"/>
      <c r="I105"/>
      <c r="K105" s="129"/>
      <c r="L105" s="2"/>
      <c r="M105" s="244"/>
      <c r="O105" s="130"/>
      <c r="P105" s="60"/>
    </row>
    <row r="106" spans="3:18" x14ac:dyDescent="0.3">
      <c r="C106"/>
      <c r="D106"/>
      <c r="E106"/>
      <c r="F106"/>
      <c r="G106"/>
      <c r="H106"/>
      <c r="I106"/>
      <c r="K106" s="2"/>
      <c r="L106" s="2"/>
      <c r="M106" s="244"/>
      <c r="O106" s="60"/>
      <c r="P106" s="244"/>
    </row>
    <row r="107" spans="3:18" x14ac:dyDescent="0.3">
      <c r="C107"/>
      <c r="D107"/>
      <c r="E107"/>
      <c r="F107"/>
      <c r="G107"/>
      <c r="H107"/>
      <c r="I107"/>
      <c r="K107" s="129"/>
      <c r="L107" s="2"/>
      <c r="M107" s="244"/>
      <c r="O107" s="130"/>
      <c r="P107" s="60"/>
    </row>
    <row r="108" spans="3:18" x14ac:dyDescent="0.3">
      <c r="C108"/>
      <c r="D108"/>
      <c r="E108"/>
      <c r="F108"/>
      <c r="G108"/>
      <c r="H108"/>
      <c r="I108"/>
      <c r="K108" s="129"/>
      <c r="L108" s="2"/>
    </row>
    <row r="109" spans="3:18" x14ac:dyDescent="0.3">
      <c r="C109"/>
      <c r="D109"/>
      <c r="E109"/>
      <c r="F109"/>
      <c r="G109"/>
      <c r="H109"/>
      <c r="I109"/>
    </row>
    <row r="110" spans="3:18" x14ac:dyDescent="0.3">
      <c r="C110"/>
      <c r="D110"/>
      <c r="E110"/>
      <c r="F110"/>
      <c r="G110"/>
      <c r="H110"/>
      <c r="I110"/>
    </row>
    <row r="111" spans="3:18" x14ac:dyDescent="0.3">
      <c r="C111"/>
      <c r="D111"/>
      <c r="E111"/>
      <c r="F111"/>
      <c r="G111"/>
      <c r="H111"/>
      <c r="I111"/>
    </row>
    <row r="112" spans="3:18" x14ac:dyDescent="0.3">
      <c r="C112"/>
      <c r="D112"/>
      <c r="E112"/>
      <c r="F112"/>
      <c r="G112"/>
      <c r="H112"/>
      <c r="I112"/>
    </row>
    <row r="113" spans="3:15" x14ac:dyDescent="0.3">
      <c r="C113"/>
      <c r="D113"/>
      <c r="E113"/>
      <c r="F113"/>
      <c r="G113"/>
      <c r="H113"/>
      <c r="I113"/>
    </row>
    <row r="115" spans="3:15" x14ac:dyDescent="0.3">
      <c r="O115"/>
    </row>
    <row r="116" spans="3:15" x14ac:dyDescent="0.3">
      <c r="O116"/>
    </row>
    <row r="117" spans="3:15" x14ac:dyDescent="0.3">
      <c r="O117"/>
    </row>
    <row r="118" spans="3:15" x14ac:dyDescent="0.3">
      <c r="O118"/>
    </row>
    <row r="119" spans="3:15" x14ac:dyDescent="0.3">
      <c r="O119"/>
    </row>
    <row r="120" spans="3:15" x14ac:dyDescent="0.3">
      <c r="O120"/>
    </row>
    <row r="121" spans="3:15" x14ac:dyDescent="0.3">
      <c r="O121"/>
    </row>
    <row r="122" spans="3:15" x14ac:dyDescent="0.3">
      <c r="O122"/>
    </row>
    <row r="123" spans="3:15" x14ac:dyDescent="0.3">
      <c r="O123"/>
    </row>
    <row r="124" spans="3:15" x14ac:dyDescent="0.3">
      <c r="O124"/>
    </row>
    <row r="125" spans="3:15" x14ac:dyDescent="0.3">
      <c r="O125"/>
    </row>
    <row r="126" spans="3:15" x14ac:dyDescent="0.3">
      <c r="O126"/>
    </row>
    <row r="127" spans="3:15" x14ac:dyDescent="0.3">
      <c r="O127"/>
    </row>
    <row r="128" spans="3:15" x14ac:dyDescent="0.3">
      <c r="O128"/>
    </row>
    <row r="129" spans="15:15" x14ac:dyDescent="0.3">
      <c r="O129"/>
    </row>
    <row r="130" spans="15:15" x14ac:dyDescent="0.3">
      <c r="O130"/>
    </row>
    <row r="131" spans="15:15" x14ac:dyDescent="0.3">
      <c r="O131"/>
    </row>
    <row r="132" spans="15:15" x14ac:dyDescent="0.3">
      <c r="O132"/>
    </row>
    <row r="133" spans="15:15" x14ac:dyDescent="0.3">
      <c r="O133"/>
    </row>
    <row r="134" spans="15:15" x14ac:dyDescent="0.3">
      <c r="O134"/>
    </row>
    <row r="135" spans="15:15" x14ac:dyDescent="0.3">
      <c r="O135"/>
    </row>
    <row r="136" spans="15:15" x14ac:dyDescent="0.3">
      <c r="O136"/>
    </row>
    <row r="137" spans="15:15" x14ac:dyDescent="0.3">
      <c r="O137"/>
    </row>
    <row r="138" spans="15:15" x14ac:dyDescent="0.3">
      <c r="O138"/>
    </row>
    <row r="139" spans="15:15" x14ac:dyDescent="0.3">
      <c r="O139"/>
    </row>
    <row r="140" spans="15:15" x14ac:dyDescent="0.3">
      <c r="O140"/>
    </row>
    <row r="141" spans="15:15" x14ac:dyDescent="0.3">
      <c r="O141"/>
    </row>
    <row r="142" spans="15:15" x14ac:dyDescent="0.3">
      <c r="O142"/>
    </row>
    <row r="143" spans="15:15" x14ac:dyDescent="0.3">
      <c r="O143"/>
    </row>
    <row r="144" spans="15:15" x14ac:dyDescent="0.3">
      <c r="O144"/>
    </row>
    <row r="145" spans="15:15" x14ac:dyDescent="0.3">
      <c r="O145"/>
    </row>
    <row r="146" spans="15:15" x14ac:dyDescent="0.3">
      <c r="O146"/>
    </row>
    <row r="147" spans="15:15" x14ac:dyDescent="0.3">
      <c r="O147"/>
    </row>
    <row r="148" spans="15:15" x14ac:dyDescent="0.3">
      <c r="O148"/>
    </row>
    <row r="149" spans="15:15" x14ac:dyDescent="0.3">
      <c r="O149"/>
    </row>
    <row r="150" spans="15:15" x14ac:dyDescent="0.3">
      <c r="O150"/>
    </row>
    <row r="151" spans="15:15" x14ac:dyDescent="0.3">
      <c r="O151"/>
    </row>
    <row r="152" spans="15:15" x14ac:dyDescent="0.3">
      <c r="O152"/>
    </row>
    <row r="153" spans="15:15" x14ac:dyDescent="0.3">
      <c r="O153"/>
    </row>
    <row r="154" spans="15:15" x14ac:dyDescent="0.3">
      <c r="O154"/>
    </row>
    <row r="155" spans="15:15" x14ac:dyDescent="0.3">
      <c r="O155"/>
    </row>
    <row r="156" spans="15:15" x14ac:dyDescent="0.3">
      <c r="O156"/>
    </row>
    <row r="157" spans="15:15" x14ac:dyDescent="0.3">
      <c r="O157"/>
    </row>
    <row r="158" spans="15:15" x14ac:dyDescent="0.3">
      <c r="O158"/>
    </row>
    <row r="159" spans="15:15" x14ac:dyDescent="0.3">
      <c r="O159"/>
    </row>
    <row r="160" spans="15:15" x14ac:dyDescent="0.3">
      <c r="O160"/>
    </row>
    <row r="161" spans="15:15" x14ac:dyDescent="0.3">
      <c r="O161"/>
    </row>
    <row r="162" spans="15:15" x14ac:dyDescent="0.3">
      <c r="O162"/>
    </row>
    <row r="163" spans="15:15" x14ac:dyDescent="0.3">
      <c r="O163"/>
    </row>
    <row r="164" spans="15:15" x14ac:dyDescent="0.3">
      <c r="O164"/>
    </row>
    <row r="165" spans="15:15" x14ac:dyDescent="0.3">
      <c r="O165"/>
    </row>
    <row r="166" spans="15:15" x14ac:dyDescent="0.3">
      <c r="O166"/>
    </row>
    <row r="167" spans="15:15" x14ac:dyDescent="0.3">
      <c r="O167"/>
    </row>
    <row r="168" spans="15:15" x14ac:dyDescent="0.3">
      <c r="O168"/>
    </row>
    <row r="169" spans="15:15" x14ac:dyDescent="0.3">
      <c r="O169"/>
    </row>
    <row r="170" spans="15:15" x14ac:dyDescent="0.3">
      <c r="O170"/>
    </row>
    <row r="171" spans="15:15" x14ac:dyDescent="0.3">
      <c r="O171"/>
    </row>
    <row r="172" spans="15:15" x14ac:dyDescent="0.3">
      <c r="O172"/>
    </row>
    <row r="173" spans="15:15" x14ac:dyDescent="0.3">
      <c r="O173"/>
    </row>
    <row r="174" spans="15:15" x14ac:dyDescent="0.3">
      <c r="O174"/>
    </row>
    <row r="175" spans="15:15" x14ac:dyDescent="0.3">
      <c r="O175"/>
    </row>
    <row r="176" spans="15:15" x14ac:dyDescent="0.3">
      <c r="O176"/>
    </row>
  </sheetData>
  <mergeCells count="16">
    <mergeCell ref="AE4:AF4"/>
    <mergeCell ref="AK4:AL4"/>
    <mergeCell ref="AD38:AE38"/>
    <mergeCell ref="AD39:AE39"/>
    <mergeCell ref="AD40:AE40"/>
    <mergeCell ref="AJ38:AK38"/>
    <mergeCell ref="AJ39:AK39"/>
    <mergeCell ref="AJ40:AK40"/>
    <mergeCell ref="B64:C64"/>
    <mergeCell ref="B69:H69"/>
    <mergeCell ref="K7:P7"/>
    <mergeCell ref="L40:N40"/>
    <mergeCell ref="B60:C60"/>
    <mergeCell ref="B61:C61"/>
    <mergeCell ref="B62:C62"/>
    <mergeCell ref="B63:C63"/>
  </mergeCells>
  <conditionalFormatting sqref="E54:E55 E57:E59 E62:E67 G62:G67 F70 G114:G217">
    <cfRule type="cellIs" dxfId="180" priority="196" operator="equal">
      <formula>"D"</formula>
    </cfRule>
  </conditionalFormatting>
  <conditionalFormatting sqref="F1:F16">
    <cfRule type="cellIs" dxfId="179" priority="149" operator="equal">
      <formula>"so"</formula>
    </cfRule>
  </conditionalFormatting>
  <conditionalFormatting sqref="F4:F16">
    <cfRule type="cellIs" dxfId="178" priority="150" operator="equal">
      <formula>"ne"</formula>
    </cfRule>
    <cfRule type="cellIs" dxfId="177" priority="151" operator="equal">
      <formula>"pá"</formula>
    </cfRule>
  </conditionalFormatting>
  <conditionalFormatting sqref="F18:F47">
    <cfRule type="cellIs" dxfId="176" priority="24" operator="equal">
      <formula>"so"</formula>
    </cfRule>
    <cfRule type="cellIs" dxfId="175" priority="25" operator="equal">
      <formula>"ne"</formula>
    </cfRule>
    <cfRule type="cellIs" dxfId="174" priority="26" operator="equal">
      <formula>"pá"</formula>
    </cfRule>
  </conditionalFormatting>
  <conditionalFormatting sqref="F49:F55">
    <cfRule type="cellIs" dxfId="173" priority="27" operator="equal">
      <formula>"so"</formula>
    </cfRule>
    <cfRule type="cellIs" dxfId="172" priority="28" operator="equal">
      <formula>"ne"</formula>
    </cfRule>
    <cfRule type="cellIs" dxfId="171" priority="29" operator="equal">
      <formula>"pá"</formula>
    </cfRule>
  </conditionalFormatting>
  <conditionalFormatting sqref="F57:F59 F62:F67 F86:F97 F114:F1048576">
    <cfRule type="cellIs" dxfId="170" priority="193" operator="equal">
      <formula>"so"</formula>
    </cfRule>
  </conditionalFormatting>
  <conditionalFormatting sqref="G4:G59">
    <cfRule type="cellIs" dxfId="169" priority="2" operator="equal">
      <formula>"D"</formula>
    </cfRule>
  </conditionalFormatting>
  <conditionalFormatting sqref="G72:G73 G75:G76 G78:G79 G81:G97">
    <cfRule type="cellIs" dxfId="168" priority="3" operator="equal">
      <formula>"D"</formula>
    </cfRule>
  </conditionalFormatting>
  <conditionalFormatting sqref="N14">
    <cfRule type="cellIs" dxfId="167" priority="22" operator="equal">
      <formula>"D"</formula>
    </cfRule>
  </conditionalFormatting>
  <conditionalFormatting sqref="N17:N21">
    <cfRule type="cellIs" dxfId="166" priority="34" operator="equal">
      <formula>"D"</formula>
    </cfRule>
  </conditionalFormatting>
  <conditionalFormatting sqref="O6 O32:O37 F57:F59 F62:F67 E70 F72:F73 F75:F76 F78:F79 F81:F82 F86:F97 F114:F209">
    <cfRule type="cellIs" dxfId="165" priority="194" operator="equal">
      <formula>"ne"</formula>
    </cfRule>
    <cfRule type="cellIs" dxfId="164" priority="195" operator="equal">
      <formula>"pá"</formula>
    </cfRule>
  </conditionalFormatting>
  <conditionalFormatting sqref="O21:O22">
    <cfRule type="cellIs" dxfId="163" priority="114" operator="equal">
      <formula>"so"</formula>
    </cfRule>
  </conditionalFormatting>
  <conditionalFormatting sqref="O21:O29">
    <cfRule type="cellIs" dxfId="162" priority="115" operator="equal">
      <formula>"ne"</formula>
    </cfRule>
    <cfRule type="cellIs" dxfId="161" priority="116" operator="equal">
      <formula>"pá"</formula>
    </cfRule>
  </conditionalFormatting>
  <conditionalFormatting sqref="P9">
    <cfRule type="cellIs" dxfId="160" priority="15" operator="equal">
      <formula>"so"</formula>
    </cfRule>
    <cfRule type="cellIs" dxfId="159" priority="16" operator="equal">
      <formula>"ne"</formula>
    </cfRule>
    <cfRule type="cellIs" dxfId="158" priority="17" operator="equal">
      <formula>"pá"</formula>
    </cfRule>
  </conditionalFormatting>
  <conditionalFormatting sqref="P10:P22">
    <cfRule type="cellIs" dxfId="157" priority="10" operator="equal">
      <formula>"D"</formula>
    </cfRule>
  </conditionalFormatting>
  <conditionalFormatting sqref="AK26:AK27">
    <cfRule type="cellIs" dxfId="156" priority="1" operator="equal">
      <formula>"D"</formula>
    </cfRule>
  </conditionalFormatting>
  <pageMargins left="0.7" right="0.7" top="0.78740157499999996" bottom="0.78740157499999996" header="0.3" footer="0.3"/>
  <pageSetup paperSize="9"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K117"/>
  <sheetViews>
    <sheetView workbookViewId="0">
      <pane xSplit="7" ySplit="2" topLeftCell="J3" activePane="bottomRight" state="frozen"/>
      <selection activeCell="L12" sqref="L12"/>
      <selection pane="topRight" activeCell="L12" sqref="L12"/>
      <selection pane="bottomLeft" activeCell="L12" sqref="L12"/>
      <selection pane="bottomRight" activeCell="L29" sqref="L29"/>
    </sheetView>
  </sheetViews>
  <sheetFormatPr defaultRowHeight="14.4" x14ac:dyDescent="0.3"/>
  <cols>
    <col min="1" max="1" width="14.88671875" customWidth="1"/>
    <col min="2" max="2" width="11.109375" customWidth="1"/>
    <col min="3" max="4" width="11.33203125" style="2" customWidth="1"/>
    <col min="5" max="5" width="17.6640625" style="2" customWidth="1"/>
    <col min="6" max="6" width="18" style="2" customWidth="1"/>
    <col min="7" max="8" width="22.6640625" style="1058" customWidth="1"/>
    <col min="9" max="10" width="22.6640625" style="259" customWidth="1"/>
    <col min="11" max="12" width="22.6640625" style="1058" customWidth="1"/>
    <col min="13" max="13" width="18" style="2" customWidth="1"/>
    <col min="14" max="14" width="16.44140625" style="2" customWidth="1"/>
    <col min="15" max="15" width="15.6640625" style="2" customWidth="1"/>
    <col min="16" max="16" width="18.33203125" style="168" customWidth="1"/>
    <col min="17" max="17" width="16.6640625" style="2" customWidth="1"/>
    <col min="18" max="18" width="23.88671875" style="2" customWidth="1"/>
    <col min="19" max="19" width="22.33203125" style="2" customWidth="1"/>
    <col min="20" max="20" width="17.88671875" style="2" customWidth="1"/>
    <col min="21" max="21" width="16.109375" style="2" customWidth="1"/>
    <col min="22" max="22" width="14.44140625" style="242" customWidth="1"/>
    <col min="23" max="25" width="11.109375" style="1058" customWidth="1"/>
    <col min="26" max="26" width="12.88671875" style="1058" customWidth="1"/>
    <col min="27" max="27" width="45.6640625" style="1061" customWidth="1"/>
    <col min="28" max="28" width="71.33203125" style="2" bestFit="1" customWidth="1"/>
    <col min="29" max="29" width="68" style="2" customWidth="1"/>
    <col min="30" max="30" width="68.88671875" style="2" bestFit="1" customWidth="1"/>
    <col min="31" max="31" width="64.44140625" style="2" customWidth="1"/>
    <col min="32" max="32" width="64.5546875" style="2" customWidth="1"/>
    <col min="33" max="34" width="62.109375" style="2" customWidth="1"/>
    <col min="35" max="35" width="55.33203125" style="242" customWidth="1"/>
    <col min="36" max="36" width="55.88671875" style="8" customWidth="1"/>
    <col min="37" max="37" width="17.109375" customWidth="1"/>
  </cols>
  <sheetData>
    <row r="1" spans="1:37" x14ac:dyDescent="0.3">
      <c r="P1" s="1152"/>
      <c r="Q1" s="1170"/>
      <c r="R1" s="1152"/>
      <c r="S1" s="1170"/>
      <c r="T1" s="1152"/>
      <c r="U1" s="1153"/>
      <c r="V1" s="1170"/>
      <c r="W1" s="1152"/>
      <c r="X1" s="1153"/>
      <c r="Y1" s="1153"/>
      <c r="Z1" s="1153"/>
      <c r="AA1" s="1153"/>
      <c r="AB1" s="1152"/>
      <c r="AC1" s="1153"/>
      <c r="AD1" s="1153"/>
      <c r="AE1" s="1153"/>
      <c r="AF1" s="1153"/>
      <c r="AG1" s="1153"/>
      <c r="AH1" s="1153"/>
      <c r="AI1" s="1170"/>
    </row>
    <row r="2" spans="1:37" s="2" customFormat="1" x14ac:dyDescent="0.3">
      <c r="A2" s="1051" t="s">
        <v>1053</v>
      </c>
      <c r="B2" s="2" t="s">
        <v>785</v>
      </c>
      <c r="C2" s="2" t="s">
        <v>14</v>
      </c>
      <c r="D2" s="2" t="s">
        <v>11</v>
      </c>
      <c r="E2" s="2" t="s">
        <v>15</v>
      </c>
      <c r="F2" s="2" t="s">
        <v>13</v>
      </c>
      <c r="G2" s="987" t="s">
        <v>157</v>
      </c>
      <c r="H2" s="987" t="s">
        <v>1047</v>
      </c>
      <c r="I2" s="1089" t="s">
        <v>6063</v>
      </c>
      <c r="J2" s="1089" t="s">
        <v>6064</v>
      </c>
      <c r="K2" s="1051" t="s">
        <v>6177</v>
      </c>
      <c r="L2" s="1051" t="s">
        <v>6178</v>
      </c>
      <c r="M2" s="987" t="s">
        <v>707</v>
      </c>
      <c r="N2" s="2" t="s">
        <v>708</v>
      </c>
      <c r="O2" s="2" t="s">
        <v>759</v>
      </c>
      <c r="P2" s="1052" t="s">
        <v>6180</v>
      </c>
      <c r="Q2" s="1051" t="s">
        <v>6181</v>
      </c>
      <c r="R2" s="1052" t="s">
        <v>6182</v>
      </c>
      <c r="S2" s="1052" t="s">
        <v>6183</v>
      </c>
      <c r="T2" s="1052" t="s">
        <v>6184</v>
      </c>
      <c r="U2" s="1051" t="s">
        <v>6185</v>
      </c>
      <c r="V2" s="1051" t="s">
        <v>6186</v>
      </c>
      <c r="W2" s="1062" t="s">
        <v>6059</v>
      </c>
      <c r="X2" s="1063" t="s">
        <v>6060</v>
      </c>
      <c r="Y2" s="1063" t="s">
        <v>6061</v>
      </c>
      <c r="Z2" s="1063" t="s">
        <v>6062</v>
      </c>
      <c r="AA2" s="170" t="s">
        <v>698</v>
      </c>
      <c r="AB2" s="169" t="s">
        <v>699</v>
      </c>
      <c r="AC2" s="170" t="s">
        <v>700</v>
      </c>
      <c r="AD2" s="170" t="s">
        <v>701</v>
      </c>
      <c r="AE2" s="170" t="s">
        <v>702</v>
      </c>
      <c r="AF2" s="170" t="s">
        <v>703</v>
      </c>
      <c r="AG2" s="170" t="s">
        <v>704</v>
      </c>
      <c r="AH2" s="170" t="s">
        <v>854</v>
      </c>
      <c r="AI2" s="171" t="s">
        <v>5166</v>
      </c>
      <c r="AJ2" s="2" t="s">
        <v>3878</v>
      </c>
      <c r="AK2" s="2" t="s">
        <v>4614</v>
      </c>
    </row>
    <row r="3" spans="1:37" x14ac:dyDescent="0.3">
      <c r="A3" s="985" t="s">
        <v>6196</v>
      </c>
      <c r="B3" s="2">
        <v>1</v>
      </c>
      <c r="C3" s="2">
        <v>1</v>
      </c>
      <c r="D3" s="4">
        <v>44820</v>
      </c>
      <c r="E3" s="2" t="s">
        <v>328</v>
      </c>
      <c r="F3" s="2" t="s">
        <v>17</v>
      </c>
      <c r="G3" s="1058" t="s">
        <v>6146</v>
      </c>
      <c r="H3" s="1058" t="s">
        <v>743</v>
      </c>
      <c r="I3" s="259">
        <v>2</v>
      </c>
      <c r="J3" s="259">
        <v>3</v>
      </c>
      <c r="K3" s="2">
        <v>2</v>
      </c>
      <c r="L3" s="2">
        <v>3</v>
      </c>
      <c r="M3" s="2">
        <v>10</v>
      </c>
      <c r="N3" s="2">
        <v>-3</v>
      </c>
      <c r="O3" s="2">
        <v>0</v>
      </c>
      <c r="P3" s="168">
        <v>1</v>
      </c>
      <c r="Q3" s="2">
        <v>0</v>
      </c>
      <c r="R3" s="2">
        <v>0</v>
      </c>
      <c r="S3" s="2">
        <v>1</v>
      </c>
      <c r="T3" s="2">
        <v>4</v>
      </c>
      <c r="U3" s="2">
        <v>1</v>
      </c>
      <c r="V3" s="242">
        <v>3139</v>
      </c>
      <c r="W3" s="1058" t="s">
        <v>6189</v>
      </c>
      <c r="X3" s="1058" t="s">
        <v>6120</v>
      </c>
      <c r="Y3" s="1058" t="s">
        <v>6097</v>
      </c>
      <c r="AA3" s="1058" t="s">
        <v>3434</v>
      </c>
      <c r="AB3" s="2" t="s">
        <v>4720</v>
      </c>
      <c r="AC3" s="2" t="s">
        <v>4721</v>
      </c>
      <c r="AK3" s="8" t="s">
        <v>4713</v>
      </c>
    </row>
    <row r="4" spans="1:37" x14ac:dyDescent="0.3">
      <c r="A4" s="985" t="str">
        <f>A3</f>
        <v>Sezóna 22/23</v>
      </c>
      <c r="B4" s="2">
        <v>2</v>
      </c>
      <c r="C4" s="2">
        <v>2</v>
      </c>
      <c r="D4" s="4">
        <v>44822</v>
      </c>
      <c r="E4" s="2" t="s">
        <v>325</v>
      </c>
      <c r="F4" s="2" t="s">
        <v>16</v>
      </c>
      <c r="G4" s="1058" t="s">
        <v>6079</v>
      </c>
      <c r="H4" s="1058" t="s">
        <v>743</v>
      </c>
      <c r="I4" s="259">
        <v>0</v>
      </c>
      <c r="J4" s="259">
        <v>3</v>
      </c>
      <c r="K4" s="2">
        <v>0</v>
      </c>
      <c r="L4" s="2">
        <v>3</v>
      </c>
      <c r="M4" s="2">
        <v>13</v>
      </c>
      <c r="N4" s="2">
        <v>-3</v>
      </c>
      <c r="O4" s="2">
        <v>0</v>
      </c>
      <c r="P4" s="168">
        <v>0</v>
      </c>
      <c r="Q4" s="2">
        <v>0</v>
      </c>
      <c r="R4" s="2">
        <v>0</v>
      </c>
      <c r="S4" s="2">
        <v>1</v>
      </c>
      <c r="T4" s="2">
        <v>5</v>
      </c>
      <c r="U4" s="2">
        <v>3</v>
      </c>
      <c r="V4" s="242">
        <v>8214</v>
      </c>
      <c r="W4" s="1058" t="s">
        <v>6188</v>
      </c>
      <c r="X4" s="1058" t="s">
        <v>6188</v>
      </c>
      <c r="Y4" s="1058" t="s">
        <v>6079</v>
      </c>
      <c r="AA4" s="1058" t="s">
        <v>6079</v>
      </c>
      <c r="AB4" s="2" t="s">
        <v>515</v>
      </c>
      <c r="AJ4" s="2" t="s">
        <v>4714</v>
      </c>
      <c r="AK4" s="546" t="s">
        <v>4715</v>
      </c>
    </row>
    <row r="5" spans="1:37" x14ac:dyDescent="0.3">
      <c r="A5" s="985" t="str">
        <f t="shared" ref="A5:A57" si="0">A4</f>
        <v>Sezóna 22/23</v>
      </c>
      <c r="B5" s="2">
        <v>3</v>
      </c>
      <c r="C5" s="2">
        <v>4</v>
      </c>
      <c r="D5" s="4">
        <v>44824</v>
      </c>
      <c r="E5" s="2" t="s">
        <v>6091</v>
      </c>
      <c r="F5" s="2" t="s">
        <v>16</v>
      </c>
      <c r="G5" s="1058" t="s">
        <v>6092</v>
      </c>
      <c r="H5" s="1058" t="s">
        <v>743</v>
      </c>
      <c r="I5" s="259">
        <v>3</v>
      </c>
      <c r="J5" s="259">
        <v>6</v>
      </c>
      <c r="K5" s="2">
        <v>3</v>
      </c>
      <c r="L5" s="2">
        <v>6</v>
      </c>
      <c r="M5" s="397">
        <v>14</v>
      </c>
      <c r="N5" s="2">
        <v>-3</v>
      </c>
      <c r="O5" s="2">
        <v>0</v>
      </c>
      <c r="P5" s="168">
        <v>1</v>
      </c>
      <c r="Q5" s="2">
        <v>1</v>
      </c>
      <c r="R5" s="2">
        <v>0</v>
      </c>
      <c r="S5" s="2">
        <v>2</v>
      </c>
      <c r="T5" s="2">
        <v>3</v>
      </c>
      <c r="U5" s="2">
        <v>7</v>
      </c>
      <c r="V5" s="242">
        <v>5604</v>
      </c>
      <c r="W5" s="1058" t="s">
        <v>6171</v>
      </c>
      <c r="X5" s="1058" t="s">
        <v>6146</v>
      </c>
      <c r="Y5" s="1058" t="s">
        <v>6187</v>
      </c>
      <c r="AA5" s="1058" t="s">
        <v>4716</v>
      </c>
      <c r="AB5" s="2" t="s">
        <v>4726</v>
      </c>
      <c r="AC5" s="2" t="s">
        <v>4727</v>
      </c>
      <c r="AD5" s="2" t="s">
        <v>4728</v>
      </c>
      <c r="AK5" s="8" t="s">
        <v>4717</v>
      </c>
    </row>
    <row r="6" spans="1:37" x14ac:dyDescent="0.3">
      <c r="A6" s="985" t="str">
        <f t="shared" si="0"/>
        <v>Sezóna 22/23</v>
      </c>
      <c r="B6" s="2">
        <v>4</v>
      </c>
      <c r="C6" s="2">
        <v>3</v>
      </c>
      <c r="D6" s="4">
        <v>44827</v>
      </c>
      <c r="E6" s="2" t="s">
        <v>610</v>
      </c>
      <c r="F6" s="2" t="s">
        <v>17</v>
      </c>
      <c r="G6" s="1058" t="s">
        <v>161</v>
      </c>
      <c r="H6" s="1058" t="s">
        <v>794</v>
      </c>
      <c r="I6" s="259">
        <v>2</v>
      </c>
      <c r="J6" s="259">
        <v>3</v>
      </c>
      <c r="K6" s="2">
        <v>2</v>
      </c>
      <c r="L6" s="2">
        <v>2</v>
      </c>
      <c r="M6" s="2">
        <v>13</v>
      </c>
      <c r="N6" s="2">
        <v>-5</v>
      </c>
      <c r="O6" s="2">
        <v>1</v>
      </c>
      <c r="P6" s="168">
        <v>0</v>
      </c>
      <c r="Q6" s="2">
        <v>0</v>
      </c>
      <c r="R6" s="2">
        <v>0</v>
      </c>
      <c r="S6" s="2">
        <v>0</v>
      </c>
      <c r="T6" s="2">
        <v>4</v>
      </c>
      <c r="U6" s="2">
        <v>5</v>
      </c>
      <c r="V6" s="242">
        <v>2873</v>
      </c>
      <c r="W6" s="1058" t="s">
        <v>6187</v>
      </c>
      <c r="X6" s="1058" t="s">
        <v>6187</v>
      </c>
      <c r="Y6" s="1058" t="s">
        <v>6188</v>
      </c>
      <c r="Z6" s="1058" t="s">
        <v>208</v>
      </c>
      <c r="AA6" s="1058" t="s">
        <v>4742</v>
      </c>
      <c r="AB6" s="2" t="s">
        <v>4724</v>
      </c>
      <c r="AC6" s="2" t="s">
        <v>4725</v>
      </c>
      <c r="AJ6" s="8" t="s">
        <v>4719</v>
      </c>
      <c r="AK6" s="8" t="s">
        <v>4718</v>
      </c>
    </row>
    <row r="7" spans="1:37" x14ac:dyDescent="0.3">
      <c r="A7" s="985" t="str">
        <f>A6</f>
        <v>Sezóna 22/23</v>
      </c>
      <c r="B7" s="2">
        <v>5</v>
      </c>
      <c r="C7" s="2">
        <v>5</v>
      </c>
      <c r="D7" s="4">
        <v>44831</v>
      </c>
      <c r="E7" s="2" t="s">
        <v>332</v>
      </c>
      <c r="F7" s="2" t="s">
        <v>17</v>
      </c>
      <c r="G7" s="1058" t="s">
        <v>589</v>
      </c>
      <c r="H7" s="1058" t="s">
        <v>794</v>
      </c>
      <c r="I7" s="259">
        <v>1</v>
      </c>
      <c r="J7" s="259">
        <v>2</v>
      </c>
      <c r="K7" s="2">
        <v>1</v>
      </c>
      <c r="L7" s="2">
        <v>1</v>
      </c>
      <c r="M7" s="397">
        <v>14</v>
      </c>
      <c r="N7" s="2">
        <v>-7</v>
      </c>
      <c r="O7" s="2">
        <v>2</v>
      </c>
      <c r="P7" s="168">
        <v>0</v>
      </c>
      <c r="Q7" s="2">
        <v>0</v>
      </c>
      <c r="R7" s="2">
        <v>0</v>
      </c>
      <c r="S7" s="2">
        <v>0</v>
      </c>
      <c r="T7" s="2">
        <v>5</v>
      </c>
      <c r="U7" s="2">
        <v>6</v>
      </c>
      <c r="V7" s="242">
        <v>3415</v>
      </c>
      <c r="W7" s="1058" t="s">
        <v>6188</v>
      </c>
      <c r="X7" s="1058" t="s">
        <v>6187</v>
      </c>
      <c r="Y7" s="1058" t="s">
        <v>6188</v>
      </c>
      <c r="Z7" s="1058" t="s">
        <v>3213</v>
      </c>
      <c r="AA7" s="1058" t="s">
        <v>4722</v>
      </c>
      <c r="AB7" s="2" t="s">
        <v>4734</v>
      </c>
      <c r="AK7" s="442" t="s">
        <v>4723</v>
      </c>
    </row>
    <row r="8" spans="1:37" x14ac:dyDescent="0.3">
      <c r="A8" s="985" t="str">
        <f t="shared" si="0"/>
        <v>Sezóna 22/23</v>
      </c>
      <c r="B8" s="2">
        <v>6</v>
      </c>
      <c r="C8" s="2">
        <v>7</v>
      </c>
      <c r="D8" s="4">
        <v>44836</v>
      </c>
      <c r="E8" s="2" t="s">
        <v>1274</v>
      </c>
      <c r="F8" s="2" t="s">
        <v>17</v>
      </c>
      <c r="G8" s="1058" t="s">
        <v>6113</v>
      </c>
      <c r="H8" s="1058" t="s">
        <v>16</v>
      </c>
      <c r="I8" s="259">
        <v>3</v>
      </c>
      <c r="J8" s="259">
        <v>2</v>
      </c>
      <c r="K8" s="2">
        <v>3</v>
      </c>
      <c r="L8" s="2">
        <v>2</v>
      </c>
      <c r="M8" s="397">
        <v>14</v>
      </c>
      <c r="N8" s="2">
        <v>-7</v>
      </c>
      <c r="O8" s="2">
        <v>5</v>
      </c>
      <c r="P8" s="168">
        <v>2</v>
      </c>
      <c r="Q8" s="2">
        <v>0</v>
      </c>
      <c r="R8" s="2">
        <v>0</v>
      </c>
      <c r="S8" s="2">
        <v>1</v>
      </c>
      <c r="T8" s="2">
        <v>5</v>
      </c>
      <c r="U8" s="2">
        <v>6</v>
      </c>
      <c r="V8" s="242">
        <v>3017</v>
      </c>
      <c r="W8" s="1058" t="s">
        <v>6189</v>
      </c>
      <c r="X8" s="1058" t="s">
        <v>6189</v>
      </c>
      <c r="Y8" s="1058" t="s">
        <v>6110</v>
      </c>
      <c r="AA8" s="1058" t="s">
        <v>3813</v>
      </c>
      <c r="AB8" s="2" t="s">
        <v>4745</v>
      </c>
      <c r="AC8" s="2" t="s">
        <v>4746</v>
      </c>
      <c r="AD8" s="2" t="s">
        <v>4747</v>
      </c>
      <c r="AJ8" s="2" t="s">
        <v>4731</v>
      </c>
      <c r="AK8" s="442" t="s">
        <v>4730</v>
      </c>
    </row>
    <row r="9" spans="1:37" x14ac:dyDescent="0.3">
      <c r="A9" s="985" t="str">
        <f t="shared" si="0"/>
        <v>Sezóna 22/23</v>
      </c>
      <c r="B9" s="2">
        <v>7</v>
      </c>
      <c r="C9" s="2">
        <v>6</v>
      </c>
      <c r="D9" s="4">
        <v>44838</v>
      </c>
      <c r="E9" s="2" t="s">
        <v>6076</v>
      </c>
      <c r="F9" s="2" t="s">
        <v>16</v>
      </c>
      <c r="G9" s="1058" t="s">
        <v>6148</v>
      </c>
      <c r="H9" s="1058" t="s">
        <v>16</v>
      </c>
      <c r="I9" s="259">
        <v>4</v>
      </c>
      <c r="J9" s="259">
        <v>1</v>
      </c>
      <c r="K9" s="2">
        <v>3</v>
      </c>
      <c r="L9" s="2">
        <v>1</v>
      </c>
      <c r="M9" s="2">
        <v>12</v>
      </c>
      <c r="N9" s="2">
        <v>-4</v>
      </c>
      <c r="O9" s="2">
        <v>8</v>
      </c>
      <c r="P9" s="168">
        <v>0</v>
      </c>
      <c r="Q9" s="2">
        <v>0</v>
      </c>
      <c r="R9" s="2">
        <v>0</v>
      </c>
      <c r="S9" s="2">
        <v>0</v>
      </c>
      <c r="T9" s="2">
        <v>7</v>
      </c>
      <c r="U9" s="2">
        <v>3</v>
      </c>
      <c r="V9" s="242">
        <v>2649</v>
      </c>
      <c r="W9" s="1058" t="s">
        <v>6188</v>
      </c>
      <c r="X9" s="1058" t="s">
        <v>6118</v>
      </c>
      <c r="Y9" s="1058" t="s">
        <v>6089</v>
      </c>
      <c r="AA9" s="1058" t="s">
        <v>4732</v>
      </c>
      <c r="AB9" s="2" t="s">
        <v>4748</v>
      </c>
      <c r="AC9" s="2" t="s">
        <v>4749</v>
      </c>
      <c r="AD9" s="2" t="s">
        <v>4750</v>
      </c>
      <c r="AE9" s="2" t="s">
        <v>4751</v>
      </c>
      <c r="AK9" s="442" t="s">
        <v>4733</v>
      </c>
    </row>
    <row r="10" spans="1:37" x14ac:dyDescent="0.3">
      <c r="A10" s="985" t="str">
        <f t="shared" si="0"/>
        <v>Sezóna 22/23</v>
      </c>
      <c r="B10" s="2">
        <v>8</v>
      </c>
      <c r="C10" s="2">
        <v>8</v>
      </c>
      <c r="D10" s="4">
        <v>44841</v>
      </c>
      <c r="E10" s="2" t="s">
        <v>6179</v>
      </c>
      <c r="F10" s="2" t="s">
        <v>16</v>
      </c>
      <c r="G10" s="1058" t="s">
        <v>6203</v>
      </c>
      <c r="H10" s="1058" t="s">
        <v>743</v>
      </c>
      <c r="I10" s="259">
        <v>4</v>
      </c>
      <c r="J10" s="259">
        <v>5</v>
      </c>
      <c r="K10" s="2">
        <v>4</v>
      </c>
      <c r="L10" s="2">
        <v>5</v>
      </c>
      <c r="M10" s="2">
        <v>13</v>
      </c>
      <c r="N10" s="2">
        <v>-4</v>
      </c>
      <c r="O10" s="2">
        <v>8</v>
      </c>
      <c r="P10" s="168">
        <v>0</v>
      </c>
      <c r="Q10" s="2">
        <v>0</v>
      </c>
      <c r="R10" s="2">
        <v>1</v>
      </c>
      <c r="S10" s="2">
        <v>0</v>
      </c>
      <c r="T10" s="2">
        <v>3</v>
      </c>
      <c r="U10" s="2">
        <v>1</v>
      </c>
      <c r="V10" s="242">
        <v>5546</v>
      </c>
      <c r="W10" s="1058" t="s">
        <v>6189</v>
      </c>
      <c r="X10" s="1058" t="s">
        <v>6100</v>
      </c>
      <c r="Y10" s="1058" t="s">
        <v>6102</v>
      </c>
      <c r="AA10" s="1058" t="s">
        <v>4737</v>
      </c>
      <c r="AB10" s="2" t="s">
        <v>4752</v>
      </c>
      <c r="AC10" s="2" t="s">
        <v>4753</v>
      </c>
      <c r="AD10" s="2" t="s">
        <v>4754</v>
      </c>
      <c r="AE10" s="2" t="s">
        <v>4755</v>
      </c>
      <c r="AK10" s="8" t="s">
        <v>4744</v>
      </c>
    </row>
    <row r="11" spans="1:37" x14ac:dyDescent="0.3">
      <c r="A11" s="985" t="str">
        <f t="shared" si="0"/>
        <v>Sezóna 22/23</v>
      </c>
      <c r="B11" s="2">
        <v>9</v>
      </c>
      <c r="C11" s="2">
        <v>9</v>
      </c>
      <c r="D11" s="4">
        <v>44843</v>
      </c>
      <c r="E11" s="2" t="s">
        <v>334</v>
      </c>
      <c r="F11" s="2" t="s">
        <v>16</v>
      </c>
      <c r="G11" s="1058" t="s">
        <v>6128</v>
      </c>
      <c r="H11" s="1058" t="s">
        <v>743</v>
      </c>
      <c r="I11" s="259">
        <v>1</v>
      </c>
      <c r="J11" s="259">
        <v>4</v>
      </c>
      <c r="K11" s="2">
        <v>1</v>
      </c>
      <c r="L11" s="2">
        <v>4</v>
      </c>
      <c r="M11" s="397">
        <v>14</v>
      </c>
      <c r="N11" s="2">
        <v>-4</v>
      </c>
      <c r="O11" s="2">
        <v>8</v>
      </c>
      <c r="P11" s="168">
        <v>0</v>
      </c>
      <c r="Q11" s="2">
        <v>0</v>
      </c>
      <c r="R11" s="2">
        <v>0</v>
      </c>
      <c r="S11" s="2">
        <v>1</v>
      </c>
      <c r="T11" s="2">
        <v>2</v>
      </c>
      <c r="U11" s="2">
        <v>4</v>
      </c>
      <c r="V11" s="242">
        <v>3668</v>
      </c>
      <c r="W11" s="1058" t="s">
        <v>6079</v>
      </c>
      <c r="X11" s="1058" t="s">
        <v>6188</v>
      </c>
      <c r="Y11" s="1058" t="s">
        <v>6187</v>
      </c>
      <c r="AA11" s="1058" t="s">
        <v>3778</v>
      </c>
      <c r="AB11" s="2" t="s">
        <v>4757</v>
      </c>
      <c r="AK11" s="8" t="s">
        <v>4756</v>
      </c>
    </row>
    <row r="12" spans="1:37" x14ac:dyDescent="0.3">
      <c r="A12" s="985" t="str">
        <f t="shared" si="0"/>
        <v>Sezóna 22/23</v>
      </c>
      <c r="B12" s="2">
        <v>10</v>
      </c>
      <c r="C12" s="2">
        <v>10</v>
      </c>
      <c r="D12" s="4">
        <v>44848</v>
      </c>
      <c r="E12" s="2" t="s">
        <v>6086</v>
      </c>
      <c r="F12" s="2" t="s">
        <v>17</v>
      </c>
      <c r="G12" s="1058" t="s">
        <v>6211</v>
      </c>
      <c r="H12" s="1058" t="s">
        <v>743</v>
      </c>
      <c r="I12" s="259">
        <v>3</v>
      </c>
      <c r="J12" s="259">
        <v>4</v>
      </c>
      <c r="K12" s="2">
        <v>3</v>
      </c>
      <c r="L12" s="2">
        <v>4</v>
      </c>
      <c r="M12" s="397">
        <v>14</v>
      </c>
      <c r="N12" s="2">
        <v>-7</v>
      </c>
      <c r="O12" s="2">
        <v>8</v>
      </c>
      <c r="P12" s="168">
        <v>1</v>
      </c>
      <c r="Q12" s="2">
        <v>0</v>
      </c>
      <c r="R12" s="2">
        <v>0</v>
      </c>
      <c r="S12" s="2">
        <v>3</v>
      </c>
      <c r="T12" s="2">
        <v>6</v>
      </c>
      <c r="U12" s="2">
        <v>5</v>
      </c>
      <c r="V12" s="242">
        <v>3197</v>
      </c>
      <c r="W12" s="1058" t="s">
        <v>6077</v>
      </c>
      <c r="X12" s="1058" t="s">
        <v>6120</v>
      </c>
      <c r="Y12" s="1058" t="s">
        <v>6089</v>
      </c>
      <c r="AA12" s="1058" t="s">
        <v>4738</v>
      </c>
      <c r="AB12" s="2" t="s">
        <v>4764</v>
      </c>
      <c r="AC12" s="2" t="s">
        <v>4765</v>
      </c>
      <c r="AD12" s="2" t="s">
        <v>4766</v>
      </c>
      <c r="AK12" s="8" t="s">
        <v>4763</v>
      </c>
    </row>
    <row r="13" spans="1:37" x14ac:dyDescent="0.3">
      <c r="A13" s="985" t="str">
        <f t="shared" si="0"/>
        <v>Sezóna 22/23</v>
      </c>
      <c r="B13" s="2">
        <v>11</v>
      </c>
      <c r="C13" s="2">
        <v>11</v>
      </c>
      <c r="D13" s="4">
        <v>44850</v>
      </c>
      <c r="E13" s="2" t="s">
        <v>331</v>
      </c>
      <c r="F13" s="2" t="s">
        <v>16</v>
      </c>
      <c r="G13" s="1058" t="s">
        <v>6211</v>
      </c>
      <c r="H13" s="1058" t="s">
        <v>743</v>
      </c>
      <c r="I13" s="259">
        <v>3</v>
      </c>
      <c r="J13" s="259">
        <v>4</v>
      </c>
      <c r="K13" s="2">
        <v>3</v>
      </c>
      <c r="L13" s="2">
        <v>4</v>
      </c>
      <c r="M13" s="397">
        <v>14</v>
      </c>
      <c r="N13" s="2">
        <v>-7</v>
      </c>
      <c r="O13" s="2">
        <v>8</v>
      </c>
      <c r="P13" s="168">
        <v>2</v>
      </c>
      <c r="Q13" s="2">
        <v>0</v>
      </c>
      <c r="R13" s="2">
        <v>0</v>
      </c>
      <c r="S13" s="2">
        <v>1</v>
      </c>
      <c r="T13" s="2">
        <v>6</v>
      </c>
      <c r="U13" s="2">
        <v>3</v>
      </c>
      <c r="V13" s="242">
        <v>4176</v>
      </c>
      <c r="W13" s="1058" t="s">
        <v>6097</v>
      </c>
      <c r="X13" s="1058" t="s">
        <v>6187</v>
      </c>
      <c r="Y13" s="1058" t="s">
        <v>6187</v>
      </c>
      <c r="AA13" s="1058" t="s">
        <v>4739</v>
      </c>
      <c r="AB13" s="2" t="s">
        <v>4767</v>
      </c>
      <c r="AC13" s="2" t="s">
        <v>4769</v>
      </c>
      <c r="AD13" s="2" t="s">
        <v>4768</v>
      </c>
      <c r="AK13" s="8" t="s">
        <v>4770</v>
      </c>
    </row>
    <row r="14" spans="1:37" x14ac:dyDescent="0.3">
      <c r="A14" s="985" t="str">
        <f t="shared" si="0"/>
        <v>Sezóna 22/23</v>
      </c>
      <c r="B14" s="2">
        <v>12</v>
      </c>
      <c r="C14" s="2">
        <v>12</v>
      </c>
      <c r="D14" s="4">
        <v>44852</v>
      </c>
      <c r="E14" s="2" t="s">
        <v>327</v>
      </c>
      <c r="F14" s="2" t="s">
        <v>17</v>
      </c>
      <c r="G14" s="1058" t="s">
        <v>158</v>
      </c>
      <c r="H14" s="1058" t="s">
        <v>794</v>
      </c>
      <c r="I14" s="259">
        <v>0</v>
      </c>
      <c r="J14" s="259">
        <v>1</v>
      </c>
      <c r="K14" s="2">
        <v>0</v>
      </c>
      <c r="L14" s="2">
        <v>0</v>
      </c>
      <c r="M14" s="397">
        <v>14</v>
      </c>
      <c r="N14" s="2">
        <v>-9</v>
      </c>
      <c r="O14" s="2">
        <v>9</v>
      </c>
      <c r="P14" s="168">
        <v>0</v>
      </c>
      <c r="Q14" s="2">
        <v>0</v>
      </c>
      <c r="R14" s="2">
        <v>0</v>
      </c>
      <c r="S14" s="2">
        <v>0</v>
      </c>
      <c r="T14" s="2">
        <v>5</v>
      </c>
      <c r="U14" s="2">
        <v>4.5</v>
      </c>
      <c r="V14" s="242">
        <v>3028</v>
      </c>
      <c r="W14" s="1058" t="s">
        <v>6188</v>
      </c>
      <c r="X14" s="1058" t="s">
        <v>6188</v>
      </c>
      <c r="Y14" s="1058" t="s">
        <v>6188</v>
      </c>
      <c r="Z14" s="1058" t="s">
        <v>354</v>
      </c>
      <c r="AA14" s="1058" t="s">
        <v>4743</v>
      </c>
      <c r="AB14" s="2" t="s">
        <v>515</v>
      </c>
      <c r="AK14" s="8" t="s">
        <v>4762</v>
      </c>
    </row>
    <row r="15" spans="1:37" s="191" customFormat="1" x14ac:dyDescent="0.3">
      <c r="A15" s="985" t="str">
        <f t="shared" si="0"/>
        <v>Sezóna 22/23</v>
      </c>
      <c r="B15" s="170">
        <v>13</v>
      </c>
      <c r="C15" s="170">
        <v>13</v>
      </c>
      <c r="D15" s="4">
        <v>44855</v>
      </c>
      <c r="E15" s="170" t="s">
        <v>626</v>
      </c>
      <c r="F15" s="170" t="s">
        <v>16</v>
      </c>
      <c r="G15" s="1059" t="s">
        <v>6204</v>
      </c>
      <c r="H15" s="1059" t="s">
        <v>743</v>
      </c>
      <c r="I15" s="1091">
        <v>3</v>
      </c>
      <c r="J15" s="1091">
        <v>5</v>
      </c>
      <c r="K15" s="170">
        <v>3</v>
      </c>
      <c r="L15" s="170">
        <v>4</v>
      </c>
      <c r="M15" s="796">
        <v>14</v>
      </c>
      <c r="N15" s="269">
        <v>-9</v>
      </c>
      <c r="O15" s="269">
        <v>9</v>
      </c>
      <c r="P15" s="169">
        <v>1</v>
      </c>
      <c r="Q15" s="170">
        <v>0</v>
      </c>
      <c r="R15" s="170">
        <v>0</v>
      </c>
      <c r="S15" s="170">
        <v>1</v>
      </c>
      <c r="T15" s="170">
        <v>2</v>
      </c>
      <c r="U15" s="170">
        <v>3</v>
      </c>
      <c r="V15" s="171">
        <v>4318</v>
      </c>
      <c r="W15" s="1059" t="s">
        <v>6120</v>
      </c>
      <c r="X15" s="1059" t="s">
        <v>6077</v>
      </c>
      <c r="Y15" s="1059" t="s">
        <v>6118</v>
      </c>
      <c r="Z15" s="1059"/>
      <c r="AA15" s="1059" t="s">
        <v>4758</v>
      </c>
      <c r="AB15" s="170" t="s">
        <v>4775</v>
      </c>
      <c r="AC15" s="170" t="s">
        <v>4776</v>
      </c>
      <c r="AD15" s="170" t="s">
        <v>4777</v>
      </c>
      <c r="AE15" s="170"/>
      <c r="AF15" s="170"/>
      <c r="AG15" s="170"/>
      <c r="AH15" s="170"/>
      <c r="AI15" s="171"/>
      <c r="AJ15" s="268"/>
      <c r="AK15" s="268" t="s">
        <v>4761</v>
      </c>
    </row>
    <row r="16" spans="1:37" x14ac:dyDescent="0.3">
      <c r="A16" s="985" t="str">
        <f t="shared" si="0"/>
        <v>Sezóna 22/23</v>
      </c>
      <c r="B16" s="2">
        <v>14</v>
      </c>
      <c r="C16" s="2">
        <v>14</v>
      </c>
      <c r="D16" s="4">
        <v>44857</v>
      </c>
      <c r="E16" s="2" t="s">
        <v>328</v>
      </c>
      <c r="F16" s="2" t="s">
        <v>16</v>
      </c>
      <c r="G16" s="1058" t="s">
        <v>6204</v>
      </c>
      <c r="H16" s="1058" t="s">
        <v>743</v>
      </c>
      <c r="I16" s="259">
        <v>3</v>
      </c>
      <c r="J16" s="259">
        <v>5</v>
      </c>
      <c r="K16" s="2">
        <v>3</v>
      </c>
      <c r="L16" s="2">
        <v>6</v>
      </c>
      <c r="M16" s="397">
        <v>14</v>
      </c>
      <c r="N16" s="2">
        <v>-9</v>
      </c>
      <c r="O16" s="2">
        <v>9</v>
      </c>
      <c r="P16" s="168">
        <v>2</v>
      </c>
      <c r="Q16" s="2">
        <v>0</v>
      </c>
      <c r="R16" s="2">
        <v>0</v>
      </c>
      <c r="S16" s="2">
        <v>1</v>
      </c>
      <c r="T16" s="2">
        <v>4</v>
      </c>
      <c r="U16" s="2">
        <v>2</v>
      </c>
      <c r="V16" s="242">
        <v>6409</v>
      </c>
      <c r="W16" s="1058" t="s">
        <v>6187</v>
      </c>
      <c r="X16" s="1058" t="s">
        <v>6102</v>
      </c>
      <c r="Y16" s="1058" t="s">
        <v>6187</v>
      </c>
      <c r="AA16" s="1058" t="s">
        <v>4759</v>
      </c>
      <c r="AB16" s="2" t="s">
        <v>4778</v>
      </c>
      <c r="AC16" s="2" t="s">
        <v>4779</v>
      </c>
      <c r="AD16" s="2" t="s">
        <v>4780</v>
      </c>
      <c r="AK16" s="8" t="s">
        <v>4760</v>
      </c>
    </row>
    <row r="17" spans="1:37" x14ac:dyDescent="0.3">
      <c r="A17" s="985" t="str">
        <f t="shared" si="0"/>
        <v>Sezóna 22/23</v>
      </c>
      <c r="B17" s="2">
        <v>15</v>
      </c>
      <c r="C17" s="2">
        <v>15</v>
      </c>
      <c r="D17" s="4">
        <v>44862</v>
      </c>
      <c r="E17" s="2" t="s">
        <v>325</v>
      </c>
      <c r="F17" s="2" t="s">
        <v>17</v>
      </c>
      <c r="G17" s="1058" t="s">
        <v>6202</v>
      </c>
      <c r="H17" s="1058" t="s">
        <v>16</v>
      </c>
      <c r="I17" s="259">
        <v>4</v>
      </c>
      <c r="J17" s="259">
        <v>0</v>
      </c>
      <c r="K17" s="2">
        <v>4</v>
      </c>
      <c r="L17" s="2">
        <v>0</v>
      </c>
      <c r="M17" s="397">
        <v>14</v>
      </c>
      <c r="N17" s="2">
        <v>-9</v>
      </c>
      <c r="O17" s="2">
        <v>12</v>
      </c>
      <c r="P17" s="168">
        <v>3</v>
      </c>
      <c r="Q17" s="2">
        <v>0</v>
      </c>
      <c r="R17" s="2">
        <v>0</v>
      </c>
      <c r="S17" s="2">
        <v>0</v>
      </c>
      <c r="T17" s="2">
        <v>6</v>
      </c>
      <c r="U17" s="2">
        <v>2</v>
      </c>
      <c r="V17" s="242">
        <v>5107</v>
      </c>
      <c r="W17" s="1058" t="s">
        <v>6188</v>
      </c>
      <c r="X17" s="1058" t="s">
        <v>6089</v>
      </c>
      <c r="Y17" s="1058" t="s">
        <v>6089</v>
      </c>
      <c r="AA17" s="1058" t="s">
        <v>6202</v>
      </c>
      <c r="AB17" s="2" t="s">
        <v>4787</v>
      </c>
      <c r="AC17" s="2" t="s">
        <v>4788</v>
      </c>
      <c r="AD17" s="2" t="s">
        <v>4789</v>
      </c>
      <c r="AE17" s="2" t="s">
        <v>4790</v>
      </c>
      <c r="AK17" s="8" t="s">
        <v>4773</v>
      </c>
    </row>
    <row r="18" spans="1:37" x14ac:dyDescent="0.3">
      <c r="A18" s="985" t="str">
        <f t="shared" si="0"/>
        <v>Sezóna 22/23</v>
      </c>
      <c r="B18" s="2">
        <v>16</v>
      </c>
      <c r="C18" s="2">
        <v>16</v>
      </c>
      <c r="D18" s="4">
        <v>44864</v>
      </c>
      <c r="E18" s="2" t="s">
        <v>610</v>
      </c>
      <c r="F18" s="2" t="s">
        <v>16</v>
      </c>
      <c r="G18" s="1058" t="s">
        <v>351</v>
      </c>
      <c r="H18" s="1058" t="s">
        <v>793</v>
      </c>
      <c r="I18" s="259">
        <v>3</v>
      </c>
      <c r="J18" s="259">
        <v>2</v>
      </c>
      <c r="K18" s="2">
        <v>2</v>
      </c>
      <c r="L18" s="2">
        <v>2</v>
      </c>
      <c r="M18" s="397">
        <v>14</v>
      </c>
      <c r="N18" s="2">
        <v>-7</v>
      </c>
      <c r="O18" s="2">
        <v>14</v>
      </c>
      <c r="P18" s="168">
        <v>0</v>
      </c>
      <c r="Q18" s="2">
        <v>0</v>
      </c>
      <c r="R18" s="2">
        <v>0</v>
      </c>
      <c r="S18" s="2">
        <v>0</v>
      </c>
      <c r="T18" s="2">
        <v>4</v>
      </c>
      <c r="U18" s="2">
        <v>3</v>
      </c>
      <c r="V18" s="242">
        <v>6067</v>
      </c>
      <c r="W18" s="1058" t="s">
        <v>6194</v>
      </c>
      <c r="X18" s="1058" t="s">
        <v>6188</v>
      </c>
      <c r="Y18" s="1058" t="s">
        <v>6188</v>
      </c>
      <c r="Z18" s="1058" t="s">
        <v>756</v>
      </c>
      <c r="AA18" s="1058" t="s">
        <v>4774</v>
      </c>
      <c r="AB18" s="2" t="s">
        <v>4791</v>
      </c>
      <c r="AC18" s="2" t="s">
        <v>4792</v>
      </c>
      <c r="AD18" s="2" t="s">
        <v>4793</v>
      </c>
      <c r="AK18" s="8" t="s">
        <v>4772</v>
      </c>
    </row>
    <row r="19" spans="1:37" x14ac:dyDescent="0.3">
      <c r="A19" s="985" t="str">
        <f t="shared" si="0"/>
        <v>Sezóna 22/23</v>
      </c>
      <c r="B19" s="2">
        <v>17</v>
      </c>
      <c r="C19" s="2">
        <v>17</v>
      </c>
      <c r="D19" s="4">
        <v>44866</v>
      </c>
      <c r="E19" s="2" t="s">
        <v>6091</v>
      </c>
      <c r="F19" s="2" t="s">
        <v>17</v>
      </c>
      <c r="G19" s="1058" t="s">
        <v>6191</v>
      </c>
      <c r="H19" s="1058" t="s">
        <v>16</v>
      </c>
      <c r="I19" s="259">
        <v>6</v>
      </c>
      <c r="J19" s="259">
        <v>4</v>
      </c>
      <c r="K19" s="2">
        <v>6</v>
      </c>
      <c r="L19" s="2">
        <v>4</v>
      </c>
      <c r="M19" s="2">
        <v>13</v>
      </c>
      <c r="N19" s="2">
        <v>-7</v>
      </c>
      <c r="O19" s="2">
        <v>17</v>
      </c>
      <c r="P19" s="168">
        <v>1</v>
      </c>
      <c r="Q19" s="2">
        <v>0</v>
      </c>
      <c r="R19" s="2">
        <v>0</v>
      </c>
      <c r="S19" s="2">
        <v>1</v>
      </c>
      <c r="T19" s="2">
        <v>3</v>
      </c>
      <c r="U19" s="2">
        <v>3</v>
      </c>
      <c r="V19" s="242">
        <v>3214</v>
      </c>
      <c r="W19" s="1058" t="s">
        <v>6100</v>
      </c>
      <c r="X19" s="1058" t="s">
        <v>6089</v>
      </c>
      <c r="Y19" s="1058" t="s">
        <v>6102</v>
      </c>
      <c r="AA19" s="1058" t="s">
        <v>4783</v>
      </c>
      <c r="AB19" s="2" t="s">
        <v>4794</v>
      </c>
      <c r="AC19" s="2" t="s">
        <v>4795</v>
      </c>
      <c r="AD19" s="2" t="s">
        <v>4796</v>
      </c>
      <c r="AE19" s="2" t="s">
        <v>4797</v>
      </c>
      <c r="AF19" s="2" t="s">
        <v>4798</v>
      </c>
      <c r="AG19" s="2" t="s">
        <v>4799</v>
      </c>
      <c r="AK19" s="8" t="s">
        <v>4781</v>
      </c>
    </row>
    <row r="20" spans="1:37" x14ac:dyDescent="0.3">
      <c r="A20" s="985" t="str">
        <f t="shared" si="0"/>
        <v>Sezóna 22/23</v>
      </c>
      <c r="B20" s="2">
        <v>18</v>
      </c>
      <c r="C20" s="2">
        <v>18</v>
      </c>
      <c r="D20" s="4">
        <v>44869</v>
      </c>
      <c r="E20" s="2" t="s">
        <v>332</v>
      </c>
      <c r="F20" s="2" t="s">
        <v>16</v>
      </c>
      <c r="G20" s="1058" t="s">
        <v>171</v>
      </c>
      <c r="H20" s="1058" t="s">
        <v>794</v>
      </c>
      <c r="I20" s="259">
        <v>2</v>
      </c>
      <c r="J20" s="259">
        <v>3</v>
      </c>
      <c r="K20" s="2">
        <v>2</v>
      </c>
      <c r="L20" s="2">
        <v>2</v>
      </c>
      <c r="M20" s="397">
        <v>14</v>
      </c>
      <c r="N20" s="2">
        <v>-6</v>
      </c>
      <c r="O20" s="2">
        <v>18</v>
      </c>
      <c r="P20" s="168">
        <v>0</v>
      </c>
      <c r="Q20" s="2">
        <v>0</v>
      </c>
      <c r="R20" s="2">
        <v>0</v>
      </c>
      <c r="S20" s="2">
        <v>0</v>
      </c>
      <c r="T20" s="2">
        <v>1</v>
      </c>
      <c r="U20" s="2">
        <v>2</v>
      </c>
      <c r="V20" s="242">
        <v>4379</v>
      </c>
      <c r="W20" s="1058" t="s">
        <v>6120</v>
      </c>
      <c r="X20" s="1058" t="s">
        <v>6120</v>
      </c>
      <c r="Y20" s="1058" t="s">
        <v>6171</v>
      </c>
      <c r="Z20" s="1058" t="s">
        <v>3213</v>
      </c>
      <c r="AA20" s="1058" t="s">
        <v>3465</v>
      </c>
      <c r="AB20" s="2" t="s">
        <v>4800</v>
      </c>
      <c r="AC20" s="2" t="s">
        <v>4801</v>
      </c>
      <c r="AK20" s="8" t="s">
        <v>4785</v>
      </c>
    </row>
    <row r="21" spans="1:37" x14ac:dyDescent="0.3">
      <c r="A21" s="985" t="str">
        <f t="shared" si="0"/>
        <v>Sezóna 22/23</v>
      </c>
      <c r="B21" s="2">
        <v>19</v>
      </c>
      <c r="C21" s="2">
        <v>19</v>
      </c>
      <c r="D21" s="4">
        <v>44871</v>
      </c>
      <c r="E21" s="2" t="s">
        <v>6076</v>
      </c>
      <c r="F21" s="2" t="s">
        <v>17</v>
      </c>
      <c r="G21" s="1058" t="s">
        <v>6212</v>
      </c>
      <c r="H21" s="1058" t="s">
        <v>16</v>
      </c>
      <c r="I21" s="259">
        <v>5</v>
      </c>
      <c r="J21" s="259">
        <v>3</v>
      </c>
      <c r="K21" s="2">
        <v>4</v>
      </c>
      <c r="L21" s="2">
        <v>3</v>
      </c>
      <c r="M21" s="2">
        <v>12</v>
      </c>
      <c r="N21" s="2">
        <v>-6</v>
      </c>
      <c r="O21" s="2">
        <v>21</v>
      </c>
      <c r="P21" s="168">
        <v>1</v>
      </c>
      <c r="Q21" s="2">
        <v>0</v>
      </c>
      <c r="R21" s="2">
        <v>0</v>
      </c>
      <c r="S21" s="2">
        <v>1</v>
      </c>
      <c r="T21" s="2">
        <v>4</v>
      </c>
      <c r="U21" s="2">
        <v>5</v>
      </c>
      <c r="V21" s="242">
        <v>4023</v>
      </c>
      <c r="W21" s="1058" t="s">
        <v>6187</v>
      </c>
      <c r="X21" s="1058" t="s">
        <v>6120</v>
      </c>
      <c r="Y21" s="1058" t="s">
        <v>6113</v>
      </c>
      <c r="AA21" s="1058" t="s">
        <v>4786</v>
      </c>
      <c r="AB21" s="2" t="s">
        <v>4802</v>
      </c>
      <c r="AC21" s="2" t="s">
        <v>4803</v>
      </c>
      <c r="AD21" s="2" t="s">
        <v>4804</v>
      </c>
      <c r="AE21" s="2" t="s">
        <v>4805</v>
      </c>
      <c r="AF21" s="2" t="s">
        <v>4806</v>
      </c>
      <c r="AK21" s="8" t="s">
        <v>4784</v>
      </c>
    </row>
    <row r="22" spans="1:37" x14ac:dyDescent="0.3">
      <c r="A22" s="985" t="str">
        <f t="shared" si="0"/>
        <v>Sezóna 22/23</v>
      </c>
      <c r="B22" s="2">
        <v>20</v>
      </c>
      <c r="C22" s="2">
        <v>20</v>
      </c>
      <c r="D22" s="4">
        <v>44883</v>
      </c>
      <c r="E22" s="2" t="s">
        <v>1274</v>
      </c>
      <c r="F22" s="2" t="s">
        <v>16</v>
      </c>
      <c r="G22" s="1058" t="s">
        <v>6079</v>
      </c>
      <c r="H22" s="1058" t="s">
        <v>743</v>
      </c>
      <c r="I22" s="259">
        <v>0</v>
      </c>
      <c r="J22" s="259">
        <v>3</v>
      </c>
      <c r="K22" s="2">
        <v>0</v>
      </c>
      <c r="L22" s="2">
        <v>1</v>
      </c>
      <c r="M22" s="2">
        <v>13</v>
      </c>
      <c r="N22" s="2">
        <v>-6</v>
      </c>
      <c r="O22" s="2">
        <v>21</v>
      </c>
      <c r="P22" s="168">
        <v>0</v>
      </c>
      <c r="Q22" s="2">
        <v>0</v>
      </c>
      <c r="R22" s="2">
        <v>0</v>
      </c>
      <c r="S22" s="2">
        <v>0</v>
      </c>
      <c r="T22" s="2">
        <v>6</v>
      </c>
      <c r="U22" s="2">
        <v>3</v>
      </c>
      <c r="V22" s="242">
        <v>4078</v>
      </c>
      <c r="W22" s="1058" t="s">
        <v>6188</v>
      </c>
      <c r="X22" s="1058" t="s">
        <v>6188</v>
      </c>
      <c r="Y22" s="1058" t="s">
        <v>6079</v>
      </c>
      <c r="AA22" s="1058" t="s">
        <v>6079</v>
      </c>
      <c r="AB22" s="2" t="s">
        <v>515</v>
      </c>
      <c r="AK22" s="8" t="s">
        <v>4896</v>
      </c>
    </row>
    <row r="23" spans="1:37" x14ac:dyDescent="0.3">
      <c r="A23" s="985" t="str">
        <f t="shared" si="0"/>
        <v>Sezóna 22/23</v>
      </c>
      <c r="B23" s="2">
        <v>21</v>
      </c>
      <c r="C23" s="2">
        <v>21</v>
      </c>
      <c r="D23" s="4">
        <v>44885</v>
      </c>
      <c r="E23" s="2" t="s">
        <v>6179</v>
      </c>
      <c r="F23" s="2" t="s">
        <v>17</v>
      </c>
      <c r="G23" s="1058" t="s">
        <v>6190</v>
      </c>
      <c r="H23" s="1058" t="s">
        <v>16</v>
      </c>
      <c r="I23" s="259">
        <v>5</v>
      </c>
      <c r="J23" s="259">
        <v>1</v>
      </c>
      <c r="K23" s="2">
        <v>5</v>
      </c>
      <c r="L23" s="2">
        <v>1</v>
      </c>
      <c r="M23" s="2">
        <v>11</v>
      </c>
      <c r="N23" s="2">
        <v>-6</v>
      </c>
      <c r="O23" s="2">
        <v>24</v>
      </c>
      <c r="P23" s="168">
        <v>1</v>
      </c>
      <c r="Q23" s="2">
        <v>0</v>
      </c>
      <c r="R23" s="2">
        <v>0</v>
      </c>
      <c r="S23" s="2">
        <v>0</v>
      </c>
      <c r="T23" s="2">
        <v>3</v>
      </c>
      <c r="U23" s="2">
        <v>2</v>
      </c>
      <c r="V23" s="242">
        <v>3968</v>
      </c>
      <c r="W23" s="1058" t="s">
        <v>6089</v>
      </c>
      <c r="X23" s="1058" t="s">
        <v>6120</v>
      </c>
      <c r="Y23" s="1058" t="s">
        <v>6118</v>
      </c>
      <c r="AA23" s="1058" t="s">
        <v>4897</v>
      </c>
      <c r="AB23" s="2" t="s">
        <v>5046</v>
      </c>
      <c r="AC23" s="2" t="s">
        <v>5047</v>
      </c>
      <c r="AD23" s="2" t="s">
        <v>5048</v>
      </c>
      <c r="AE23" s="2" t="s">
        <v>5049</v>
      </c>
      <c r="AF23" s="2" t="s">
        <v>5050</v>
      </c>
      <c r="AK23" s="8" t="s">
        <v>4784</v>
      </c>
    </row>
    <row r="24" spans="1:37" x14ac:dyDescent="0.3">
      <c r="A24" s="985" t="str">
        <f t="shared" si="0"/>
        <v>Sezóna 22/23</v>
      </c>
      <c r="B24" s="2">
        <v>22</v>
      </c>
      <c r="C24" s="2">
        <v>22</v>
      </c>
      <c r="D24" s="4">
        <v>44890</v>
      </c>
      <c r="E24" s="2" t="s">
        <v>334</v>
      </c>
      <c r="F24" s="2" t="s">
        <v>17</v>
      </c>
      <c r="G24" s="1058" t="s">
        <v>589</v>
      </c>
      <c r="H24" s="1058" t="s">
        <v>794</v>
      </c>
      <c r="I24" s="259">
        <v>1</v>
      </c>
      <c r="J24" s="259">
        <v>2</v>
      </c>
      <c r="K24" s="2">
        <v>1</v>
      </c>
      <c r="L24" s="2">
        <v>1</v>
      </c>
      <c r="M24" s="2">
        <v>12</v>
      </c>
      <c r="N24" s="2">
        <v>-8</v>
      </c>
      <c r="O24" s="2">
        <v>25</v>
      </c>
      <c r="P24" s="168">
        <v>0</v>
      </c>
      <c r="Q24" s="2">
        <v>0</v>
      </c>
      <c r="R24" s="2">
        <v>0</v>
      </c>
      <c r="S24" s="2">
        <v>2</v>
      </c>
      <c r="T24" s="2">
        <v>5</v>
      </c>
      <c r="U24" s="2">
        <v>4</v>
      </c>
      <c r="V24" s="242">
        <v>3469</v>
      </c>
      <c r="W24" s="1058" t="s">
        <v>6188</v>
      </c>
      <c r="X24" s="1058" t="s">
        <v>6187</v>
      </c>
      <c r="Y24" s="1058" t="s">
        <v>6188</v>
      </c>
      <c r="Z24" s="1058" t="s">
        <v>3213</v>
      </c>
      <c r="AA24" s="1058" t="s">
        <v>4898</v>
      </c>
      <c r="AB24" s="2" t="s">
        <v>4901</v>
      </c>
      <c r="AK24" s="8" t="s">
        <v>4900</v>
      </c>
    </row>
    <row r="25" spans="1:37" x14ac:dyDescent="0.3">
      <c r="A25" s="985" t="str">
        <f t="shared" si="0"/>
        <v>Sezóna 22/23</v>
      </c>
      <c r="B25" s="2">
        <v>23</v>
      </c>
      <c r="C25" s="2">
        <v>23</v>
      </c>
      <c r="D25" s="4">
        <v>44892</v>
      </c>
      <c r="E25" s="2" t="s">
        <v>6086</v>
      </c>
      <c r="F25" s="2" t="s">
        <v>16</v>
      </c>
      <c r="G25" s="1058" t="s">
        <v>6205</v>
      </c>
      <c r="H25" s="1058" t="s">
        <v>743</v>
      </c>
      <c r="I25" s="259">
        <v>4</v>
      </c>
      <c r="J25" s="259">
        <v>6</v>
      </c>
      <c r="K25" s="2">
        <v>4</v>
      </c>
      <c r="L25" s="2">
        <v>6</v>
      </c>
      <c r="M25" s="2">
        <v>12</v>
      </c>
      <c r="N25" s="2">
        <v>-8</v>
      </c>
      <c r="O25" s="2">
        <v>25</v>
      </c>
      <c r="P25" s="168">
        <v>0</v>
      </c>
      <c r="Q25" s="2">
        <v>0</v>
      </c>
      <c r="R25" s="2">
        <v>0</v>
      </c>
      <c r="S25" s="2">
        <v>1</v>
      </c>
      <c r="T25" s="2">
        <v>3</v>
      </c>
      <c r="U25" s="2">
        <v>5</v>
      </c>
      <c r="V25" s="242">
        <v>2643</v>
      </c>
      <c r="W25" s="1058" t="s">
        <v>6110</v>
      </c>
      <c r="X25" s="1058" t="s">
        <v>6097</v>
      </c>
      <c r="Y25" s="1058" t="s">
        <v>6077</v>
      </c>
      <c r="AA25" s="1058" t="s">
        <v>4899</v>
      </c>
      <c r="AB25" s="2" t="s">
        <v>5051</v>
      </c>
      <c r="AC25" s="2" t="s">
        <v>5052</v>
      </c>
      <c r="AD25" s="2" t="s">
        <v>5053</v>
      </c>
      <c r="AE25" s="2" t="s">
        <v>5054</v>
      </c>
      <c r="AK25" s="636" t="s">
        <v>4900</v>
      </c>
    </row>
    <row r="26" spans="1:37" ht="15.75" customHeight="1" x14ac:dyDescent="0.3">
      <c r="A26" s="985" t="str">
        <f t="shared" si="0"/>
        <v>Sezóna 22/23</v>
      </c>
      <c r="B26" s="2">
        <v>24</v>
      </c>
      <c r="C26" s="2">
        <v>24</v>
      </c>
      <c r="D26" s="4">
        <v>44894</v>
      </c>
      <c r="E26" s="2" t="s">
        <v>331</v>
      </c>
      <c r="F26" s="2" t="s">
        <v>17</v>
      </c>
      <c r="G26" s="1058" t="s">
        <v>6082</v>
      </c>
      <c r="H26" s="1058" t="s">
        <v>743</v>
      </c>
      <c r="I26" s="259">
        <v>2</v>
      </c>
      <c r="J26" s="259">
        <v>4</v>
      </c>
      <c r="K26" s="2">
        <v>2</v>
      </c>
      <c r="L26" s="2">
        <v>3</v>
      </c>
      <c r="M26" s="385">
        <v>12</v>
      </c>
      <c r="N26" s="2">
        <v>-11</v>
      </c>
      <c r="O26" s="2">
        <v>25</v>
      </c>
      <c r="P26" s="168">
        <v>1</v>
      </c>
      <c r="Q26" s="2">
        <v>0</v>
      </c>
      <c r="R26" s="2">
        <v>1</v>
      </c>
      <c r="S26" s="2">
        <v>1</v>
      </c>
      <c r="T26" s="2">
        <v>4</v>
      </c>
      <c r="U26" s="2">
        <v>4</v>
      </c>
      <c r="V26" s="242">
        <v>3011</v>
      </c>
      <c r="W26" s="1058" t="s">
        <v>6102</v>
      </c>
      <c r="X26" s="1058" t="s">
        <v>6188</v>
      </c>
      <c r="Y26" s="1058" t="s">
        <v>6187</v>
      </c>
      <c r="AA26" s="1058" t="s">
        <v>3767</v>
      </c>
      <c r="AB26" s="2" t="s">
        <v>5055</v>
      </c>
      <c r="AC26" s="2" t="s">
        <v>5056</v>
      </c>
      <c r="AJ26" s="638"/>
      <c r="AK26" s="8" t="s">
        <v>4902</v>
      </c>
    </row>
    <row r="27" spans="1:37" x14ac:dyDescent="0.3">
      <c r="A27" s="985" t="str">
        <f t="shared" si="0"/>
        <v>Sezóna 22/23</v>
      </c>
      <c r="B27" s="2">
        <v>25</v>
      </c>
      <c r="C27" s="2">
        <v>26</v>
      </c>
      <c r="D27" s="4">
        <v>44899</v>
      </c>
      <c r="E27" s="2" t="s">
        <v>626</v>
      </c>
      <c r="F27" s="2" t="s">
        <v>17</v>
      </c>
      <c r="G27" s="1058" t="s">
        <v>6212</v>
      </c>
      <c r="H27" s="1058" t="s">
        <v>16</v>
      </c>
      <c r="I27" s="259">
        <v>5</v>
      </c>
      <c r="J27" s="259">
        <v>3</v>
      </c>
      <c r="K27" s="2">
        <v>4</v>
      </c>
      <c r="L27" s="2">
        <v>3</v>
      </c>
      <c r="M27" s="385">
        <v>12</v>
      </c>
      <c r="N27" s="2">
        <v>-11</v>
      </c>
      <c r="O27" s="2">
        <v>28</v>
      </c>
      <c r="P27" s="168">
        <v>1</v>
      </c>
      <c r="Q27" s="2">
        <v>0</v>
      </c>
      <c r="R27" s="2">
        <v>0</v>
      </c>
      <c r="S27" s="2">
        <v>1</v>
      </c>
      <c r="T27" s="2">
        <v>2</v>
      </c>
      <c r="U27" s="2">
        <v>2</v>
      </c>
      <c r="V27" s="242">
        <v>3047</v>
      </c>
      <c r="W27" s="1058" t="s">
        <v>6189</v>
      </c>
      <c r="X27" s="1058" t="s">
        <v>6194</v>
      </c>
      <c r="Y27" s="1058" t="s">
        <v>6110</v>
      </c>
      <c r="AA27" s="1058" t="s">
        <v>5041</v>
      </c>
      <c r="AB27" s="2" t="s">
        <v>5057</v>
      </c>
      <c r="AC27" s="2" t="s">
        <v>5058</v>
      </c>
      <c r="AD27" s="2" t="s">
        <v>5059</v>
      </c>
      <c r="AE27" s="2" t="s">
        <v>5060</v>
      </c>
      <c r="AF27" s="2" t="s">
        <v>5061</v>
      </c>
      <c r="AK27" s="8" t="s">
        <v>5042</v>
      </c>
    </row>
    <row r="28" spans="1:37" s="191" customFormat="1" x14ac:dyDescent="0.3">
      <c r="A28" s="985" t="str">
        <f t="shared" si="0"/>
        <v>Sezóna 22/23</v>
      </c>
      <c r="B28" s="170">
        <v>26</v>
      </c>
      <c r="C28" s="170">
        <v>25</v>
      </c>
      <c r="D28" s="4">
        <v>44901</v>
      </c>
      <c r="E28" s="170" t="s">
        <v>327</v>
      </c>
      <c r="F28" s="170" t="s">
        <v>16</v>
      </c>
      <c r="G28" s="1059" t="s">
        <v>6189</v>
      </c>
      <c r="H28" s="1059" t="s">
        <v>743</v>
      </c>
      <c r="I28" s="1091">
        <v>0</v>
      </c>
      <c r="J28" s="1091">
        <v>1</v>
      </c>
      <c r="K28" s="170">
        <v>0</v>
      </c>
      <c r="L28" s="170">
        <v>1</v>
      </c>
      <c r="M28" s="269">
        <v>12</v>
      </c>
      <c r="N28" s="269">
        <v>-11</v>
      </c>
      <c r="O28" s="269">
        <v>28</v>
      </c>
      <c r="P28" s="169">
        <v>0</v>
      </c>
      <c r="Q28" s="170">
        <v>0</v>
      </c>
      <c r="R28" s="170">
        <v>0</v>
      </c>
      <c r="S28" s="170">
        <v>1</v>
      </c>
      <c r="T28" s="170">
        <v>5</v>
      </c>
      <c r="U28" s="170">
        <v>5</v>
      </c>
      <c r="V28" s="171">
        <v>7568</v>
      </c>
      <c r="W28" s="1059" t="s">
        <v>6188</v>
      </c>
      <c r="X28" s="1059" t="s">
        <v>6189</v>
      </c>
      <c r="Y28" s="1059" t="s">
        <v>6188</v>
      </c>
      <c r="Z28" s="1059"/>
      <c r="AA28" s="1059" t="s">
        <v>6189</v>
      </c>
      <c r="AB28" s="170" t="s">
        <v>515</v>
      </c>
      <c r="AC28" s="170"/>
      <c r="AD28" s="170"/>
      <c r="AE28" s="170"/>
      <c r="AF28" s="170"/>
      <c r="AG28" s="170"/>
      <c r="AH28" s="170"/>
      <c r="AI28" s="171"/>
      <c r="AJ28" s="268"/>
      <c r="AK28" s="268" t="s">
        <v>5045</v>
      </c>
    </row>
    <row r="29" spans="1:37" x14ac:dyDescent="0.3">
      <c r="A29" s="985" t="str">
        <f t="shared" si="0"/>
        <v>Sezóna 22/23</v>
      </c>
      <c r="B29" s="2">
        <v>27</v>
      </c>
      <c r="C29" s="2">
        <v>27</v>
      </c>
      <c r="D29" s="4">
        <v>44904</v>
      </c>
      <c r="E29" s="2" t="s">
        <v>328</v>
      </c>
      <c r="F29" s="2" t="s">
        <v>17</v>
      </c>
      <c r="G29" s="1058" t="s">
        <v>6212</v>
      </c>
      <c r="H29" s="1058" t="s">
        <v>16</v>
      </c>
      <c r="I29" s="259">
        <v>5</v>
      </c>
      <c r="J29" s="259">
        <v>3</v>
      </c>
      <c r="K29" s="2">
        <v>4</v>
      </c>
      <c r="L29" s="2">
        <v>3</v>
      </c>
      <c r="M29" s="2">
        <v>12</v>
      </c>
      <c r="N29" s="2">
        <v>-11</v>
      </c>
      <c r="O29" s="2">
        <v>31</v>
      </c>
      <c r="P29" s="168">
        <v>1</v>
      </c>
      <c r="Q29" s="2">
        <v>0</v>
      </c>
      <c r="R29" s="2">
        <v>0</v>
      </c>
      <c r="S29" s="2">
        <v>1</v>
      </c>
      <c r="T29" s="2">
        <v>7</v>
      </c>
      <c r="U29" s="2">
        <v>1</v>
      </c>
      <c r="V29" s="242">
        <v>3015</v>
      </c>
      <c r="W29" s="1058" t="s">
        <v>6102</v>
      </c>
      <c r="X29" s="1058" t="s">
        <v>6089</v>
      </c>
      <c r="Y29" s="1058" t="s">
        <v>6089</v>
      </c>
      <c r="AA29" s="1058" t="s">
        <v>5080</v>
      </c>
      <c r="AB29" s="2" t="s">
        <v>5091</v>
      </c>
      <c r="AC29" s="2" t="s">
        <v>5092</v>
      </c>
      <c r="AD29" s="2" t="s">
        <v>5093</v>
      </c>
      <c r="AE29" s="2" t="s">
        <v>5094</v>
      </c>
      <c r="AF29" s="2" t="s">
        <v>5095</v>
      </c>
      <c r="AK29" s="8" t="s">
        <v>5082</v>
      </c>
    </row>
    <row r="30" spans="1:37" x14ac:dyDescent="0.3">
      <c r="A30" s="985" t="str">
        <f t="shared" si="0"/>
        <v>Sezóna 22/23</v>
      </c>
      <c r="B30" s="2">
        <v>28</v>
      </c>
      <c r="C30" s="2">
        <v>28</v>
      </c>
      <c r="D30" s="4">
        <v>44906</v>
      </c>
      <c r="E30" s="2" t="s">
        <v>325</v>
      </c>
      <c r="F30" s="2" t="s">
        <v>17</v>
      </c>
      <c r="G30" s="1058" t="s">
        <v>6133</v>
      </c>
      <c r="H30" s="1058" t="s">
        <v>16</v>
      </c>
      <c r="I30" s="259">
        <v>5</v>
      </c>
      <c r="J30" s="259">
        <v>2</v>
      </c>
      <c r="K30" s="2">
        <v>4</v>
      </c>
      <c r="L30" s="2">
        <v>2</v>
      </c>
      <c r="M30" s="2">
        <v>12</v>
      </c>
      <c r="N30" s="2">
        <v>-11</v>
      </c>
      <c r="O30" s="2">
        <v>34</v>
      </c>
      <c r="P30" s="168">
        <v>0</v>
      </c>
      <c r="Q30" s="2">
        <v>1</v>
      </c>
      <c r="R30" s="2">
        <v>0</v>
      </c>
      <c r="S30" s="2">
        <v>1</v>
      </c>
      <c r="T30" s="2">
        <v>3.5</v>
      </c>
      <c r="U30" s="2">
        <v>4</v>
      </c>
      <c r="V30" s="242">
        <v>4125</v>
      </c>
      <c r="W30" s="1058" t="s">
        <v>6089</v>
      </c>
      <c r="X30" s="1058" t="s">
        <v>6194</v>
      </c>
      <c r="Y30" s="1058" t="s">
        <v>6120</v>
      </c>
      <c r="AA30" s="1058" t="s">
        <v>5081</v>
      </c>
      <c r="AB30" s="2" t="s">
        <v>5096</v>
      </c>
      <c r="AC30" s="2" t="s">
        <v>5097</v>
      </c>
      <c r="AD30" s="2" t="s">
        <v>5098</v>
      </c>
      <c r="AE30" s="2" t="s">
        <v>5099</v>
      </c>
      <c r="AF30" s="2" t="s">
        <v>5100</v>
      </c>
      <c r="AK30" s="8" t="s">
        <v>5083</v>
      </c>
    </row>
    <row r="31" spans="1:37" x14ac:dyDescent="0.3">
      <c r="A31" s="985" t="str">
        <f t="shared" si="0"/>
        <v>Sezóna 22/23</v>
      </c>
      <c r="B31" s="2">
        <v>29</v>
      </c>
      <c r="C31" s="2">
        <v>29</v>
      </c>
      <c r="D31" s="4">
        <v>44915</v>
      </c>
      <c r="E31" s="2" t="s">
        <v>610</v>
      </c>
      <c r="F31" s="2" t="s">
        <v>17</v>
      </c>
      <c r="G31" s="1058" t="s">
        <v>352</v>
      </c>
      <c r="H31" s="1058" t="s">
        <v>793</v>
      </c>
      <c r="I31" s="259">
        <v>3</v>
      </c>
      <c r="J31" s="259">
        <v>2</v>
      </c>
      <c r="K31" s="2">
        <v>2</v>
      </c>
      <c r="L31" s="2">
        <v>2</v>
      </c>
      <c r="M31" s="2">
        <v>11</v>
      </c>
      <c r="N31" s="2">
        <v>-12</v>
      </c>
      <c r="O31" s="2">
        <v>36</v>
      </c>
      <c r="P31" s="168">
        <v>0</v>
      </c>
      <c r="Q31" s="2">
        <v>0</v>
      </c>
      <c r="R31" s="2">
        <v>0</v>
      </c>
      <c r="S31" s="2">
        <v>1</v>
      </c>
      <c r="T31" s="2">
        <v>4</v>
      </c>
      <c r="U31" s="2">
        <v>4</v>
      </c>
      <c r="V31" s="242">
        <v>2877</v>
      </c>
      <c r="W31" s="1058" t="s">
        <v>6187</v>
      </c>
      <c r="X31" s="1058" t="s">
        <v>6120</v>
      </c>
      <c r="Y31" s="1058" t="s">
        <v>6189</v>
      </c>
      <c r="Z31" s="1058" t="s">
        <v>355</v>
      </c>
      <c r="AA31" s="1058" t="s">
        <v>5090</v>
      </c>
      <c r="AB31" s="2" t="s">
        <v>5111</v>
      </c>
      <c r="AC31" s="2" t="s">
        <v>5112</v>
      </c>
      <c r="AD31" s="2" t="s">
        <v>5114</v>
      </c>
      <c r="AJ31" s="8" t="s">
        <v>5113</v>
      </c>
      <c r="AK31" s="8" t="s">
        <v>5089</v>
      </c>
    </row>
    <row r="32" spans="1:37" x14ac:dyDescent="0.3">
      <c r="A32" s="985" t="str">
        <f t="shared" si="0"/>
        <v>Sezóna 22/23</v>
      </c>
      <c r="B32" s="2">
        <v>30</v>
      </c>
      <c r="C32" s="2">
        <v>30</v>
      </c>
      <c r="D32" s="4">
        <v>44917</v>
      </c>
      <c r="E32" s="2" t="s">
        <v>6091</v>
      </c>
      <c r="F32" s="2" t="s">
        <v>16</v>
      </c>
      <c r="G32" s="1058" t="s">
        <v>6133</v>
      </c>
      <c r="H32" s="1058" t="s">
        <v>16</v>
      </c>
      <c r="I32" s="259">
        <v>5</v>
      </c>
      <c r="J32" s="259">
        <v>2</v>
      </c>
      <c r="K32" s="2">
        <v>5</v>
      </c>
      <c r="L32" s="2">
        <v>2</v>
      </c>
      <c r="M32" s="2">
        <v>11</v>
      </c>
      <c r="N32" s="2">
        <v>-9</v>
      </c>
      <c r="O32" s="2">
        <v>39</v>
      </c>
      <c r="P32" s="168">
        <v>2</v>
      </c>
      <c r="Q32" s="2">
        <v>0</v>
      </c>
      <c r="R32" s="2">
        <v>0</v>
      </c>
      <c r="S32" s="2">
        <v>2</v>
      </c>
      <c r="T32" s="2">
        <v>6</v>
      </c>
      <c r="U32" s="2">
        <v>6</v>
      </c>
      <c r="V32" s="242">
        <v>6008</v>
      </c>
      <c r="W32" s="1058" t="s">
        <v>6118</v>
      </c>
      <c r="X32" s="1058" t="s">
        <v>6187</v>
      </c>
      <c r="Y32" s="1058" t="s">
        <v>6089</v>
      </c>
      <c r="AA32" s="1058" t="s">
        <v>5101</v>
      </c>
      <c r="AB32" s="2" t="s">
        <v>5115</v>
      </c>
      <c r="AC32" s="2" t="s">
        <v>5116</v>
      </c>
      <c r="AD32" s="2" t="s">
        <v>5117</v>
      </c>
      <c r="AE32" s="2" t="s">
        <v>5118</v>
      </c>
      <c r="AF32" s="2" t="s">
        <v>5119</v>
      </c>
      <c r="AK32" s="8" t="s">
        <v>5102</v>
      </c>
    </row>
    <row r="33" spans="1:37" x14ac:dyDescent="0.3">
      <c r="A33" s="985" t="str">
        <f t="shared" si="0"/>
        <v>Sezóna 22/23</v>
      </c>
      <c r="B33" s="2">
        <v>31</v>
      </c>
      <c r="C33" s="2">
        <v>31</v>
      </c>
      <c r="D33" s="4">
        <v>44921</v>
      </c>
      <c r="E33" s="2" t="s">
        <v>332</v>
      </c>
      <c r="F33" s="425" t="s">
        <v>17</v>
      </c>
      <c r="G33" s="1058" t="s">
        <v>6146</v>
      </c>
      <c r="H33" s="1058" t="s">
        <v>743</v>
      </c>
      <c r="I33" s="259">
        <v>2</v>
      </c>
      <c r="J33" s="259">
        <v>3</v>
      </c>
      <c r="K33" s="2">
        <v>2</v>
      </c>
      <c r="L33" s="2">
        <v>3</v>
      </c>
      <c r="M33" s="2">
        <v>11</v>
      </c>
      <c r="N33" s="2">
        <v>-12</v>
      </c>
      <c r="O33" s="2">
        <v>39</v>
      </c>
      <c r="P33" s="168">
        <v>0</v>
      </c>
      <c r="Q33" s="2">
        <v>0</v>
      </c>
      <c r="R33" s="2">
        <v>0</v>
      </c>
      <c r="S33" s="2">
        <v>0</v>
      </c>
      <c r="T33" s="2">
        <v>4</v>
      </c>
      <c r="U33" s="2">
        <v>2</v>
      </c>
      <c r="V33" s="242">
        <v>5944</v>
      </c>
      <c r="W33" s="1058" t="s">
        <v>6187</v>
      </c>
      <c r="X33" s="1058" t="s">
        <v>6187</v>
      </c>
      <c r="Y33" s="1058" t="s">
        <v>6189</v>
      </c>
      <c r="AA33" s="1058" t="s">
        <v>4408</v>
      </c>
      <c r="AB33" s="2" t="s">
        <v>5121</v>
      </c>
      <c r="AC33" s="2" t="s">
        <v>5122</v>
      </c>
      <c r="AK33" s="8" t="s">
        <v>5120</v>
      </c>
    </row>
    <row r="34" spans="1:37" x14ac:dyDescent="0.3">
      <c r="A34" s="985" t="str">
        <f t="shared" si="0"/>
        <v>Sezóna 22/23</v>
      </c>
      <c r="B34" s="2">
        <v>32</v>
      </c>
      <c r="C34" s="2">
        <v>32</v>
      </c>
      <c r="D34" s="4">
        <v>44923</v>
      </c>
      <c r="E34" s="2" t="s">
        <v>6076</v>
      </c>
      <c r="F34" s="2" t="s">
        <v>16</v>
      </c>
      <c r="G34" s="1058" t="s">
        <v>6079</v>
      </c>
      <c r="H34" s="1058" t="s">
        <v>743</v>
      </c>
      <c r="I34" s="259">
        <v>0</v>
      </c>
      <c r="J34" s="259">
        <v>3</v>
      </c>
      <c r="K34" s="2">
        <v>0</v>
      </c>
      <c r="L34" s="2">
        <v>2</v>
      </c>
      <c r="M34" s="2">
        <v>11</v>
      </c>
      <c r="N34" s="2">
        <v>-12</v>
      </c>
      <c r="O34" s="2">
        <v>39</v>
      </c>
      <c r="P34" s="168">
        <v>0</v>
      </c>
      <c r="Q34" s="2">
        <v>0</v>
      </c>
      <c r="R34" s="2">
        <v>0</v>
      </c>
      <c r="S34" s="2">
        <v>1</v>
      </c>
      <c r="T34" s="2">
        <v>4</v>
      </c>
      <c r="U34" s="2">
        <v>6</v>
      </c>
      <c r="V34" s="242">
        <v>4839</v>
      </c>
      <c r="W34" s="1058" t="s">
        <v>6189</v>
      </c>
      <c r="X34" s="1058" t="s">
        <v>6189</v>
      </c>
      <c r="Y34" s="1058" t="s">
        <v>6189</v>
      </c>
      <c r="AA34" s="1058" t="s">
        <v>6079</v>
      </c>
      <c r="AB34" s="2" t="s">
        <v>515</v>
      </c>
      <c r="AK34" s="8" t="s">
        <v>5123</v>
      </c>
    </row>
    <row r="35" spans="1:37" x14ac:dyDescent="0.3">
      <c r="A35" s="985" t="str">
        <f t="shared" si="0"/>
        <v>Sezóna 22/23</v>
      </c>
      <c r="B35" s="2">
        <v>33</v>
      </c>
      <c r="C35" s="2">
        <v>33</v>
      </c>
      <c r="D35" s="4">
        <v>44925</v>
      </c>
      <c r="E35" s="2" t="s">
        <v>1274</v>
      </c>
      <c r="F35" s="2" t="s">
        <v>17</v>
      </c>
      <c r="G35" s="1058" t="s">
        <v>171</v>
      </c>
      <c r="H35" s="1058" t="s">
        <v>794</v>
      </c>
      <c r="I35" s="259">
        <v>2</v>
      </c>
      <c r="J35" s="259">
        <v>3</v>
      </c>
      <c r="K35" s="2">
        <v>2</v>
      </c>
      <c r="L35" s="2">
        <v>2</v>
      </c>
      <c r="M35" s="2">
        <v>11</v>
      </c>
      <c r="N35" s="2">
        <v>-14</v>
      </c>
      <c r="O35" s="2">
        <v>40</v>
      </c>
      <c r="P35" s="168">
        <v>0</v>
      </c>
      <c r="Q35" s="2">
        <v>0</v>
      </c>
      <c r="R35" s="2">
        <v>0</v>
      </c>
      <c r="S35" s="2">
        <v>1</v>
      </c>
      <c r="T35" s="2">
        <v>3</v>
      </c>
      <c r="U35" s="2">
        <v>4</v>
      </c>
      <c r="V35" s="242">
        <v>4655</v>
      </c>
      <c r="W35" s="1058" t="s">
        <v>6189</v>
      </c>
      <c r="X35" s="1058" t="s">
        <v>6089</v>
      </c>
      <c r="Y35" s="1058" t="s">
        <v>6189</v>
      </c>
      <c r="Z35" s="1058" t="s">
        <v>3213</v>
      </c>
      <c r="AA35" s="1058" t="s">
        <v>5106</v>
      </c>
      <c r="AB35" s="2" t="s">
        <v>5124</v>
      </c>
      <c r="AC35" s="2" t="s">
        <v>5125</v>
      </c>
      <c r="AK35" s="8" t="s">
        <v>5128</v>
      </c>
    </row>
    <row r="36" spans="1:37" x14ac:dyDescent="0.3">
      <c r="A36" s="985" t="str">
        <f t="shared" si="0"/>
        <v>Sezóna 22/23</v>
      </c>
      <c r="B36" s="2">
        <v>34</v>
      </c>
      <c r="C36" s="2">
        <v>34</v>
      </c>
      <c r="D36" s="4">
        <v>44929</v>
      </c>
      <c r="E36" s="2" t="s">
        <v>6179</v>
      </c>
      <c r="F36" s="2" t="s">
        <v>16</v>
      </c>
      <c r="G36" s="1058" t="s">
        <v>6102</v>
      </c>
      <c r="H36" s="1058" t="s">
        <v>743</v>
      </c>
      <c r="I36" s="259">
        <v>1</v>
      </c>
      <c r="J36" s="259">
        <v>3</v>
      </c>
      <c r="K36" s="2">
        <v>1</v>
      </c>
      <c r="L36" s="2">
        <v>2</v>
      </c>
      <c r="M36" s="2">
        <v>12</v>
      </c>
      <c r="N36" s="2">
        <v>-14</v>
      </c>
      <c r="O36" s="2">
        <v>40</v>
      </c>
      <c r="P36" s="168">
        <v>0</v>
      </c>
      <c r="Q36" s="2">
        <v>0</v>
      </c>
      <c r="R36" s="2">
        <v>0</v>
      </c>
      <c r="S36" s="2">
        <v>1</v>
      </c>
      <c r="T36" s="2">
        <v>3</v>
      </c>
      <c r="U36" s="2">
        <v>3</v>
      </c>
      <c r="V36" s="242">
        <v>5098</v>
      </c>
      <c r="W36" s="1058" t="s">
        <v>6188</v>
      </c>
      <c r="X36" s="1058" t="s">
        <v>6188</v>
      </c>
      <c r="Y36" s="1058" t="s">
        <v>6102</v>
      </c>
      <c r="AA36" s="1058" t="s">
        <v>3601</v>
      </c>
      <c r="AB36" s="2" t="s">
        <v>5126</v>
      </c>
      <c r="AK36" s="8" t="s">
        <v>5127</v>
      </c>
    </row>
    <row r="37" spans="1:37" x14ac:dyDescent="0.3">
      <c r="A37" s="985" t="str">
        <f t="shared" si="0"/>
        <v>Sezóna 22/23</v>
      </c>
      <c r="B37" s="2">
        <v>35</v>
      </c>
      <c r="C37" s="2">
        <v>35</v>
      </c>
      <c r="D37" s="4">
        <v>44932</v>
      </c>
      <c r="E37" s="2" t="s">
        <v>334</v>
      </c>
      <c r="F37" s="2" t="s">
        <v>16</v>
      </c>
      <c r="G37" s="1058" t="s">
        <v>171</v>
      </c>
      <c r="H37" s="1058" t="s">
        <v>794</v>
      </c>
      <c r="I37" s="259">
        <v>2</v>
      </c>
      <c r="J37" s="259">
        <v>3</v>
      </c>
      <c r="K37" s="2">
        <v>2</v>
      </c>
      <c r="L37" s="2">
        <v>2</v>
      </c>
      <c r="M37" s="2">
        <v>11</v>
      </c>
      <c r="N37" s="2">
        <v>-13</v>
      </c>
      <c r="O37" s="2">
        <v>41</v>
      </c>
      <c r="P37" s="168">
        <v>1</v>
      </c>
      <c r="Q37" s="2">
        <v>0</v>
      </c>
      <c r="R37" s="2">
        <v>0</v>
      </c>
      <c r="S37" s="2">
        <v>0</v>
      </c>
      <c r="T37" s="2">
        <v>3</v>
      </c>
      <c r="U37" s="2">
        <v>5</v>
      </c>
      <c r="V37" s="242">
        <v>4571</v>
      </c>
      <c r="W37" s="1058" t="s">
        <v>6097</v>
      </c>
      <c r="X37" s="1058" t="s">
        <v>6188</v>
      </c>
      <c r="Y37" s="1058" t="s">
        <v>6120</v>
      </c>
      <c r="Z37" s="1058" t="s">
        <v>3213</v>
      </c>
      <c r="AA37" s="1058" t="s">
        <v>5144</v>
      </c>
      <c r="AB37" s="2" t="s">
        <v>5147</v>
      </c>
      <c r="AC37" s="2" t="s">
        <v>5148</v>
      </c>
      <c r="AK37" s="8" t="s">
        <v>5141</v>
      </c>
    </row>
    <row r="38" spans="1:37" x14ac:dyDescent="0.3">
      <c r="A38" s="985" t="str">
        <f t="shared" si="0"/>
        <v>Sezóna 22/23</v>
      </c>
      <c r="B38" s="2">
        <v>36</v>
      </c>
      <c r="C38" s="2">
        <v>36</v>
      </c>
      <c r="D38" s="4">
        <v>44934</v>
      </c>
      <c r="E38" s="2" t="s">
        <v>6086</v>
      </c>
      <c r="F38" s="2" t="s">
        <v>17</v>
      </c>
      <c r="G38" s="1058" t="s">
        <v>6192</v>
      </c>
      <c r="H38" s="1058" t="s">
        <v>16</v>
      </c>
      <c r="I38" s="259">
        <v>4</v>
      </c>
      <c r="J38" s="259">
        <v>3</v>
      </c>
      <c r="K38" s="2">
        <v>4</v>
      </c>
      <c r="L38" s="2">
        <v>3</v>
      </c>
      <c r="M38" s="2">
        <v>10</v>
      </c>
      <c r="N38" s="2">
        <v>-13</v>
      </c>
      <c r="O38" s="2">
        <v>44</v>
      </c>
      <c r="P38" s="168">
        <v>2</v>
      </c>
      <c r="Q38" s="2">
        <v>0</v>
      </c>
      <c r="R38" s="2">
        <v>1</v>
      </c>
      <c r="S38" s="2">
        <v>0</v>
      </c>
      <c r="T38" s="2">
        <v>6</v>
      </c>
      <c r="U38" s="2">
        <v>4</v>
      </c>
      <c r="V38" s="242">
        <v>3811</v>
      </c>
      <c r="W38" s="1058" t="s">
        <v>6189</v>
      </c>
      <c r="X38" s="1058" t="s">
        <v>6113</v>
      </c>
      <c r="Y38" s="1058" t="s">
        <v>6120</v>
      </c>
      <c r="AA38" s="1058" t="s">
        <v>5143</v>
      </c>
      <c r="AB38" s="2" t="s">
        <v>5149</v>
      </c>
      <c r="AC38" s="2" t="s">
        <v>5150</v>
      </c>
      <c r="AD38" s="2" t="s">
        <v>5152</v>
      </c>
      <c r="AE38" s="2" t="s">
        <v>5151</v>
      </c>
      <c r="AJ38" s="8" t="s">
        <v>4208</v>
      </c>
      <c r="AK38" s="8" t="s">
        <v>5142</v>
      </c>
    </row>
    <row r="39" spans="1:37" x14ac:dyDescent="0.3">
      <c r="A39" s="985" t="str">
        <f t="shared" si="0"/>
        <v>Sezóna 22/23</v>
      </c>
      <c r="B39" s="2">
        <v>37</v>
      </c>
      <c r="C39" s="2">
        <v>37</v>
      </c>
      <c r="D39" s="4">
        <v>44939</v>
      </c>
      <c r="E39" s="2" t="s">
        <v>331</v>
      </c>
      <c r="F39" s="2" t="s">
        <v>16</v>
      </c>
      <c r="G39" s="1058" t="s">
        <v>6128</v>
      </c>
      <c r="H39" s="1058" t="s">
        <v>743</v>
      </c>
      <c r="I39" s="259">
        <v>1</v>
      </c>
      <c r="J39" s="259">
        <v>4</v>
      </c>
      <c r="K39" s="2">
        <v>1</v>
      </c>
      <c r="L39" s="2">
        <v>3</v>
      </c>
      <c r="M39" s="2">
        <v>11</v>
      </c>
      <c r="N39" s="2">
        <v>-13</v>
      </c>
      <c r="O39" s="2">
        <v>44</v>
      </c>
      <c r="P39" s="168">
        <v>0</v>
      </c>
      <c r="Q39" s="2">
        <v>0</v>
      </c>
      <c r="R39" s="2">
        <v>1</v>
      </c>
      <c r="S39" s="2">
        <v>0</v>
      </c>
      <c r="T39" s="2">
        <v>4</v>
      </c>
      <c r="U39" s="2">
        <v>2</v>
      </c>
      <c r="V39" s="242">
        <v>4328</v>
      </c>
      <c r="W39" s="1058" t="s">
        <v>6120</v>
      </c>
      <c r="X39" s="1058" t="s">
        <v>6171</v>
      </c>
      <c r="Y39" s="1058" t="s">
        <v>6171</v>
      </c>
      <c r="AA39" s="1058" t="s">
        <v>4516</v>
      </c>
      <c r="AB39" s="2" t="s">
        <v>5154</v>
      </c>
      <c r="AK39" s="8" t="s">
        <v>5153</v>
      </c>
    </row>
    <row r="40" spans="1:37" x14ac:dyDescent="0.3">
      <c r="A40" s="985" t="str">
        <f t="shared" si="0"/>
        <v>Sezóna 22/23</v>
      </c>
      <c r="B40" s="2">
        <v>38</v>
      </c>
      <c r="C40" s="2">
        <v>38</v>
      </c>
      <c r="D40" s="4">
        <v>44941</v>
      </c>
      <c r="E40" s="2" t="s">
        <v>327</v>
      </c>
      <c r="F40" s="2" t="s">
        <v>17</v>
      </c>
      <c r="G40" s="1058" t="s">
        <v>6097</v>
      </c>
      <c r="H40" s="1058" t="s">
        <v>743</v>
      </c>
      <c r="I40" s="259">
        <v>1</v>
      </c>
      <c r="J40" s="259">
        <v>2</v>
      </c>
      <c r="K40" s="2">
        <v>1</v>
      </c>
      <c r="L40" s="2">
        <v>2</v>
      </c>
      <c r="M40" s="2">
        <v>11</v>
      </c>
      <c r="N40" s="2">
        <v>-16</v>
      </c>
      <c r="O40" s="2">
        <v>44</v>
      </c>
      <c r="P40" s="168">
        <v>1</v>
      </c>
      <c r="Q40" s="2">
        <v>0</v>
      </c>
      <c r="R40" s="2">
        <v>0</v>
      </c>
      <c r="S40" s="2">
        <v>0</v>
      </c>
      <c r="T40" s="2">
        <v>3.5</v>
      </c>
      <c r="U40" s="2">
        <v>0</v>
      </c>
      <c r="V40" s="242">
        <v>4518</v>
      </c>
      <c r="W40" s="1058" t="s">
        <v>6188</v>
      </c>
      <c r="X40" s="1058" t="s">
        <v>6187</v>
      </c>
      <c r="Y40" s="1058" t="s">
        <v>6189</v>
      </c>
      <c r="AA40" s="1058" t="s">
        <v>3062</v>
      </c>
      <c r="AB40" s="2" t="s">
        <v>5178</v>
      </c>
      <c r="AK40" s="8" t="s">
        <v>5155</v>
      </c>
    </row>
    <row r="41" spans="1:37" s="191" customFormat="1" x14ac:dyDescent="0.3">
      <c r="A41" s="985" t="str">
        <f t="shared" si="0"/>
        <v>Sezóna 22/23</v>
      </c>
      <c r="B41" s="170">
        <v>39</v>
      </c>
      <c r="C41" s="170">
        <v>39</v>
      </c>
      <c r="D41" s="4">
        <v>44946</v>
      </c>
      <c r="E41" s="170" t="s">
        <v>626</v>
      </c>
      <c r="F41" s="170" t="s">
        <v>16</v>
      </c>
      <c r="G41" s="1059" t="s">
        <v>6219</v>
      </c>
      <c r="H41" s="1059" t="s">
        <v>16</v>
      </c>
      <c r="I41" s="1091">
        <v>8</v>
      </c>
      <c r="J41" s="1091">
        <v>1</v>
      </c>
      <c r="K41" s="170">
        <v>8</v>
      </c>
      <c r="L41" s="170">
        <v>1</v>
      </c>
      <c r="M41" s="269">
        <v>10</v>
      </c>
      <c r="N41" s="269">
        <v>-13</v>
      </c>
      <c r="O41" s="269">
        <v>47</v>
      </c>
      <c r="P41" s="169">
        <v>2</v>
      </c>
      <c r="Q41" s="170">
        <v>0</v>
      </c>
      <c r="R41" s="170">
        <v>0</v>
      </c>
      <c r="S41" s="170">
        <v>1</v>
      </c>
      <c r="T41" s="170">
        <v>4</v>
      </c>
      <c r="U41" s="170">
        <v>1</v>
      </c>
      <c r="V41" s="171">
        <v>4191</v>
      </c>
      <c r="W41" s="1059" t="s">
        <v>6202</v>
      </c>
      <c r="X41" s="1059" t="s">
        <v>6100</v>
      </c>
      <c r="Y41" s="1059" t="s">
        <v>6120</v>
      </c>
      <c r="Z41" s="1059"/>
      <c r="AA41" s="1059" t="s">
        <v>5164</v>
      </c>
      <c r="AB41" s="170" t="s">
        <v>5180</v>
      </c>
      <c r="AC41" s="170" t="s">
        <v>5181</v>
      </c>
      <c r="AD41" s="170" t="s">
        <v>5182</v>
      </c>
      <c r="AE41" s="170" t="s">
        <v>5183</v>
      </c>
      <c r="AF41" s="170" t="s">
        <v>5184</v>
      </c>
      <c r="AG41" s="170" t="s">
        <v>5185</v>
      </c>
      <c r="AH41" s="170" t="s">
        <v>5186</v>
      </c>
      <c r="AI41" s="171" t="s">
        <v>5187</v>
      </c>
      <c r="AJ41" s="268"/>
      <c r="AK41" s="191" t="s">
        <v>5168</v>
      </c>
    </row>
    <row r="42" spans="1:37" x14ac:dyDescent="0.3">
      <c r="A42" s="985" t="str">
        <f t="shared" si="0"/>
        <v>Sezóna 22/23</v>
      </c>
      <c r="B42" s="2">
        <v>40</v>
      </c>
      <c r="C42" s="2">
        <v>40</v>
      </c>
      <c r="D42" s="4">
        <v>44948</v>
      </c>
      <c r="E42" s="2" t="s">
        <v>328</v>
      </c>
      <c r="F42" s="2" t="s">
        <v>16</v>
      </c>
      <c r="G42" s="1058" t="s">
        <v>352</v>
      </c>
      <c r="H42" s="1058" t="s">
        <v>793</v>
      </c>
      <c r="I42" s="259">
        <v>3</v>
      </c>
      <c r="J42" s="259">
        <v>2</v>
      </c>
      <c r="K42" s="2">
        <v>2</v>
      </c>
      <c r="L42" s="2">
        <v>2</v>
      </c>
      <c r="M42" s="2">
        <v>11</v>
      </c>
      <c r="N42" s="2">
        <v>-11</v>
      </c>
      <c r="O42" s="2">
        <v>49</v>
      </c>
      <c r="P42" s="168">
        <v>2</v>
      </c>
      <c r="Q42" s="2">
        <v>0</v>
      </c>
      <c r="R42" s="2">
        <v>0</v>
      </c>
      <c r="S42" s="2">
        <v>1</v>
      </c>
      <c r="T42" s="2">
        <v>5</v>
      </c>
      <c r="U42" s="2">
        <v>4</v>
      </c>
      <c r="V42" s="242">
        <v>5196</v>
      </c>
      <c r="W42" s="1058" t="s">
        <v>6171</v>
      </c>
      <c r="X42" s="1058" t="s">
        <v>6120</v>
      </c>
      <c r="Y42" s="1058" t="s">
        <v>6120</v>
      </c>
      <c r="Z42" s="1058" t="s">
        <v>159</v>
      </c>
      <c r="AA42" s="1058" t="s">
        <v>5169</v>
      </c>
      <c r="AB42" s="2" t="s">
        <v>5188</v>
      </c>
      <c r="AC42" s="2" t="s">
        <v>5189</v>
      </c>
      <c r="AJ42" s="8" t="s">
        <v>5200</v>
      </c>
      <c r="AK42" s="636" t="s">
        <v>5170</v>
      </c>
    </row>
    <row r="43" spans="1:37" x14ac:dyDescent="0.3">
      <c r="A43" s="985" t="str">
        <f t="shared" si="0"/>
        <v>Sezóna 22/23</v>
      </c>
      <c r="B43" s="2">
        <v>41</v>
      </c>
      <c r="C43" s="2">
        <v>41</v>
      </c>
      <c r="D43" s="4">
        <v>44951</v>
      </c>
      <c r="E43" s="2" t="s">
        <v>325</v>
      </c>
      <c r="F43" s="2" t="s">
        <v>16</v>
      </c>
      <c r="G43" s="1058" t="s">
        <v>6146</v>
      </c>
      <c r="H43" s="1058" t="s">
        <v>743</v>
      </c>
      <c r="I43" s="259">
        <v>2</v>
      </c>
      <c r="J43" s="259">
        <v>3</v>
      </c>
      <c r="K43" s="2">
        <v>2</v>
      </c>
      <c r="L43" s="2">
        <v>3</v>
      </c>
      <c r="M43" s="2">
        <v>12</v>
      </c>
      <c r="N43" s="2">
        <v>-11</v>
      </c>
      <c r="O43" s="2">
        <v>49</v>
      </c>
      <c r="P43" s="168">
        <v>0</v>
      </c>
      <c r="Q43" s="2">
        <v>0</v>
      </c>
      <c r="R43" s="2">
        <v>0</v>
      </c>
      <c r="S43" s="2">
        <v>2</v>
      </c>
      <c r="T43" s="2">
        <v>2</v>
      </c>
      <c r="U43" s="2">
        <v>5</v>
      </c>
      <c r="V43" s="242">
        <v>14138</v>
      </c>
      <c r="W43" s="1058" t="s">
        <v>6189</v>
      </c>
      <c r="X43" s="1058" t="s">
        <v>6097</v>
      </c>
      <c r="Y43" s="1058" t="s">
        <v>6120</v>
      </c>
      <c r="AA43" s="1058" t="s">
        <v>3434</v>
      </c>
      <c r="AB43" s="2" t="s">
        <v>5190</v>
      </c>
      <c r="AC43" s="2" t="s">
        <v>5191</v>
      </c>
      <c r="AK43" s="8" t="s">
        <v>5172</v>
      </c>
    </row>
    <row r="44" spans="1:37" x14ac:dyDescent="0.3">
      <c r="A44" s="985" t="str">
        <f t="shared" si="0"/>
        <v>Sezóna 22/23</v>
      </c>
      <c r="B44" s="2">
        <v>42</v>
      </c>
      <c r="C44" s="2">
        <v>42</v>
      </c>
      <c r="D44" s="4">
        <v>44953</v>
      </c>
      <c r="E44" s="2" t="s">
        <v>610</v>
      </c>
      <c r="F44" s="2" t="s">
        <v>16</v>
      </c>
      <c r="G44" s="1058" t="s">
        <v>6084</v>
      </c>
      <c r="H44" s="1058" t="s">
        <v>743</v>
      </c>
      <c r="I44" s="259">
        <v>1</v>
      </c>
      <c r="J44" s="259">
        <v>5</v>
      </c>
      <c r="K44" s="2">
        <v>1</v>
      </c>
      <c r="L44" s="2">
        <v>5</v>
      </c>
      <c r="M44" s="2">
        <v>13</v>
      </c>
      <c r="N44" s="2">
        <v>-11</v>
      </c>
      <c r="O44" s="2">
        <v>49</v>
      </c>
      <c r="P44" s="168">
        <v>1</v>
      </c>
      <c r="Q44" s="2">
        <v>0</v>
      </c>
      <c r="R44" s="2">
        <v>0</v>
      </c>
      <c r="S44" s="2">
        <v>1</v>
      </c>
      <c r="T44" s="2">
        <v>6</v>
      </c>
      <c r="U44" s="2">
        <v>4</v>
      </c>
      <c r="V44" s="242">
        <v>5613</v>
      </c>
      <c r="W44" s="1058" t="s">
        <v>6171</v>
      </c>
      <c r="X44" s="1058" t="s">
        <v>6187</v>
      </c>
      <c r="Y44" s="1058" t="s">
        <v>6171</v>
      </c>
      <c r="AA44" s="1058" t="s">
        <v>4449</v>
      </c>
      <c r="AB44" s="2" t="s">
        <v>5179</v>
      </c>
      <c r="AJ44" s="8" t="s">
        <v>5173</v>
      </c>
      <c r="AK44" s="8" t="s">
        <v>5176</v>
      </c>
    </row>
    <row r="45" spans="1:37" x14ac:dyDescent="0.3">
      <c r="A45" s="985" t="str">
        <f t="shared" si="0"/>
        <v>Sezóna 22/23</v>
      </c>
      <c r="B45" s="2">
        <v>43</v>
      </c>
      <c r="C45" s="2">
        <v>43</v>
      </c>
      <c r="D45" s="4">
        <v>44955</v>
      </c>
      <c r="E45" s="2" t="s">
        <v>6091</v>
      </c>
      <c r="F45" s="2" t="s">
        <v>17</v>
      </c>
      <c r="G45" s="1058" t="s">
        <v>619</v>
      </c>
      <c r="H45" s="1058" t="s">
        <v>793</v>
      </c>
      <c r="I45" s="259">
        <v>1</v>
      </c>
      <c r="J45" s="259">
        <v>0</v>
      </c>
      <c r="K45" s="2">
        <v>0</v>
      </c>
      <c r="L45" s="2">
        <v>0</v>
      </c>
      <c r="M45" s="2">
        <v>12</v>
      </c>
      <c r="N45" s="2">
        <v>-12</v>
      </c>
      <c r="O45" s="2">
        <v>51</v>
      </c>
      <c r="P45" s="168">
        <v>0</v>
      </c>
      <c r="Q45" s="2">
        <v>0</v>
      </c>
      <c r="R45" s="2">
        <v>0</v>
      </c>
      <c r="S45" s="2">
        <v>0</v>
      </c>
      <c r="T45" s="2">
        <v>1</v>
      </c>
      <c r="U45" s="2">
        <v>2</v>
      </c>
      <c r="V45" s="242">
        <v>4126</v>
      </c>
      <c r="W45" s="1058" t="s">
        <v>6188</v>
      </c>
      <c r="X45" s="1058" t="s">
        <v>6188</v>
      </c>
      <c r="Y45" s="1058" t="s">
        <v>6188</v>
      </c>
      <c r="Z45" s="1058" t="s">
        <v>355</v>
      </c>
      <c r="AA45" s="1058" t="s">
        <v>5174</v>
      </c>
      <c r="AB45" s="2" t="s">
        <v>5175</v>
      </c>
      <c r="AJ45" s="8" t="s">
        <v>5199</v>
      </c>
      <c r="AK45" s="8" t="s">
        <v>5177</v>
      </c>
    </row>
    <row r="46" spans="1:37" x14ac:dyDescent="0.3">
      <c r="A46" s="985" t="str">
        <f t="shared" si="0"/>
        <v>Sezóna 22/23</v>
      </c>
      <c r="B46" s="2">
        <v>44</v>
      </c>
      <c r="C46" s="2">
        <v>44</v>
      </c>
      <c r="D46" s="4">
        <v>44960</v>
      </c>
      <c r="E46" s="2" t="s">
        <v>332</v>
      </c>
      <c r="F46" s="2" t="s">
        <v>16</v>
      </c>
      <c r="G46" s="1058" t="s">
        <v>6104</v>
      </c>
      <c r="H46" s="1058" t="s">
        <v>743</v>
      </c>
      <c r="I46" s="259">
        <v>2</v>
      </c>
      <c r="J46" s="259">
        <v>5</v>
      </c>
      <c r="K46" s="2">
        <v>2</v>
      </c>
      <c r="L46" s="2">
        <v>4</v>
      </c>
      <c r="M46" s="2">
        <v>12</v>
      </c>
      <c r="N46" s="2">
        <v>-12</v>
      </c>
      <c r="O46" s="2">
        <v>51</v>
      </c>
      <c r="P46" s="168">
        <v>1</v>
      </c>
      <c r="Q46" s="2">
        <v>0</v>
      </c>
      <c r="R46" s="2">
        <v>0</v>
      </c>
      <c r="S46" s="2">
        <v>1</v>
      </c>
      <c r="T46" s="2">
        <v>3</v>
      </c>
      <c r="U46" s="2">
        <v>2</v>
      </c>
      <c r="V46" s="242">
        <v>3952</v>
      </c>
      <c r="W46" s="1058" t="s">
        <v>6189</v>
      </c>
      <c r="X46" s="1058" t="s">
        <v>6171</v>
      </c>
      <c r="Y46" s="1058" t="s">
        <v>6194</v>
      </c>
      <c r="AA46" s="1058" t="s">
        <v>5192</v>
      </c>
      <c r="AB46" s="2" t="s">
        <v>5201</v>
      </c>
      <c r="AC46" s="2" t="s">
        <v>5202</v>
      </c>
      <c r="AK46" s="8" t="s">
        <v>5194</v>
      </c>
    </row>
    <row r="47" spans="1:37" x14ac:dyDescent="0.3">
      <c r="A47" s="985" t="str">
        <f t="shared" si="0"/>
        <v>Sezóna 22/23</v>
      </c>
      <c r="B47" s="2">
        <v>45</v>
      </c>
      <c r="C47" s="2">
        <v>45</v>
      </c>
      <c r="D47" s="4">
        <v>44962</v>
      </c>
      <c r="E47" s="2" t="s">
        <v>6076</v>
      </c>
      <c r="F47" s="2" t="s">
        <v>17</v>
      </c>
      <c r="G47" s="1058" t="s">
        <v>589</v>
      </c>
      <c r="H47" s="1058" t="s">
        <v>794</v>
      </c>
      <c r="I47" s="259">
        <v>1</v>
      </c>
      <c r="J47" s="259">
        <v>2</v>
      </c>
      <c r="K47" s="2">
        <v>1</v>
      </c>
      <c r="L47" s="2">
        <v>1</v>
      </c>
      <c r="M47" s="2">
        <v>12</v>
      </c>
      <c r="N47" s="2">
        <v>-14</v>
      </c>
      <c r="O47" s="2">
        <v>52</v>
      </c>
      <c r="P47" s="168">
        <v>1</v>
      </c>
      <c r="Q47" s="2">
        <v>0</v>
      </c>
      <c r="R47" s="2">
        <v>0</v>
      </c>
      <c r="S47" s="2">
        <v>1</v>
      </c>
      <c r="T47" s="2">
        <v>6</v>
      </c>
      <c r="U47" s="2">
        <v>5</v>
      </c>
      <c r="V47" s="242">
        <v>4011</v>
      </c>
      <c r="W47" s="1058" t="s">
        <v>6188</v>
      </c>
      <c r="X47" s="1058" t="s">
        <v>6187</v>
      </c>
      <c r="Y47" s="1058" t="s">
        <v>6188</v>
      </c>
      <c r="Z47" s="1058" t="s">
        <v>3213</v>
      </c>
      <c r="AA47" s="1058" t="s">
        <v>3803</v>
      </c>
      <c r="AB47" s="2" t="s">
        <v>5203</v>
      </c>
      <c r="AK47" s="8" t="s">
        <v>5193</v>
      </c>
    </row>
    <row r="48" spans="1:37" x14ac:dyDescent="0.3">
      <c r="A48" s="985" t="str">
        <f t="shared" si="0"/>
        <v>Sezóna 22/23</v>
      </c>
      <c r="B48" s="2">
        <v>46</v>
      </c>
      <c r="C48" s="2">
        <v>46</v>
      </c>
      <c r="D48" s="4">
        <v>44972</v>
      </c>
      <c r="E48" s="2" t="s">
        <v>1274</v>
      </c>
      <c r="F48" s="2" t="s">
        <v>16</v>
      </c>
      <c r="G48" s="1058" t="s">
        <v>6079</v>
      </c>
      <c r="H48" s="1058" t="s">
        <v>743</v>
      </c>
      <c r="I48" s="259">
        <v>0</v>
      </c>
      <c r="J48" s="259">
        <v>3</v>
      </c>
      <c r="K48" s="2">
        <v>0</v>
      </c>
      <c r="L48" s="2">
        <v>3</v>
      </c>
      <c r="M48" s="2">
        <v>12</v>
      </c>
      <c r="N48" s="2">
        <v>-14</v>
      </c>
      <c r="O48" s="2">
        <v>52</v>
      </c>
      <c r="P48" s="168">
        <v>0</v>
      </c>
      <c r="Q48" s="2">
        <v>0</v>
      </c>
      <c r="R48" s="2">
        <v>0</v>
      </c>
      <c r="S48" s="2">
        <v>0</v>
      </c>
      <c r="T48" s="2">
        <v>5.5</v>
      </c>
      <c r="U48" s="2">
        <v>2</v>
      </c>
      <c r="V48" s="242">
        <v>3862</v>
      </c>
      <c r="W48" s="1058" t="s">
        <v>6171</v>
      </c>
      <c r="X48" s="1058" t="s">
        <v>6188</v>
      </c>
      <c r="Y48" s="1058" t="s">
        <v>6189</v>
      </c>
      <c r="AA48" s="1058" t="s">
        <v>6079</v>
      </c>
      <c r="AB48" s="2" t="s">
        <v>515</v>
      </c>
      <c r="AK48" s="8" t="s">
        <v>5204</v>
      </c>
    </row>
    <row r="49" spans="1:37" x14ac:dyDescent="0.3">
      <c r="A49" s="985" t="str">
        <f t="shared" si="0"/>
        <v>Sezóna 22/23</v>
      </c>
      <c r="B49" s="2">
        <v>47</v>
      </c>
      <c r="C49" s="2">
        <v>47</v>
      </c>
      <c r="D49" s="4">
        <v>44974</v>
      </c>
      <c r="E49" s="2" t="s">
        <v>6179</v>
      </c>
      <c r="F49" s="2" t="s">
        <v>17</v>
      </c>
      <c r="G49" s="1058" t="s">
        <v>352</v>
      </c>
      <c r="H49" s="1058" t="s">
        <v>793</v>
      </c>
      <c r="I49" s="259">
        <v>3</v>
      </c>
      <c r="J49" s="259">
        <v>2</v>
      </c>
      <c r="K49" s="2">
        <v>2</v>
      </c>
      <c r="L49" s="2">
        <v>2</v>
      </c>
      <c r="M49" s="2">
        <v>12</v>
      </c>
      <c r="N49" s="2">
        <v>-15</v>
      </c>
      <c r="O49" s="2">
        <v>54</v>
      </c>
      <c r="P49" s="168">
        <v>1</v>
      </c>
      <c r="Q49" s="2">
        <v>0</v>
      </c>
      <c r="R49" s="2">
        <v>0</v>
      </c>
      <c r="S49" s="2">
        <v>1</v>
      </c>
      <c r="T49" s="2">
        <v>6</v>
      </c>
      <c r="U49" s="2">
        <v>5</v>
      </c>
      <c r="V49" s="242">
        <v>3905</v>
      </c>
      <c r="W49" s="1058" t="s">
        <v>6187</v>
      </c>
      <c r="X49" s="1058" t="s">
        <v>6188</v>
      </c>
      <c r="Y49" s="1058" t="s">
        <v>6187</v>
      </c>
      <c r="Z49" s="1058" t="s">
        <v>4555</v>
      </c>
      <c r="AA49" s="1058" t="s">
        <v>5195</v>
      </c>
      <c r="AB49" s="2" t="s">
        <v>5241</v>
      </c>
      <c r="AC49" s="2" t="s">
        <v>5242</v>
      </c>
      <c r="AD49" s="2" t="s">
        <v>5197</v>
      </c>
      <c r="AJ49" s="8" t="s">
        <v>5198</v>
      </c>
      <c r="AK49" s="636" t="s">
        <v>5205</v>
      </c>
    </row>
    <row r="50" spans="1:37" x14ac:dyDescent="0.3">
      <c r="A50" s="985" t="str">
        <f t="shared" si="0"/>
        <v>Sezóna 22/23</v>
      </c>
      <c r="B50" s="2">
        <v>48</v>
      </c>
      <c r="C50" s="2">
        <v>48</v>
      </c>
      <c r="D50" s="4">
        <v>44976</v>
      </c>
      <c r="E50" s="2" t="s">
        <v>334</v>
      </c>
      <c r="F50" s="2" t="s">
        <v>17</v>
      </c>
      <c r="G50" s="1058" t="s">
        <v>164</v>
      </c>
      <c r="H50" s="1058" t="s">
        <v>793</v>
      </c>
      <c r="I50" s="259">
        <v>4</v>
      </c>
      <c r="J50" s="259">
        <v>3</v>
      </c>
      <c r="K50" s="2">
        <v>3</v>
      </c>
      <c r="L50" s="2">
        <v>3</v>
      </c>
      <c r="M50" s="2">
        <v>12</v>
      </c>
      <c r="N50" s="2">
        <v>-16</v>
      </c>
      <c r="O50" s="2">
        <v>56</v>
      </c>
      <c r="P50" s="168">
        <v>2</v>
      </c>
      <c r="Q50" s="2">
        <v>0</v>
      </c>
      <c r="R50" s="2">
        <v>0</v>
      </c>
      <c r="S50" s="2">
        <v>1</v>
      </c>
      <c r="T50" s="2">
        <v>4</v>
      </c>
      <c r="U50" s="2">
        <v>2</v>
      </c>
      <c r="V50" s="242">
        <v>3965</v>
      </c>
      <c r="W50" s="1058" t="s">
        <v>6171</v>
      </c>
      <c r="X50" s="1058" t="s">
        <v>6089</v>
      </c>
      <c r="Y50" s="1058" t="s">
        <v>6187</v>
      </c>
      <c r="Z50" s="1058" t="s">
        <v>756</v>
      </c>
      <c r="AA50" s="1058" t="s">
        <v>5196</v>
      </c>
      <c r="AB50" s="2" t="s">
        <v>5243</v>
      </c>
      <c r="AC50" s="2" t="s">
        <v>5244</v>
      </c>
      <c r="AD50" s="2" t="s">
        <v>5245</v>
      </c>
      <c r="AE50" s="2" t="s">
        <v>5246</v>
      </c>
      <c r="AK50" s="8" t="s">
        <v>5206</v>
      </c>
    </row>
    <row r="51" spans="1:37" x14ac:dyDescent="0.3">
      <c r="A51" s="985" t="str">
        <f t="shared" si="0"/>
        <v>Sezóna 22/23</v>
      </c>
      <c r="B51" s="2">
        <v>49</v>
      </c>
      <c r="C51" s="2">
        <v>49</v>
      </c>
      <c r="D51" s="4">
        <v>44981</v>
      </c>
      <c r="E51" s="2" t="s">
        <v>6086</v>
      </c>
      <c r="F51" s="2" t="s">
        <v>16</v>
      </c>
      <c r="G51" s="1058" t="s">
        <v>6118</v>
      </c>
      <c r="H51" s="1058" t="s">
        <v>16</v>
      </c>
      <c r="I51" s="259">
        <v>2</v>
      </c>
      <c r="J51" s="259">
        <v>1</v>
      </c>
      <c r="K51" s="2">
        <v>2</v>
      </c>
      <c r="L51" s="2">
        <v>1</v>
      </c>
      <c r="M51" s="2">
        <v>12</v>
      </c>
      <c r="N51" s="2">
        <v>-13</v>
      </c>
      <c r="O51" s="2">
        <v>59</v>
      </c>
      <c r="P51" s="168">
        <v>1</v>
      </c>
      <c r="Q51" s="2">
        <v>0</v>
      </c>
      <c r="R51" s="2">
        <v>0</v>
      </c>
      <c r="S51" s="2">
        <v>0</v>
      </c>
      <c r="T51" s="2">
        <v>2</v>
      </c>
      <c r="U51" s="2">
        <v>4</v>
      </c>
      <c r="V51" s="242">
        <v>3457</v>
      </c>
      <c r="W51" s="1058" t="s">
        <v>6118</v>
      </c>
      <c r="X51" s="1058" t="s">
        <v>6188</v>
      </c>
      <c r="Y51" s="1058" t="s">
        <v>6188</v>
      </c>
      <c r="AA51" s="1058" t="s">
        <v>3356</v>
      </c>
      <c r="AB51" s="2" t="s">
        <v>5247</v>
      </c>
      <c r="AC51" s="2" t="s">
        <v>5248</v>
      </c>
      <c r="AK51" s="8" t="s">
        <v>5207</v>
      </c>
    </row>
    <row r="52" spans="1:37" x14ac:dyDescent="0.3">
      <c r="A52" s="985" t="str">
        <f t="shared" si="0"/>
        <v>Sezóna 22/23</v>
      </c>
      <c r="B52" s="2">
        <v>50</v>
      </c>
      <c r="C52" s="2">
        <v>50</v>
      </c>
      <c r="D52" s="4">
        <v>44983</v>
      </c>
      <c r="E52" s="2" t="s">
        <v>331</v>
      </c>
      <c r="F52" s="2" t="s">
        <v>17</v>
      </c>
      <c r="G52" s="1058" t="s">
        <v>6118</v>
      </c>
      <c r="H52" s="1058" t="s">
        <v>16</v>
      </c>
      <c r="I52" s="259">
        <v>2</v>
      </c>
      <c r="J52" s="259">
        <v>1</v>
      </c>
      <c r="K52" s="2">
        <v>2</v>
      </c>
      <c r="L52" s="2">
        <v>1</v>
      </c>
      <c r="M52" s="2">
        <v>11</v>
      </c>
      <c r="N52" s="2">
        <v>-13</v>
      </c>
      <c r="O52" s="2">
        <v>62</v>
      </c>
      <c r="P52" s="168">
        <v>0</v>
      </c>
      <c r="Q52" s="2">
        <v>0</v>
      </c>
      <c r="R52" s="2">
        <v>0</v>
      </c>
      <c r="S52" s="2">
        <v>0</v>
      </c>
      <c r="T52" s="2">
        <v>2</v>
      </c>
      <c r="U52" s="2">
        <v>1</v>
      </c>
      <c r="V52" s="242">
        <v>4478</v>
      </c>
      <c r="W52" s="1058" t="s">
        <v>6188</v>
      </c>
      <c r="X52" s="1058" t="s">
        <v>6089</v>
      </c>
      <c r="Y52" s="1058" t="s">
        <v>6189</v>
      </c>
      <c r="AA52" s="1058" t="s">
        <v>3496</v>
      </c>
      <c r="AB52" s="2" t="s">
        <v>5249</v>
      </c>
      <c r="AC52" s="2" t="s">
        <v>5250</v>
      </c>
      <c r="AJ52" s="2" t="s">
        <v>4731</v>
      </c>
      <c r="AK52" s="8" t="s">
        <v>5215</v>
      </c>
    </row>
    <row r="53" spans="1:37" x14ac:dyDescent="0.3">
      <c r="A53" s="985" t="str">
        <f t="shared" si="0"/>
        <v>Sezóna 22/23</v>
      </c>
      <c r="B53" s="2">
        <v>51</v>
      </c>
      <c r="C53" s="2">
        <v>51</v>
      </c>
      <c r="D53" s="4">
        <v>44988</v>
      </c>
      <c r="E53" s="2" t="s">
        <v>327</v>
      </c>
      <c r="F53" s="2" t="s">
        <v>16</v>
      </c>
      <c r="G53" s="1058" t="s">
        <v>352</v>
      </c>
      <c r="H53" s="1058" t="s">
        <v>793</v>
      </c>
      <c r="I53" s="259">
        <v>3</v>
      </c>
      <c r="J53" s="259">
        <v>2</v>
      </c>
      <c r="K53" s="2">
        <v>2</v>
      </c>
      <c r="L53" s="2">
        <v>2</v>
      </c>
      <c r="M53" s="2">
        <v>12</v>
      </c>
      <c r="N53" s="2">
        <v>-11</v>
      </c>
      <c r="O53" s="2">
        <v>64</v>
      </c>
      <c r="P53" s="168">
        <v>0</v>
      </c>
      <c r="Q53" s="2">
        <v>0</v>
      </c>
      <c r="R53" s="2">
        <v>0</v>
      </c>
      <c r="S53" s="2">
        <v>0</v>
      </c>
      <c r="T53" s="2">
        <v>2</v>
      </c>
      <c r="U53" s="2">
        <v>4</v>
      </c>
      <c r="V53" s="242">
        <v>9309</v>
      </c>
      <c r="W53" s="1058" t="s">
        <v>6120</v>
      </c>
      <c r="X53" s="1058" t="s">
        <v>6120</v>
      </c>
      <c r="Y53" s="1058" t="s">
        <v>6171</v>
      </c>
      <c r="Z53" s="1058" t="s">
        <v>4555</v>
      </c>
      <c r="AA53" s="1058" t="s">
        <v>5238</v>
      </c>
      <c r="AB53" s="2" t="s">
        <v>5252</v>
      </c>
      <c r="AC53" s="2" t="s">
        <v>5253</v>
      </c>
      <c r="AD53" s="2" t="s">
        <v>5237</v>
      </c>
      <c r="AJ53" s="8" t="s">
        <v>5251</v>
      </c>
      <c r="AK53" s="8" t="s">
        <v>5236</v>
      </c>
    </row>
    <row r="54" spans="1:37" s="191" customFormat="1" x14ac:dyDescent="0.3">
      <c r="A54" s="985" t="str">
        <f t="shared" si="0"/>
        <v>Sezóna 22/23</v>
      </c>
      <c r="B54" s="170">
        <v>52</v>
      </c>
      <c r="C54" s="170">
        <v>52</v>
      </c>
      <c r="D54" s="4">
        <v>44990</v>
      </c>
      <c r="E54" s="170" t="s">
        <v>626</v>
      </c>
      <c r="F54" s="170" t="s">
        <v>17</v>
      </c>
      <c r="G54" s="1059" t="s">
        <v>6190</v>
      </c>
      <c r="H54" s="1059" t="s">
        <v>16</v>
      </c>
      <c r="I54" s="1091">
        <v>5</v>
      </c>
      <c r="J54" s="1091">
        <v>1</v>
      </c>
      <c r="K54" s="170">
        <v>5</v>
      </c>
      <c r="L54" s="170">
        <v>1</v>
      </c>
      <c r="M54" s="269">
        <v>11</v>
      </c>
      <c r="N54" s="269">
        <v>-11</v>
      </c>
      <c r="O54" s="269">
        <v>67</v>
      </c>
      <c r="P54" s="169">
        <v>3</v>
      </c>
      <c r="Q54" s="170">
        <v>0</v>
      </c>
      <c r="R54" s="170">
        <v>0</v>
      </c>
      <c r="S54" s="170">
        <v>0</v>
      </c>
      <c r="T54" s="170">
        <v>5.5</v>
      </c>
      <c r="U54" s="170">
        <v>4</v>
      </c>
      <c r="V54" s="171">
        <v>3884</v>
      </c>
      <c r="W54" s="1059" t="s">
        <v>6187</v>
      </c>
      <c r="X54" s="1059" t="s">
        <v>6089</v>
      </c>
      <c r="Y54" s="1059" t="s">
        <v>6089</v>
      </c>
      <c r="Z54" s="1059"/>
      <c r="AA54" s="1059" t="s">
        <v>5240</v>
      </c>
      <c r="AB54" s="170" t="s">
        <v>5261</v>
      </c>
      <c r="AC54" s="170" t="s">
        <v>5262</v>
      </c>
      <c r="AD54" s="170" t="s">
        <v>5263</v>
      </c>
      <c r="AE54" s="170" t="s">
        <v>5264</v>
      </c>
      <c r="AF54" s="170" t="s">
        <v>5265</v>
      </c>
      <c r="AG54" s="170"/>
      <c r="AH54" s="170"/>
      <c r="AI54" s="171"/>
      <c r="AJ54" s="268"/>
      <c r="AK54" s="268" t="s">
        <v>5239</v>
      </c>
    </row>
    <row r="55" spans="1:37" x14ac:dyDescent="0.3">
      <c r="A55" s="985" t="str">
        <f t="shared" si="0"/>
        <v>Sezóna 22/23</v>
      </c>
      <c r="B55" s="2">
        <v>53</v>
      </c>
      <c r="C55" s="2" t="s">
        <v>336</v>
      </c>
      <c r="D55" s="4">
        <v>44993</v>
      </c>
      <c r="E55" s="2" t="s">
        <v>334</v>
      </c>
      <c r="F55" s="2" t="s">
        <v>16</v>
      </c>
      <c r="G55" s="1058" t="s">
        <v>6102</v>
      </c>
      <c r="H55" s="1058" t="s">
        <v>743</v>
      </c>
      <c r="I55" s="259">
        <v>1</v>
      </c>
      <c r="J55" s="259">
        <v>3</v>
      </c>
      <c r="K55" s="2">
        <v>1</v>
      </c>
      <c r="L55" s="2">
        <v>2</v>
      </c>
      <c r="M55" s="2" t="s">
        <v>5877</v>
      </c>
      <c r="N55" s="981"/>
      <c r="O55" s="60"/>
      <c r="P55" s="168">
        <v>0</v>
      </c>
      <c r="Q55" s="2">
        <v>0</v>
      </c>
      <c r="R55" s="2">
        <v>0</v>
      </c>
      <c r="S55" s="2">
        <v>0</v>
      </c>
      <c r="T55" s="2">
        <v>3</v>
      </c>
      <c r="U55" s="2">
        <v>4</v>
      </c>
      <c r="V55" s="242">
        <v>4089</v>
      </c>
      <c r="W55" s="1058" t="s">
        <v>6188</v>
      </c>
      <c r="X55" s="1058" t="s">
        <v>6187</v>
      </c>
      <c r="Y55" s="1058" t="s">
        <v>6171</v>
      </c>
      <c r="AA55" s="1058" t="s">
        <v>3307</v>
      </c>
      <c r="AB55" s="2" t="s">
        <v>5260</v>
      </c>
      <c r="AK55" s="8" t="s">
        <v>6549</v>
      </c>
    </row>
    <row r="56" spans="1:37" x14ac:dyDescent="0.3">
      <c r="A56" s="985" t="str">
        <f t="shared" si="0"/>
        <v>Sezóna 22/23</v>
      </c>
      <c r="B56" s="2">
        <v>54</v>
      </c>
      <c r="C56" s="2" t="s">
        <v>336</v>
      </c>
      <c r="D56" s="4">
        <v>44994</v>
      </c>
      <c r="E56" s="2" t="s">
        <v>334</v>
      </c>
      <c r="F56" s="2" t="s">
        <v>16</v>
      </c>
      <c r="G56" s="1058" t="s">
        <v>359</v>
      </c>
      <c r="H56" s="1058" t="s">
        <v>794</v>
      </c>
      <c r="I56" s="259">
        <v>4</v>
      </c>
      <c r="J56" s="259">
        <v>5</v>
      </c>
      <c r="K56" s="2">
        <v>4</v>
      </c>
      <c r="L56" s="2">
        <v>4</v>
      </c>
      <c r="M56" s="2" t="s">
        <v>5878</v>
      </c>
      <c r="O56" s="60"/>
      <c r="P56" s="168">
        <v>3</v>
      </c>
      <c r="Q56" s="2">
        <v>0</v>
      </c>
      <c r="R56" s="2">
        <v>0</v>
      </c>
      <c r="S56" s="2">
        <v>2</v>
      </c>
      <c r="T56" s="2">
        <v>7</v>
      </c>
      <c r="U56" s="2">
        <v>5</v>
      </c>
      <c r="V56" s="242">
        <v>4465</v>
      </c>
      <c r="W56" s="1058" t="s">
        <v>6187</v>
      </c>
      <c r="X56" s="1058" t="s">
        <v>6097</v>
      </c>
      <c r="Y56" s="1058" t="s">
        <v>6118</v>
      </c>
      <c r="Z56" s="1058" t="s">
        <v>3213</v>
      </c>
      <c r="AA56" s="1058" t="s">
        <v>5628</v>
      </c>
      <c r="AB56" s="2" t="s">
        <v>6298</v>
      </c>
      <c r="AC56" s="2" t="s">
        <v>6297</v>
      </c>
      <c r="AD56" s="2" t="s">
        <v>6296</v>
      </c>
      <c r="AE56" s="2" t="s">
        <v>6299</v>
      </c>
      <c r="AK56" s="8" t="s">
        <v>6550</v>
      </c>
    </row>
    <row r="57" spans="1:37" x14ac:dyDescent="0.3">
      <c r="A57" s="985" t="str">
        <f t="shared" si="0"/>
        <v>Sezóna 22/23</v>
      </c>
      <c r="B57" s="170">
        <v>55</v>
      </c>
      <c r="C57" s="170" t="s">
        <v>336</v>
      </c>
      <c r="D57" s="4">
        <v>44996</v>
      </c>
      <c r="E57" s="2" t="s">
        <v>334</v>
      </c>
      <c r="F57" s="2" t="s">
        <v>17</v>
      </c>
      <c r="G57" s="1058" t="s">
        <v>6082</v>
      </c>
      <c r="H57" s="1058" t="s">
        <v>743</v>
      </c>
      <c r="I57" s="259">
        <v>2</v>
      </c>
      <c r="J57" s="259">
        <v>4</v>
      </c>
      <c r="K57" s="2">
        <v>2</v>
      </c>
      <c r="L57" s="2">
        <v>3</v>
      </c>
      <c r="M57" s="2" t="s">
        <v>5879</v>
      </c>
      <c r="O57" s="60"/>
      <c r="P57" s="168">
        <v>0</v>
      </c>
      <c r="Q57" s="2">
        <v>0</v>
      </c>
      <c r="R57" s="2">
        <v>0</v>
      </c>
      <c r="S57" s="2">
        <v>1</v>
      </c>
      <c r="T57" s="2">
        <v>3</v>
      </c>
      <c r="U57" s="2">
        <v>1</v>
      </c>
      <c r="V57" s="242">
        <v>5452</v>
      </c>
      <c r="W57" s="1058" t="s">
        <v>6187</v>
      </c>
      <c r="X57" s="1058" t="s">
        <v>6189</v>
      </c>
      <c r="Y57" s="1058" t="s">
        <v>6097</v>
      </c>
      <c r="AA57" s="1058" t="s">
        <v>5629</v>
      </c>
      <c r="AB57" s="2" t="s">
        <v>6300</v>
      </c>
      <c r="AC57" s="2" t="s">
        <v>6301</v>
      </c>
      <c r="AK57" t="s">
        <v>6551</v>
      </c>
    </row>
    <row r="58" spans="1:37" x14ac:dyDescent="0.3">
      <c r="A58" s="1087" t="s">
        <v>817</v>
      </c>
      <c r="B58" s="2"/>
      <c r="G58" s="2"/>
      <c r="H58" s="2"/>
      <c r="K58" s="2"/>
      <c r="L58" s="2"/>
      <c r="W58" s="2" t="s">
        <v>6335</v>
      </c>
      <c r="X58" s="2" t="s">
        <v>6336</v>
      </c>
      <c r="Y58" s="2" t="s">
        <v>6337</v>
      </c>
      <c r="Z58" s="2" t="s">
        <v>6330</v>
      </c>
      <c r="AA58" s="2"/>
      <c r="AK58" s="8">
        <f>SUBTOTAL(103,Zapasy20222023[Sestava])</f>
        <v>55</v>
      </c>
    </row>
    <row r="59" spans="1:37" s="168" customFormat="1" x14ac:dyDescent="0.3">
      <c r="A59"/>
      <c r="B59" s="2"/>
      <c r="C59" s="2"/>
      <c r="D59" s="2"/>
      <c r="E59" s="2"/>
      <c r="F59" s="2"/>
      <c r="G59" s="1058"/>
      <c r="H59" s="1058"/>
      <c r="I59" s="259"/>
      <c r="J59" s="259"/>
      <c r="K59" s="1058"/>
      <c r="L59" s="1058"/>
      <c r="M59" s="60"/>
      <c r="N59" s="60"/>
      <c r="O59" s="60"/>
      <c r="Q59" s="2"/>
      <c r="R59" s="2"/>
      <c r="S59" s="2"/>
      <c r="T59" s="2"/>
      <c r="U59" s="2"/>
      <c r="V59" s="242"/>
      <c r="W59" s="1058"/>
      <c r="X59" s="1058"/>
      <c r="Y59" s="1058"/>
      <c r="Z59" s="1058"/>
      <c r="AA59" s="1061"/>
      <c r="AB59" s="2"/>
      <c r="AC59" s="2"/>
      <c r="AD59" s="2"/>
      <c r="AE59" s="2"/>
      <c r="AF59" s="2"/>
      <c r="AG59" s="2"/>
      <c r="AH59" s="2"/>
      <c r="AI59" s="242"/>
      <c r="AJ59" s="8"/>
      <c r="AK59"/>
    </row>
    <row r="60" spans="1:37" s="168" customFormat="1" x14ac:dyDescent="0.3">
      <c r="A60"/>
      <c r="B60"/>
      <c r="C60" s="2"/>
      <c r="D60" s="2"/>
      <c r="E60" s="2"/>
      <c r="F60" s="2"/>
      <c r="G60" s="1058"/>
      <c r="H60" s="1058"/>
      <c r="I60" s="259"/>
      <c r="J60" s="259"/>
      <c r="K60" s="1058"/>
      <c r="L60" s="1058"/>
      <c r="M60" s="60"/>
      <c r="N60" s="60"/>
      <c r="O60" s="60"/>
      <c r="Q60" s="2"/>
      <c r="R60" s="2"/>
      <c r="S60" s="2"/>
      <c r="T60" s="2"/>
      <c r="U60" s="2"/>
      <c r="V60" s="242"/>
      <c r="W60" s="1058"/>
      <c r="X60" s="1058"/>
      <c r="Y60" s="1058"/>
      <c r="Z60" s="1058"/>
      <c r="AA60" s="1061"/>
      <c r="AB60" s="2"/>
      <c r="AC60" s="2"/>
      <c r="AD60" s="2"/>
      <c r="AE60" s="2"/>
      <c r="AF60" s="2"/>
      <c r="AG60" s="2"/>
      <c r="AH60" s="2"/>
      <c r="AI60" s="242"/>
      <c r="AJ60" s="8"/>
      <c r="AK60" s="2"/>
    </row>
    <row r="61" spans="1:37" x14ac:dyDescent="0.3">
      <c r="M61" s="60"/>
      <c r="N61" s="60"/>
      <c r="O61" s="60"/>
      <c r="AK61" s="2"/>
    </row>
    <row r="62" spans="1:37" s="168" customFormat="1" x14ac:dyDescent="0.3">
      <c r="A62"/>
      <c r="B62"/>
      <c r="C62" s="2"/>
      <c r="D62" s="2"/>
      <c r="E62" s="2"/>
      <c r="F62" s="2"/>
      <c r="G62" s="1058"/>
      <c r="H62" s="1058"/>
      <c r="I62" s="259"/>
      <c r="J62" s="259"/>
      <c r="K62" s="1058"/>
      <c r="L62" s="1058"/>
      <c r="M62" s="2"/>
      <c r="N62" s="2"/>
      <c r="O62" s="2"/>
      <c r="Q62" s="2"/>
      <c r="R62" s="2"/>
      <c r="S62" s="2"/>
      <c r="T62" s="2"/>
      <c r="U62" s="2"/>
      <c r="V62" s="242"/>
      <c r="W62" s="1058"/>
      <c r="X62" s="1058"/>
      <c r="Y62" s="1058"/>
      <c r="Z62" s="1058"/>
      <c r="AA62" s="1061"/>
      <c r="AB62" s="2"/>
      <c r="AC62" s="2"/>
      <c r="AD62" s="2"/>
      <c r="AE62" s="2"/>
      <c r="AF62" s="2"/>
      <c r="AG62" s="2"/>
      <c r="AH62" s="2"/>
      <c r="AI62" s="242"/>
      <c r="AJ62" s="8"/>
      <c r="AK62"/>
    </row>
    <row r="63" spans="1:37" s="168" customFormat="1" x14ac:dyDescent="0.3">
      <c r="A63"/>
      <c r="B63"/>
      <c r="C63" s="2"/>
      <c r="D63" s="2"/>
      <c r="E63" s="2"/>
      <c r="F63" s="2"/>
      <c r="G63" s="1058"/>
      <c r="H63" s="1058"/>
      <c r="I63" s="259"/>
      <c r="J63" s="259"/>
      <c r="K63" s="1058"/>
      <c r="L63" s="1058"/>
      <c r="M63" s="60"/>
      <c r="N63" s="60"/>
      <c r="O63" s="60"/>
      <c r="Q63" s="2"/>
      <c r="R63" s="2"/>
      <c r="S63" s="2"/>
      <c r="T63" s="2"/>
      <c r="U63" s="2"/>
      <c r="V63" s="242"/>
      <c r="W63" s="1058"/>
      <c r="X63" s="1058"/>
      <c r="Y63" s="1058"/>
      <c r="Z63" s="1058"/>
      <c r="AA63" s="1061"/>
      <c r="AB63" s="2"/>
      <c r="AC63" s="2"/>
      <c r="AD63" s="2"/>
      <c r="AE63" s="2"/>
      <c r="AF63" s="2"/>
      <c r="AG63" s="2"/>
      <c r="AH63" s="2"/>
      <c r="AI63" s="242"/>
      <c r="AJ63" s="8"/>
      <c r="AK63" s="2"/>
    </row>
    <row r="64" spans="1:37" s="168" customFormat="1" x14ac:dyDescent="0.3">
      <c r="A64"/>
      <c r="B64"/>
      <c r="C64" s="2"/>
      <c r="D64" s="2"/>
      <c r="E64" s="2"/>
      <c r="F64" s="2"/>
      <c r="G64" s="1058"/>
      <c r="H64" s="1058"/>
      <c r="I64" s="259"/>
      <c r="J64" s="259"/>
      <c r="K64" s="1058"/>
      <c r="L64" s="1058"/>
      <c r="M64" s="60"/>
      <c r="N64" s="60"/>
      <c r="O64" s="60"/>
      <c r="Q64" s="2"/>
      <c r="R64" s="2"/>
      <c r="S64" s="2"/>
      <c r="T64" s="2"/>
      <c r="U64" s="2"/>
      <c r="V64" s="242"/>
      <c r="W64" s="1058"/>
      <c r="X64" s="1058"/>
      <c r="Y64" s="1058"/>
      <c r="Z64" s="1058"/>
      <c r="AA64" s="1061"/>
      <c r="AB64" s="2"/>
      <c r="AC64" s="2"/>
      <c r="AD64" s="2"/>
      <c r="AE64" s="2"/>
      <c r="AF64" s="2"/>
      <c r="AG64" s="2"/>
      <c r="AH64" s="2"/>
      <c r="AI64" s="242"/>
      <c r="AJ64" s="8"/>
      <c r="AK64" s="2"/>
    </row>
    <row r="65" spans="1:37" x14ac:dyDescent="0.3">
      <c r="M65" s="60"/>
      <c r="N65" s="60"/>
      <c r="O65" s="60"/>
      <c r="AK65" s="2"/>
    </row>
    <row r="66" spans="1:37" s="168" customFormat="1" x14ac:dyDescent="0.3">
      <c r="A66"/>
      <c r="B66"/>
      <c r="C66" s="2"/>
      <c r="D66" s="2"/>
      <c r="E66" s="2"/>
      <c r="F66" s="2"/>
      <c r="G66" s="1058"/>
      <c r="H66" s="1058"/>
      <c r="I66" s="259"/>
      <c r="J66" s="259"/>
      <c r="K66" s="1058"/>
      <c r="L66" s="1058"/>
      <c r="M66" s="2"/>
      <c r="N66" s="2"/>
      <c r="O66" s="2"/>
      <c r="Q66" s="2"/>
      <c r="R66" s="2"/>
      <c r="S66" s="2"/>
      <c r="T66" s="2"/>
      <c r="U66" s="2"/>
      <c r="V66" s="242"/>
      <c r="W66" s="1058"/>
      <c r="X66" s="1058"/>
      <c r="Y66" s="1058"/>
      <c r="Z66" s="1058"/>
      <c r="AA66" s="1061"/>
      <c r="AB66" s="2"/>
      <c r="AC66" s="2"/>
      <c r="AD66" s="2"/>
      <c r="AE66" s="2"/>
      <c r="AF66" s="2"/>
      <c r="AG66" s="2"/>
      <c r="AH66" s="2"/>
      <c r="AI66" s="242"/>
      <c r="AJ66" s="8"/>
      <c r="AK66"/>
    </row>
    <row r="67" spans="1:37" x14ac:dyDescent="0.3">
      <c r="M67" s="60"/>
      <c r="N67" s="60"/>
      <c r="O67" s="60"/>
      <c r="AK67" s="2"/>
    </row>
    <row r="68" spans="1:37" s="168" customFormat="1" x14ac:dyDescent="0.3">
      <c r="A68"/>
      <c r="B68"/>
      <c r="C68" s="2"/>
      <c r="D68" s="2"/>
      <c r="E68" s="2"/>
      <c r="F68" s="2"/>
      <c r="G68" s="1058"/>
      <c r="H68" s="1058"/>
      <c r="I68" s="259"/>
      <c r="J68" s="259"/>
      <c r="K68" s="1058"/>
      <c r="L68" s="1058"/>
      <c r="M68" s="2"/>
      <c r="N68" s="2"/>
      <c r="O68" s="2"/>
      <c r="Q68" s="2"/>
      <c r="R68" s="2"/>
      <c r="S68" s="2"/>
      <c r="T68" s="2"/>
      <c r="U68" s="2"/>
      <c r="V68" s="242"/>
      <c r="W68" s="1058"/>
      <c r="X68" s="1058"/>
      <c r="Y68" s="1058"/>
      <c r="Z68" s="1058"/>
      <c r="AA68" s="1061"/>
      <c r="AB68" s="2"/>
      <c r="AC68" s="2"/>
      <c r="AD68" s="2"/>
      <c r="AE68" s="2"/>
      <c r="AF68" s="2"/>
      <c r="AG68" s="2"/>
      <c r="AH68" s="2"/>
      <c r="AI68" s="242"/>
      <c r="AJ68" s="8"/>
      <c r="AK68"/>
    </row>
    <row r="69" spans="1:37" x14ac:dyDescent="0.3">
      <c r="M69" s="60"/>
      <c r="N69" s="60"/>
      <c r="O69" s="60"/>
      <c r="AK69" s="2"/>
    </row>
    <row r="102" spans="1:1" ht="15" thickBot="1" x14ac:dyDescent="0.35">
      <c r="A102" s="201"/>
    </row>
    <row r="103" spans="1:1" x14ac:dyDescent="0.3">
      <c r="A103" s="204" t="s">
        <v>792</v>
      </c>
    </row>
    <row r="104" spans="1:1" x14ac:dyDescent="0.3">
      <c r="A104" s="198" t="s">
        <v>797</v>
      </c>
    </row>
    <row r="105" spans="1:1" ht="15" thickBot="1" x14ac:dyDescent="0.35">
      <c r="A105" s="199" t="s">
        <v>798</v>
      </c>
    </row>
    <row r="106" spans="1:1" x14ac:dyDescent="0.3">
      <c r="A106" s="594" t="s">
        <v>799</v>
      </c>
    </row>
    <row r="107" spans="1:1" x14ac:dyDescent="0.3">
      <c r="A107" s="198" t="s">
        <v>797</v>
      </c>
    </row>
    <row r="108" spans="1:1" ht="15" thickBot="1" x14ac:dyDescent="0.35">
      <c r="A108" s="199" t="s">
        <v>798</v>
      </c>
    </row>
    <row r="109" spans="1:1" x14ac:dyDescent="0.3">
      <c r="A109" s="594" t="s">
        <v>800</v>
      </c>
    </row>
    <row r="110" spans="1:1" x14ac:dyDescent="0.3">
      <c r="A110" s="198" t="s">
        <v>797</v>
      </c>
    </row>
    <row r="111" spans="1:1" ht="15" thickBot="1" x14ac:dyDescent="0.35">
      <c r="A111" s="199" t="s">
        <v>798</v>
      </c>
    </row>
    <row r="112" spans="1:1" x14ac:dyDescent="0.3">
      <c r="A112" s="204" t="s">
        <v>801</v>
      </c>
    </row>
    <row r="113" spans="1:1" x14ac:dyDescent="0.3">
      <c r="A113" s="198" t="s">
        <v>797</v>
      </c>
    </row>
    <row r="114" spans="1:1" ht="15" thickBot="1" x14ac:dyDescent="0.35">
      <c r="A114" s="592" t="s">
        <v>798</v>
      </c>
    </row>
    <row r="115" spans="1:1" x14ac:dyDescent="0.3">
      <c r="A115" s="220" t="s">
        <v>804</v>
      </c>
    </row>
    <row r="116" spans="1:1" x14ac:dyDescent="0.3">
      <c r="A116" s="223" t="s">
        <v>797</v>
      </c>
    </row>
    <row r="117" spans="1:1" ht="15" thickBot="1" x14ac:dyDescent="0.35">
      <c r="A117" s="226" t="s">
        <v>798</v>
      </c>
    </row>
  </sheetData>
  <mergeCells count="5">
    <mergeCell ref="AB1:AI1"/>
    <mergeCell ref="P1:Q1"/>
    <mergeCell ref="R1:S1"/>
    <mergeCell ref="T1:V1"/>
    <mergeCell ref="W1:AA1"/>
  </mergeCells>
  <phoneticPr fontId="79" type="noConversion"/>
  <conditionalFormatting sqref="D53:D54 D56:D57 F57 F59:F204">
    <cfRule type="cellIs" dxfId="155" priority="1" operator="equal">
      <formula>"D"</formula>
    </cfRule>
  </conditionalFormatting>
  <conditionalFormatting sqref="F3:F54">
    <cfRule type="cellIs" dxfId="154" priority="2" operator="equal">
      <formula>"D"</formula>
    </cfRule>
  </conditionalFormatting>
  <conditionalFormatting sqref="G7:L7 G15:L16 G20:L20">
    <cfRule type="cellIs" dxfId="153" priority="33" operator="equal">
      <formula>"D"</formula>
    </cfRule>
  </conditionalFormatting>
  <pageMargins left="0.7" right="0.7" top="0.78740157499999996" bottom="0.78740157499999996" header="0.3" footer="0.3"/>
  <pageSetup orientation="portrait" r:id="rId1"/>
  <drawing r:id="rId2"/>
  <legacyDrawing r:id="rId3"/>
  <tableParts count="1">
    <tablePart r:id="rId4"/>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BC47"/>
  <sheetViews>
    <sheetView topLeftCell="K10" workbookViewId="0">
      <selection activeCell="L12" sqref="L12"/>
    </sheetView>
  </sheetViews>
  <sheetFormatPr defaultRowHeight="14.4" x14ac:dyDescent="0.3"/>
  <cols>
    <col min="1" max="1" width="3.33203125" customWidth="1"/>
    <col min="2" max="2" width="15.109375" customWidth="1"/>
    <col min="3" max="3" width="16.6640625" customWidth="1"/>
    <col min="4" max="4" width="15.44140625" customWidth="1"/>
    <col min="5" max="5" width="13.109375" customWidth="1"/>
    <col min="6" max="6" width="13.5546875" customWidth="1"/>
    <col min="7" max="7" width="15.33203125" customWidth="1"/>
    <col min="8" max="8" width="22.5546875" customWidth="1"/>
    <col min="9" max="9" width="16.6640625" customWidth="1"/>
    <col min="10" max="10" width="15.5546875" customWidth="1"/>
    <col min="11" max="11" width="20.44140625" customWidth="1"/>
    <col min="12" max="12" width="15.6640625" customWidth="1"/>
    <col min="13" max="13" width="14.33203125" customWidth="1"/>
    <col min="14" max="14" width="18.109375" customWidth="1"/>
    <col min="16" max="16" width="18.88671875" customWidth="1"/>
    <col min="17" max="17" width="13.44140625" customWidth="1"/>
    <col min="18" max="18" width="13.88671875" customWidth="1"/>
    <col min="19" max="19" width="14" customWidth="1"/>
    <col min="20" max="20" width="24.44140625" customWidth="1"/>
    <col min="21" max="21" width="19.44140625" customWidth="1"/>
    <col min="22" max="22" width="18.44140625" customWidth="1"/>
    <col min="23" max="23" width="32.109375" customWidth="1"/>
    <col min="24" max="24" width="17.5546875" customWidth="1"/>
    <col min="25" max="25" width="14.44140625" customWidth="1"/>
    <col min="26" max="26" width="13.5546875" customWidth="1"/>
    <col min="39" max="39" width="16.44140625" customWidth="1"/>
    <col min="40" max="40" width="35.33203125" customWidth="1"/>
    <col min="44" max="44" width="31.109375" customWidth="1"/>
    <col min="49" max="49" width="38" customWidth="1"/>
    <col min="52" max="52" width="31.44140625" customWidth="1"/>
    <col min="55" max="55" width="39.44140625" customWidth="1"/>
  </cols>
  <sheetData>
    <row r="1" spans="2:55" ht="14.25" customHeight="1" thickBot="1" x14ac:dyDescent="0.35"/>
    <row r="2" spans="2:55" x14ac:dyDescent="0.3">
      <c r="B2" s="303"/>
      <c r="C2" s="1142" t="s">
        <v>4741</v>
      </c>
      <c r="D2" s="1143"/>
      <c r="E2" s="1144"/>
      <c r="F2" s="1142" t="s">
        <v>5043</v>
      </c>
      <c r="G2" s="1143"/>
      <c r="H2" s="1144"/>
      <c r="I2" s="1142" t="s">
        <v>5156</v>
      </c>
      <c r="J2" s="1143"/>
      <c r="K2" s="1144"/>
      <c r="L2" s="1145" t="s">
        <v>3663</v>
      </c>
      <c r="M2" s="1143"/>
      <c r="N2" s="1144"/>
      <c r="P2" s="231"/>
      <c r="Q2" s="826" t="s">
        <v>5159</v>
      </c>
      <c r="R2" s="824" t="s">
        <v>5160</v>
      </c>
      <c r="S2" s="824" t="s">
        <v>5161</v>
      </c>
      <c r="T2" s="825" t="s">
        <v>5162</v>
      </c>
    </row>
    <row r="3" spans="2:55" ht="15" thickBot="1" x14ac:dyDescent="0.35">
      <c r="B3" s="304"/>
      <c r="C3" s="199" t="s">
        <v>999</v>
      </c>
      <c r="D3" s="200" t="s">
        <v>796</v>
      </c>
      <c r="E3" s="230" t="s">
        <v>1000</v>
      </c>
      <c r="F3" s="235" t="s">
        <v>999</v>
      </c>
      <c r="G3" s="200" t="s">
        <v>796</v>
      </c>
      <c r="H3" s="230" t="s">
        <v>1000</v>
      </c>
      <c r="I3" s="235" t="s">
        <v>999</v>
      </c>
      <c r="J3" s="200" t="s">
        <v>796</v>
      </c>
      <c r="K3" s="230" t="s">
        <v>1000</v>
      </c>
      <c r="L3" s="235" t="s">
        <v>999</v>
      </c>
      <c r="M3" s="200" t="s">
        <v>796</v>
      </c>
      <c r="N3" s="230" t="s">
        <v>1000</v>
      </c>
      <c r="P3" s="232"/>
      <c r="Q3" s="184" t="s">
        <v>5163</v>
      </c>
      <c r="R3" s="183" t="s">
        <v>5163</v>
      </c>
      <c r="S3" s="183" t="s">
        <v>5163</v>
      </c>
      <c r="T3" s="828" t="s">
        <v>5163</v>
      </c>
      <c r="AH3" s="2"/>
      <c r="AI3" s="2"/>
    </row>
    <row r="4" spans="2:55" x14ac:dyDescent="0.3">
      <c r="B4" s="280" t="s">
        <v>610</v>
      </c>
      <c r="C4" s="277">
        <v>12</v>
      </c>
      <c r="D4" s="278">
        <v>19</v>
      </c>
      <c r="E4" s="279">
        <f>D4/C4</f>
        <v>1.5833333333333333</v>
      </c>
      <c r="F4" s="171">
        <v>26</v>
      </c>
      <c r="G4" s="278">
        <v>35</v>
      </c>
      <c r="H4" s="279">
        <f t="shared" ref="H4:H17" si="0">G4/F4</f>
        <v>1.3461538461538463</v>
      </c>
      <c r="I4" s="171">
        <v>39</v>
      </c>
      <c r="J4" s="278">
        <v>58</v>
      </c>
      <c r="K4" s="279">
        <f t="shared" ref="K4:K17" si="1">J4/I4</f>
        <v>1.4871794871794872</v>
      </c>
      <c r="L4" s="171">
        <v>52</v>
      </c>
      <c r="M4" s="278">
        <v>87</v>
      </c>
      <c r="N4" s="279">
        <f t="shared" ref="N4:N17" si="2">M4/L4</f>
        <v>1.6730769230769231</v>
      </c>
      <c r="P4" s="232" t="str">
        <f>B4</f>
        <v>Liberec</v>
      </c>
      <c r="Q4" s="830">
        <f>E4</f>
        <v>1.5833333333333333</v>
      </c>
      <c r="R4" s="827">
        <f>H4</f>
        <v>1.3461538461538463</v>
      </c>
      <c r="S4" s="827">
        <f>K4</f>
        <v>1.4871794871794872</v>
      </c>
      <c r="T4" s="275">
        <f>N4</f>
        <v>1.6730769230769231</v>
      </c>
      <c r="AG4" s="2"/>
      <c r="AH4" s="2"/>
      <c r="AI4" s="60"/>
      <c r="AJ4" s="60"/>
      <c r="AK4" s="60"/>
      <c r="AL4" s="60"/>
      <c r="AM4" s="2"/>
      <c r="AN4" s="8"/>
      <c r="AO4" s="2"/>
      <c r="AR4" s="178"/>
      <c r="AW4" s="178"/>
      <c r="AZ4" s="178"/>
      <c r="BC4" s="178"/>
    </row>
    <row r="5" spans="2:55" x14ac:dyDescent="0.3">
      <c r="B5" s="281" t="s">
        <v>334</v>
      </c>
      <c r="C5" s="198">
        <v>11</v>
      </c>
      <c r="D5" s="183">
        <v>19</v>
      </c>
      <c r="E5" s="275">
        <f t="shared" ref="E5:E17" si="3">D5/C5</f>
        <v>1.7272727272727273</v>
      </c>
      <c r="F5" s="184">
        <v>25</v>
      </c>
      <c r="G5" s="183">
        <v>41</v>
      </c>
      <c r="H5" s="275">
        <f t="shared" si="0"/>
        <v>1.64</v>
      </c>
      <c r="I5" s="184">
        <v>38</v>
      </c>
      <c r="J5" s="183">
        <v>67</v>
      </c>
      <c r="K5" s="275">
        <f t="shared" si="1"/>
        <v>1.763157894736842</v>
      </c>
      <c r="L5" s="184">
        <v>52</v>
      </c>
      <c r="M5" s="183">
        <v>80</v>
      </c>
      <c r="N5" s="275">
        <f t="shared" si="2"/>
        <v>1.5384615384615385</v>
      </c>
      <c r="P5" s="232" t="str">
        <f t="shared" ref="P5:P17" si="4">B5</f>
        <v>Třinec</v>
      </c>
      <c r="Q5" s="830">
        <f t="shared" ref="Q5:Q16" si="5">E5</f>
        <v>1.7272727272727273</v>
      </c>
      <c r="R5" s="827">
        <f t="shared" ref="R5:R16" si="6">H5</f>
        <v>1.64</v>
      </c>
      <c r="S5" s="827">
        <f t="shared" ref="S5:S16" si="7">K5</f>
        <v>1.763157894736842</v>
      </c>
      <c r="T5" s="275">
        <f t="shared" ref="T5:T16" si="8">N5</f>
        <v>1.5384615384615385</v>
      </c>
      <c r="AG5" s="2"/>
      <c r="AH5" s="2"/>
      <c r="AI5" s="60"/>
      <c r="AJ5" s="60"/>
      <c r="AK5" s="60"/>
      <c r="AL5" s="60"/>
      <c r="AM5" s="2"/>
      <c r="AN5" s="8"/>
      <c r="AO5" s="2"/>
      <c r="AR5" s="178"/>
      <c r="AW5" s="178"/>
      <c r="AZ5" s="8"/>
      <c r="BC5" s="178"/>
    </row>
    <row r="6" spans="2:55" x14ac:dyDescent="0.3">
      <c r="B6" s="281" t="s">
        <v>331</v>
      </c>
      <c r="C6" s="198">
        <v>13</v>
      </c>
      <c r="D6" s="183">
        <v>14</v>
      </c>
      <c r="E6" s="275">
        <f t="shared" si="3"/>
        <v>1.0769230769230769</v>
      </c>
      <c r="F6" s="184">
        <v>26</v>
      </c>
      <c r="G6" s="183">
        <v>41</v>
      </c>
      <c r="H6" s="275">
        <f t="shared" si="0"/>
        <v>1.5769230769230769</v>
      </c>
      <c r="I6" s="184">
        <v>40</v>
      </c>
      <c r="J6" s="183">
        <v>62</v>
      </c>
      <c r="K6" s="275">
        <f t="shared" si="1"/>
        <v>1.55</v>
      </c>
      <c r="L6" s="171">
        <v>52</v>
      </c>
      <c r="M6" s="183">
        <v>65</v>
      </c>
      <c r="N6" s="275">
        <f t="shared" si="2"/>
        <v>1.25</v>
      </c>
      <c r="P6" s="232" t="str">
        <f t="shared" si="4"/>
        <v>Plzeň</v>
      </c>
      <c r="Q6" s="830">
        <f t="shared" si="5"/>
        <v>1.0769230769230769</v>
      </c>
      <c r="R6" s="827">
        <f t="shared" si="6"/>
        <v>1.5769230769230769</v>
      </c>
      <c r="S6" s="827">
        <f t="shared" si="7"/>
        <v>1.55</v>
      </c>
      <c r="T6" s="275">
        <f t="shared" si="8"/>
        <v>1.25</v>
      </c>
      <c r="AG6" s="2"/>
      <c r="AH6" s="2"/>
      <c r="AI6" s="60"/>
      <c r="AJ6" s="60"/>
      <c r="AK6" s="60"/>
      <c r="AL6" s="60"/>
      <c r="AM6" s="2"/>
      <c r="AN6" s="182"/>
      <c r="AO6" s="2"/>
      <c r="AR6" s="178"/>
      <c r="AW6" s="178"/>
      <c r="AZ6" s="8"/>
      <c r="BC6" s="8"/>
    </row>
    <row r="7" spans="2:55" x14ac:dyDescent="0.3">
      <c r="B7" s="281" t="s">
        <v>1274</v>
      </c>
      <c r="C7" s="198">
        <v>12</v>
      </c>
      <c r="D7" s="183">
        <v>18</v>
      </c>
      <c r="E7" s="275">
        <f t="shared" si="3"/>
        <v>1.5</v>
      </c>
      <c r="F7" s="184">
        <v>25</v>
      </c>
      <c r="G7" s="183">
        <v>32</v>
      </c>
      <c r="H7" s="275">
        <f t="shared" si="0"/>
        <v>1.28</v>
      </c>
      <c r="I7" s="184">
        <v>38</v>
      </c>
      <c r="J7" s="183">
        <v>54</v>
      </c>
      <c r="K7" s="275">
        <f t="shared" si="1"/>
        <v>1.4210526315789473</v>
      </c>
      <c r="L7" s="184">
        <v>52</v>
      </c>
      <c r="M7" s="183">
        <v>88</v>
      </c>
      <c r="N7" s="275">
        <f t="shared" si="2"/>
        <v>1.6923076923076923</v>
      </c>
      <c r="P7" s="232" t="str">
        <f t="shared" si="4"/>
        <v>Mountfield HK</v>
      </c>
      <c r="Q7" s="830">
        <f t="shared" si="5"/>
        <v>1.5</v>
      </c>
      <c r="R7" s="827">
        <f t="shared" si="6"/>
        <v>1.28</v>
      </c>
      <c r="S7" s="827">
        <f t="shared" si="7"/>
        <v>1.4210526315789473</v>
      </c>
      <c r="T7" s="275">
        <f t="shared" si="8"/>
        <v>1.6923076923076923</v>
      </c>
      <c r="AG7" s="2"/>
      <c r="AH7" s="2"/>
      <c r="AI7" s="60"/>
      <c r="AJ7" s="60"/>
      <c r="AK7" s="60"/>
      <c r="AL7" s="60"/>
      <c r="AM7" s="2"/>
      <c r="AN7" s="8"/>
      <c r="AO7" s="2"/>
      <c r="AR7" s="178"/>
      <c r="AW7" s="8"/>
      <c r="AZ7" s="8"/>
      <c r="BC7" s="8"/>
    </row>
    <row r="8" spans="2:55" x14ac:dyDescent="0.3">
      <c r="B8" s="281" t="s">
        <v>6179</v>
      </c>
      <c r="C8" s="198">
        <v>13</v>
      </c>
      <c r="D8" s="183">
        <v>24</v>
      </c>
      <c r="E8" s="275">
        <f t="shared" si="3"/>
        <v>1.8461538461538463</v>
      </c>
      <c r="F8" s="184">
        <v>25</v>
      </c>
      <c r="G8" s="183">
        <v>38</v>
      </c>
      <c r="H8" s="275">
        <f t="shared" si="0"/>
        <v>1.52</v>
      </c>
      <c r="I8" s="184">
        <v>39</v>
      </c>
      <c r="J8" s="183">
        <v>47</v>
      </c>
      <c r="K8" s="275">
        <f t="shared" si="1"/>
        <v>1.2051282051282051</v>
      </c>
      <c r="L8" s="171">
        <v>52</v>
      </c>
      <c r="M8" s="183">
        <v>72</v>
      </c>
      <c r="N8" s="275">
        <f t="shared" si="2"/>
        <v>1.3846153846153846</v>
      </c>
      <c r="P8" s="232" t="str">
        <f t="shared" si="4"/>
        <v>Kometa Brno</v>
      </c>
      <c r="Q8" s="830">
        <f t="shared" si="5"/>
        <v>1.8461538461538463</v>
      </c>
      <c r="R8" s="827">
        <f t="shared" si="6"/>
        <v>1.52</v>
      </c>
      <c r="S8" s="827">
        <f t="shared" si="7"/>
        <v>1.2051282051282051</v>
      </c>
      <c r="T8" s="275">
        <f t="shared" si="8"/>
        <v>1.3846153846153846</v>
      </c>
      <c r="AG8" s="2"/>
      <c r="AH8" s="2"/>
      <c r="AI8" s="60"/>
      <c r="AJ8" s="60"/>
      <c r="AK8" s="60"/>
      <c r="AL8" s="60"/>
      <c r="AM8" s="2"/>
      <c r="AN8" s="8"/>
      <c r="AO8" s="2"/>
      <c r="AR8" s="178"/>
      <c r="AW8" s="8"/>
      <c r="AZ8" s="8"/>
      <c r="BC8" s="8"/>
    </row>
    <row r="9" spans="2:55" x14ac:dyDescent="0.3">
      <c r="B9" s="281" t="s">
        <v>626</v>
      </c>
      <c r="C9" s="198">
        <v>11</v>
      </c>
      <c r="D9" s="183">
        <v>22</v>
      </c>
      <c r="E9" s="275">
        <f t="shared" si="3"/>
        <v>2</v>
      </c>
      <c r="F9" s="184">
        <v>26</v>
      </c>
      <c r="G9" s="183">
        <v>46</v>
      </c>
      <c r="H9" s="275">
        <f t="shared" si="0"/>
        <v>1.7692307692307692</v>
      </c>
      <c r="I9" s="184">
        <v>39</v>
      </c>
      <c r="J9" s="183">
        <v>61</v>
      </c>
      <c r="K9" s="275">
        <f t="shared" si="1"/>
        <v>1.5641025641025641</v>
      </c>
      <c r="L9" s="184">
        <v>52</v>
      </c>
      <c r="M9" s="183">
        <v>71</v>
      </c>
      <c r="N9" s="275">
        <f t="shared" si="2"/>
        <v>1.3653846153846154</v>
      </c>
      <c r="P9" s="232" t="str">
        <f t="shared" si="4"/>
        <v>Olomouc</v>
      </c>
      <c r="Q9" s="830">
        <f t="shared" si="5"/>
        <v>2</v>
      </c>
      <c r="R9" s="827">
        <f t="shared" si="6"/>
        <v>1.7692307692307692</v>
      </c>
      <c r="S9" s="827">
        <f t="shared" si="7"/>
        <v>1.5641025641025641</v>
      </c>
      <c r="T9" s="275">
        <f t="shared" si="8"/>
        <v>1.3653846153846154</v>
      </c>
      <c r="AG9" s="2"/>
      <c r="AH9" s="2"/>
      <c r="AI9" s="60"/>
      <c r="AJ9" s="60"/>
      <c r="AK9" s="60"/>
      <c r="AL9" s="60"/>
      <c r="AM9" s="2"/>
      <c r="AN9" s="8"/>
      <c r="AO9" s="2"/>
      <c r="AR9" s="178"/>
      <c r="AW9" s="8"/>
      <c r="AZ9" s="272"/>
      <c r="BC9" s="8"/>
    </row>
    <row r="10" spans="2:55" x14ac:dyDescent="0.3">
      <c r="B10" s="281" t="s">
        <v>328</v>
      </c>
      <c r="C10" s="198">
        <v>13</v>
      </c>
      <c r="D10" s="183">
        <v>25</v>
      </c>
      <c r="E10" s="275">
        <f t="shared" si="3"/>
        <v>1.9230769230769231</v>
      </c>
      <c r="F10" s="184">
        <v>26</v>
      </c>
      <c r="G10" s="183">
        <v>56</v>
      </c>
      <c r="H10" s="275">
        <f t="shared" si="0"/>
        <v>2.1538461538461537</v>
      </c>
      <c r="I10" s="184">
        <v>40</v>
      </c>
      <c r="J10" s="183">
        <v>82</v>
      </c>
      <c r="K10" s="275">
        <f t="shared" si="1"/>
        <v>2.0499999999999998</v>
      </c>
      <c r="L10" s="171">
        <v>52</v>
      </c>
      <c r="M10" s="183">
        <v>102</v>
      </c>
      <c r="N10" s="275">
        <f t="shared" si="2"/>
        <v>1.9615384615384615</v>
      </c>
      <c r="P10" s="232" t="str">
        <f t="shared" si="4"/>
        <v>Vítkovice</v>
      </c>
      <c r="Q10" s="830">
        <f t="shared" si="5"/>
        <v>1.9230769230769231</v>
      </c>
      <c r="R10" s="827">
        <f t="shared" si="6"/>
        <v>2.1538461538461537</v>
      </c>
      <c r="S10" s="827">
        <f t="shared" si="7"/>
        <v>2.0499999999999998</v>
      </c>
      <c r="T10" s="275">
        <f t="shared" si="8"/>
        <v>1.9615384615384615</v>
      </c>
      <c r="AG10" s="2"/>
      <c r="AH10" s="2"/>
      <c r="AI10" s="60"/>
      <c r="AJ10" s="60"/>
      <c r="AK10" s="60"/>
      <c r="AL10" s="60"/>
      <c r="AM10" s="2"/>
      <c r="AN10" s="178"/>
      <c r="AO10" s="2"/>
      <c r="AR10" s="178"/>
      <c r="AW10" s="8"/>
      <c r="AZ10" s="8"/>
      <c r="BC10" s="8"/>
    </row>
    <row r="11" spans="2:55" x14ac:dyDescent="0.3">
      <c r="B11" s="281" t="s">
        <v>6086</v>
      </c>
      <c r="C11" s="198">
        <v>13</v>
      </c>
      <c r="D11" s="183">
        <v>22</v>
      </c>
      <c r="E11" s="275">
        <f t="shared" si="3"/>
        <v>1.6923076923076923</v>
      </c>
      <c r="F11" s="184">
        <v>25</v>
      </c>
      <c r="G11" s="183">
        <v>36</v>
      </c>
      <c r="H11" s="275">
        <f t="shared" si="0"/>
        <v>1.44</v>
      </c>
      <c r="I11" s="184">
        <v>39</v>
      </c>
      <c r="J11" s="183">
        <v>51</v>
      </c>
      <c r="K11" s="275">
        <f t="shared" si="1"/>
        <v>1.3076923076923077</v>
      </c>
      <c r="L11" s="184">
        <v>52</v>
      </c>
      <c r="M11" s="183">
        <v>67</v>
      </c>
      <c r="N11" s="275">
        <f t="shared" si="2"/>
        <v>1.2884615384615385</v>
      </c>
      <c r="P11" s="232" t="str">
        <f t="shared" si="4"/>
        <v>Ml.Boleslav</v>
      </c>
      <c r="Q11" s="830">
        <f t="shared" si="5"/>
        <v>1.6923076923076923</v>
      </c>
      <c r="R11" s="827">
        <f t="shared" si="6"/>
        <v>1.44</v>
      </c>
      <c r="S11" s="827">
        <f t="shared" si="7"/>
        <v>1.3076923076923077</v>
      </c>
      <c r="T11" s="275">
        <f t="shared" si="8"/>
        <v>1.2884615384615385</v>
      </c>
      <c r="AG11" s="2"/>
      <c r="AH11" s="2"/>
      <c r="AI11" s="60"/>
      <c r="AJ11" s="60"/>
      <c r="AK11" s="60"/>
      <c r="AL11" s="60"/>
      <c r="AM11" s="2"/>
      <c r="AN11" s="8"/>
      <c r="AO11" s="2"/>
      <c r="AR11" s="178"/>
      <c r="AW11" s="8"/>
      <c r="AZ11" s="8"/>
      <c r="BC11" s="8"/>
    </row>
    <row r="12" spans="2:55" x14ac:dyDescent="0.3">
      <c r="B12" s="281" t="s">
        <v>325</v>
      </c>
      <c r="C12" s="198">
        <v>12</v>
      </c>
      <c r="D12" s="183">
        <v>17</v>
      </c>
      <c r="E12" s="275">
        <f t="shared" si="3"/>
        <v>1.4166666666666667</v>
      </c>
      <c r="F12" s="184">
        <v>27</v>
      </c>
      <c r="G12" s="183">
        <v>42</v>
      </c>
      <c r="H12" s="275">
        <f t="shared" si="0"/>
        <v>1.5555555555555556</v>
      </c>
      <c r="I12" s="184">
        <v>38</v>
      </c>
      <c r="J12" s="183">
        <v>68</v>
      </c>
      <c r="K12" s="275">
        <f t="shared" si="1"/>
        <v>1.7894736842105263</v>
      </c>
      <c r="L12" s="171">
        <v>52</v>
      </c>
      <c r="M12" s="183">
        <v>99</v>
      </c>
      <c r="N12" s="275">
        <f t="shared" si="2"/>
        <v>1.9038461538461537</v>
      </c>
      <c r="P12" s="232" t="str">
        <f t="shared" si="4"/>
        <v>Sparta</v>
      </c>
      <c r="Q12" s="830">
        <f t="shared" si="5"/>
        <v>1.4166666666666667</v>
      </c>
      <c r="R12" s="827">
        <f t="shared" si="6"/>
        <v>1.5555555555555556</v>
      </c>
      <c r="S12" s="827">
        <f t="shared" si="7"/>
        <v>1.7894736842105263</v>
      </c>
      <c r="T12" s="275">
        <f t="shared" si="8"/>
        <v>1.9038461538461537</v>
      </c>
      <c r="AG12" s="2"/>
      <c r="AH12" s="2"/>
      <c r="AI12" s="60"/>
      <c r="AJ12" s="60"/>
      <c r="AK12" s="60"/>
      <c r="AL12" s="60"/>
      <c r="AM12" s="2"/>
      <c r="AN12" s="178"/>
      <c r="AO12" s="2"/>
      <c r="AR12" s="8"/>
      <c r="AZ12" s="8"/>
      <c r="BC12" s="8"/>
    </row>
    <row r="13" spans="2:55" x14ac:dyDescent="0.3">
      <c r="B13" s="282" t="s">
        <v>818</v>
      </c>
      <c r="C13" s="287">
        <v>13</v>
      </c>
      <c r="D13" s="288">
        <v>9</v>
      </c>
      <c r="E13" s="289">
        <f t="shared" si="3"/>
        <v>0.69230769230769229</v>
      </c>
      <c r="F13" s="237">
        <v>26</v>
      </c>
      <c r="G13" s="288">
        <v>28</v>
      </c>
      <c r="H13" s="289">
        <f>G13/F13</f>
        <v>1.0769230769230769</v>
      </c>
      <c r="I13" s="237">
        <v>39</v>
      </c>
      <c r="J13" s="288">
        <v>47</v>
      </c>
      <c r="K13" s="289">
        <f>J13/I13</f>
        <v>1.2051282051282051</v>
      </c>
      <c r="L13" s="403">
        <v>52</v>
      </c>
      <c r="M13" s="288">
        <v>67</v>
      </c>
      <c r="N13" s="289">
        <f t="shared" si="2"/>
        <v>1.2884615384615385</v>
      </c>
      <c r="P13" s="239" t="str">
        <f t="shared" si="4"/>
        <v>Litvínov</v>
      </c>
      <c r="Q13" s="832">
        <f t="shared" si="5"/>
        <v>0.69230769230769229</v>
      </c>
      <c r="R13" s="833">
        <f t="shared" si="6"/>
        <v>1.0769230769230769</v>
      </c>
      <c r="S13" s="833">
        <f t="shared" si="7"/>
        <v>1.2051282051282051</v>
      </c>
      <c r="T13" s="289">
        <f t="shared" si="8"/>
        <v>1.2884615384615385</v>
      </c>
      <c r="AG13" s="2"/>
      <c r="AH13" s="2"/>
      <c r="AI13" s="60"/>
      <c r="AJ13" s="60"/>
      <c r="AK13" s="60"/>
      <c r="AL13" s="60"/>
      <c r="AM13" s="2"/>
      <c r="AN13" s="178"/>
      <c r="AO13" s="2"/>
      <c r="AR13" s="8"/>
      <c r="AW13" s="182"/>
      <c r="BC13" s="8"/>
    </row>
    <row r="14" spans="2:55" x14ac:dyDescent="0.3">
      <c r="B14" s="281" t="s">
        <v>6076</v>
      </c>
      <c r="C14" s="198">
        <v>12</v>
      </c>
      <c r="D14" s="183">
        <v>19</v>
      </c>
      <c r="E14" s="275">
        <f t="shared" si="3"/>
        <v>1.5833333333333333</v>
      </c>
      <c r="F14" s="184">
        <v>26</v>
      </c>
      <c r="G14" s="183">
        <v>32</v>
      </c>
      <c r="H14" s="275">
        <f t="shared" si="0"/>
        <v>1.2307692307692308</v>
      </c>
      <c r="I14" s="184">
        <v>38</v>
      </c>
      <c r="J14" s="183">
        <v>47</v>
      </c>
      <c r="K14" s="275">
        <f t="shared" si="1"/>
        <v>1.236842105263158</v>
      </c>
      <c r="L14" s="184">
        <v>52</v>
      </c>
      <c r="M14" s="183">
        <v>68</v>
      </c>
      <c r="N14" s="275">
        <f t="shared" si="2"/>
        <v>1.3076923076923077</v>
      </c>
      <c r="P14" s="232" t="str">
        <f t="shared" si="4"/>
        <v>Energie KV</v>
      </c>
      <c r="Q14" s="830">
        <f t="shared" si="5"/>
        <v>1.5833333333333333</v>
      </c>
      <c r="R14" s="827">
        <f t="shared" si="6"/>
        <v>1.2307692307692308</v>
      </c>
      <c r="S14" s="827">
        <f t="shared" si="7"/>
        <v>1.236842105263158</v>
      </c>
      <c r="T14" s="275">
        <f t="shared" si="8"/>
        <v>1.3076923076923077</v>
      </c>
      <c r="AG14" s="2"/>
      <c r="AH14" s="2"/>
      <c r="AI14" s="60"/>
      <c r="AJ14" s="60"/>
      <c r="AK14" s="60"/>
      <c r="AL14" s="60"/>
      <c r="AM14" s="2"/>
      <c r="AN14" s="182"/>
      <c r="AO14" s="2"/>
      <c r="AR14" s="8"/>
      <c r="AW14" s="8"/>
      <c r="AZ14" s="178"/>
      <c r="BC14" s="8"/>
    </row>
    <row r="15" spans="2:55" x14ac:dyDescent="0.3">
      <c r="B15" s="281" t="s">
        <v>332</v>
      </c>
      <c r="C15" s="198">
        <v>13</v>
      </c>
      <c r="D15" s="183">
        <v>13</v>
      </c>
      <c r="E15" s="275">
        <f t="shared" si="3"/>
        <v>1</v>
      </c>
      <c r="F15" s="184">
        <v>26</v>
      </c>
      <c r="G15" s="183">
        <v>28</v>
      </c>
      <c r="H15" s="275">
        <f t="shared" si="0"/>
        <v>1.0769230769230769</v>
      </c>
      <c r="I15" s="184">
        <v>39</v>
      </c>
      <c r="J15" s="183">
        <v>41</v>
      </c>
      <c r="K15" s="275">
        <f t="shared" si="1"/>
        <v>1.0512820512820513</v>
      </c>
      <c r="L15" s="171">
        <v>52</v>
      </c>
      <c r="M15" s="183">
        <v>57</v>
      </c>
      <c r="N15" s="275">
        <f t="shared" si="2"/>
        <v>1.0961538461538463</v>
      </c>
      <c r="P15" s="232" t="str">
        <f t="shared" si="4"/>
        <v>Kladno</v>
      </c>
      <c r="Q15" s="830">
        <f t="shared" si="5"/>
        <v>1</v>
      </c>
      <c r="R15" s="827">
        <f t="shared" si="6"/>
        <v>1.0769230769230769</v>
      </c>
      <c r="S15" s="827">
        <f t="shared" si="7"/>
        <v>1.0512820512820513</v>
      </c>
      <c r="T15" s="275">
        <f t="shared" si="8"/>
        <v>1.0961538461538463</v>
      </c>
      <c r="AG15" s="2"/>
      <c r="AH15" s="2"/>
      <c r="AI15" s="60"/>
      <c r="AJ15" s="60"/>
      <c r="AK15" s="60"/>
      <c r="AL15" s="60"/>
      <c r="AM15" s="2"/>
      <c r="AN15" s="8"/>
      <c r="AO15" s="2"/>
      <c r="AR15" s="8"/>
      <c r="AW15" s="8"/>
      <c r="AZ15" s="8"/>
      <c r="BC15" s="8"/>
    </row>
    <row r="16" spans="2:55" x14ac:dyDescent="0.3">
      <c r="B16" s="281" t="s">
        <v>6091</v>
      </c>
      <c r="C16" s="198">
        <v>13</v>
      </c>
      <c r="D16" s="183">
        <v>14</v>
      </c>
      <c r="E16" s="275">
        <f t="shared" si="3"/>
        <v>1.0769230769230769</v>
      </c>
      <c r="F16" s="184">
        <v>25</v>
      </c>
      <c r="G16" s="183">
        <v>28</v>
      </c>
      <c r="H16" s="275">
        <f t="shared" si="0"/>
        <v>1.1200000000000001</v>
      </c>
      <c r="I16" s="184">
        <v>39</v>
      </c>
      <c r="J16" s="183">
        <v>45</v>
      </c>
      <c r="K16" s="275">
        <f t="shared" si="1"/>
        <v>1.1538461538461537</v>
      </c>
      <c r="L16" s="171">
        <v>52</v>
      </c>
      <c r="M16" s="183">
        <v>61</v>
      </c>
      <c r="N16" s="275">
        <f t="shared" si="2"/>
        <v>1.1730769230769231</v>
      </c>
      <c r="P16" s="232" t="str">
        <f t="shared" si="4"/>
        <v>Motor ČB</v>
      </c>
      <c r="Q16" s="830">
        <f t="shared" si="5"/>
        <v>1.0769230769230769</v>
      </c>
      <c r="R16" s="827">
        <f t="shared" si="6"/>
        <v>1.1200000000000001</v>
      </c>
      <c r="S16" s="827">
        <f t="shared" si="7"/>
        <v>1.1538461538461537</v>
      </c>
      <c r="T16" s="275">
        <f t="shared" si="8"/>
        <v>1.1730769230769231</v>
      </c>
      <c r="AG16" s="2"/>
      <c r="AH16" s="2"/>
      <c r="AI16" s="60"/>
      <c r="AJ16" s="60"/>
      <c r="AK16" s="60"/>
      <c r="AL16" s="60"/>
      <c r="AM16" s="2"/>
      <c r="AN16" s="178"/>
      <c r="AO16" s="2"/>
      <c r="AR16" s="8"/>
      <c r="AW16" s="182"/>
      <c r="AZ16" s="8"/>
      <c r="BC16" s="8"/>
    </row>
    <row r="17" spans="2:55" ht="15" thickBot="1" x14ac:dyDescent="0.35">
      <c r="B17" s="283" t="s">
        <v>327</v>
      </c>
      <c r="C17" s="199">
        <v>13</v>
      </c>
      <c r="D17" s="200">
        <v>26</v>
      </c>
      <c r="E17" s="276">
        <f t="shared" si="3"/>
        <v>2</v>
      </c>
      <c r="F17" s="235">
        <v>26</v>
      </c>
      <c r="G17" s="200">
        <v>57</v>
      </c>
      <c r="H17" s="276">
        <f t="shared" si="0"/>
        <v>2.1923076923076925</v>
      </c>
      <c r="I17" s="235">
        <v>39</v>
      </c>
      <c r="J17" s="200">
        <v>86</v>
      </c>
      <c r="K17" s="276">
        <f t="shared" si="1"/>
        <v>2.2051282051282053</v>
      </c>
      <c r="L17" s="235">
        <v>52</v>
      </c>
      <c r="M17" s="200">
        <v>108</v>
      </c>
      <c r="N17" s="276">
        <f t="shared" si="2"/>
        <v>2.0769230769230771</v>
      </c>
      <c r="P17" s="233" t="str">
        <f t="shared" si="4"/>
        <v>Pardubice</v>
      </c>
      <c r="Q17" s="831">
        <f>E17</f>
        <v>2</v>
      </c>
      <c r="R17" s="829">
        <f>H17</f>
        <v>2.1923076923076925</v>
      </c>
      <c r="S17" s="829">
        <f>K17</f>
        <v>2.2051282051282053</v>
      </c>
      <c r="T17" s="276">
        <f>N17</f>
        <v>2.0769230769230771</v>
      </c>
      <c r="AG17" s="2"/>
      <c r="AH17" s="2"/>
      <c r="AI17" s="60"/>
      <c r="AJ17" s="60"/>
      <c r="AK17" s="60"/>
      <c r="AL17" s="60"/>
      <c r="AM17" s="2"/>
      <c r="AN17" s="178"/>
      <c r="AO17" s="2"/>
      <c r="AR17" s="8"/>
      <c r="AW17" s="178"/>
      <c r="AZ17" s="8"/>
      <c r="BC17" s="8"/>
    </row>
    <row r="18" spans="2:55" ht="15" thickBot="1" x14ac:dyDescent="0.35">
      <c r="AG18" s="2"/>
      <c r="AH18" s="2"/>
      <c r="AI18" s="60"/>
      <c r="AJ18" s="60"/>
      <c r="AK18" s="60"/>
      <c r="AL18" s="60"/>
      <c r="AM18" s="2"/>
      <c r="AN18" s="8"/>
      <c r="AO18" s="2"/>
      <c r="AR18" s="8"/>
    </row>
    <row r="19" spans="2:55" ht="15" thickBot="1" x14ac:dyDescent="0.35">
      <c r="B19" s="291"/>
      <c r="C19" s="292"/>
      <c r="D19" s="292"/>
      <c r="E19" s="292"/>
      <c r="F19" s="292"/>
      <c r="G19" s="292"/>
      <c r="H19" s="292"/>
      <c r="I19" s="292"/>
      <c r="J19" s="292"/>
      <c r="K19" s="292"/>
      <c r="L19" s="292"/>
      <c r="M19" s="292"/>
      <c r="N19" s="293"/>
      <c r="AG19" s="2"/>
      <c r="AH19" s="2"/>
      <c r="AI19" s="60"/>
      <c r="AJ19" s="60"/>
      <c r="AK19" s="60"/>
      <c r="AL19" s="60"/>
      <c r="AM19" s="2"/>
      <c r="AN19" s="8"/>
      <c r="AO19" s="2"/>
      <c r="AR19" s="8"/>
    </row>
    <row r="20" spans="2:55" ht="15" thickBot="1" x14ac:dyDescent="0.35">
      <c r="AG20" s="2"/>
      <c r="AH20" s="2"/>
      <c r="AI20" s="60"/>
      <c r="AJ20" s="60"/>
      <c r="AK20" s="60"/>
      <c r="AL20" s="60"/>
      <c r="AM20" s="2"/>
      <c r="AN20" s="8"/>
      <c r="AO20" s="2"/>
      <c r="AR20" s="8"/>
    </row>
    <row r="21" spans="2:55" x14ac:dyDescent="0.3">
      <c r="B21" s="303"/>
      <c r="C21" s="1142" t="s">
        <v>4741</v>
      </c>
      <c r="D21" s="1143"/>
      <c r="E21" s="1144"/>
      <c r="F21" s="1145" t="s">
        <v>5044</v>
      </c>
      <c r="G21" s="1143"/>
      <c r="H21" s="1144"/>
      <c r="I21" s="1142" t="s">
        <v>5157</v>
      </c>
      <c r="J21" s="1143"/>
      <c r="K21" s="1144"/>
      <c r="L21" s="1142" t="s">
        <v>5158</v>
      </c>
      <c r="M21" s="1143"/>
      <c r="N21" s="1144"/>
      <c r="P21" s="231"/>
      <c r="Q21" s="826" t="s">
        <v>4180</v>
      </c>
      <c r="R21" s="824" t="s">
        <v>4181</v>
      </c>
      <c r="S21" s="824" t="s">
        <v>4182</v>
      </c>
      <c r="T21" s="825" t="s">
        <v>4183</v>
      </c>
      <c r="AG21" s="2"/>
      <c r="AH21" s="2"/>
      <c r="AI21" s="60"/>
      <c r="AJ21" s="60"/>
      <c r="AK21" s="60"/>
      <c r="AL21" s="60"/>
      <c r="AM21" s="2"/>
      <c r="AN21" s="8"/>
      <c r="AO21" s="2"/>
      <c r="AR21" s="272"/>
    </row>
    <row r="22" spans="2:55" ht="15" thickBot="1" x14ac:dyDescent="0.35">
      <c r="B22" s="304"/>
      <c r="C22" s="199" t="s">
        <v>999</v>
      </c>
      <c r="D22" s="200" t="s">
        <v>796</v>
      </c>
      <c r="E22" s="404" t="s">
        <v>1000</v>
      </c>
      <c r="F22" s="199" t="s">
        <v>999</v>
      </c>
      <c r="G22" s="200" t="s">
        <v>796</v>
      </c>
      <c r="H22" s="404" t="s">
        <v>1000</v>
      </c>
      <c r="I22" s="199" t="s">
        <v>999</v>
      </c>
      <c r="J22" s="200" t="s">
        <v>796</v>
      </c>
      <c r="K22" s="408" t="s">
        <v>1000</v>
      </c>
      <c r="L22" s="199" t="s">
        <v>999</v>
      </c>
      <c r="M22" s="200" t="s">
        <v>796</v>
      </c>
      <c r="N22" s="408" t="s">
        <v>1000</v>
      </c>
      <c r="P22" s="232"/>
      <c r="Q22" s="184" t="s">
        <v>5163</v>
      </c>
      <c r="R22" s="183" t="s">
        <v>5163</v>
      </c>
      <c r="S22" s="183" t="s">
        <v>5163</v>
      </c>
      <c r="T22" s="828" t="s">
        <v>5163</v>
      </c>
      <c r="AG22" s="2"/>
      <c r="AH22" s="2"/>
      <c r="AI22" s="60"/>
      <c r="AJ22" s="60"/>
      <c r="AK22" s="60"/>
      <c r="AL22" s="60"/>
      <c r="AM22" s="2"/>
      <c r="AN22" s="8"/>
      <c r="AO22" s="2"/>
      <c r="AR22" s="8"/>
    </row>
    <row r="23" spans="2:55" x14ac:dyDescent="0.3">
      <c r="B23" s="280" t="s">
        <v>610</v>
      </c>
      <c r="C23" s="277">
        <f>C4</f>
        <v>12</v>
      </c>
      <c r="D23" s="278">
        <f>D4</f>
        <v>19</v>
      </c>
      <c r="E23" s="405">
        <f t="shared" ref="E23:E36" si="9">D23/C23</f>
        <v>1.5833333333333333</v>
      </c>
      <c r="F23" s="277">
        <f t="shared" ref="F23:F36" si="10">F4-C4</f>
        <v>14</v>
      </c>
      <c r="G23" s="278">
        <f t="shared" ref="G23:G36" si="11">G4-D4</f>
        <v>16</v>
      </c>
      <c r="H23" s="405">
        <f t="shared" ref="H23:H36" si="12">G23/F23</f>
        <v>1.1428571428571428</v>
      </c>
      <c r="I23" s="277">
        <f t="shared" ref="I23:I36" si="13">I4-F4</f>
        <v>13</v>
      </c>
      <c r="J23" s="278">
        <f t="shared" ref="J23:J36" si="14">J4-G4</f>
        <v>23</v>
      </c>
      <c r="K23" s="405">
        <f t="shared" ref="K23:K36" si="15">J23/I23</f>
        <v>1.7692307692307692</v>
      </c>
      <c r="L23" s="277">
        <f t="shared" ref="L23:L36" si="16">L4-I4</f>
        <v>13</v>
      </c>
      <c r="M23" s="278">
        <f t="shared" ref="M23:M36" si="17">M4-J4</f>
        <v>29</v>
      </c>
      <c r="N23" s="405">
        <f t="shared" ref="N23:N36" si="18">M23/L23</f>
        <v>2.2307692307692308</v>
      </c>
      <c r="P23" s="232" t="str">
        <f t="shared" ref="P23:P36" si="19">B23</f>
        <v>Liberec</v>
      </c>
      <c r="Q23" s="830">
        <f>E23</f>
        <v>1.5833333333333333</v>
      </c>
      <c r="R23" s="827">
        <f>H23</f>
        <v>1.1428571428571428</v>
      </c>
      <c r="S23" s="827">
        <f>K23</f>
        <v>1.7692307692307692</v>
      </c>
      <c r="T23" s="275">
        <f>N23</f>
        <v>2.2307692307692308</v>
      </c>
      <c r="AG23" s="2"/>
      <c r="AH23" s="2"/>
      <c r="AI23" s="60"/>
      <c r="AJ23" s="60"/>
      <c r="AK23" s="60"/>
      <c r="AL23" s="60"/>
      <c r="AM23" s="2"/>
      <c r="AN23" s="8"/>
      <c r="AO23" s="2"/>
      <c r="AR23" s="8"/>
    </row>
    <row r="24" spans="2:55" x14ac:dyDescent="0.3">
      <c r="B24" s="281" t="s">
        <v>334</v>
      </c>
      <c r="C24" s="277">
        <f t="shared" ref="C24:D24" si="20">C5</f>
        <v>11</v>
      </c>
      <c r="D24" s="278">
        <f t="shared" si="20"/>
        <v>19</v>
      </c>
      <c r="E24" s="406">
        <f t="shared" si="9"/>
        <v>1.7272727272727273</v>
      </c>
      <c r="F24" s="277">
        <f t="shared" si="10"/>
        <v>14</v>
      </c>
      <c r="G24" s="278">
        <f t="shared" si="11"/>
        <v>22</v>
      </c>
      <c r="H24" s="406">
        <f t="shared" si="12"/>
        <v>1.5714285714285714</v>
      </c>
      <c r="I24" s="277">
        <f t="shared" si="13"/>
        <v>13</v>
      </c>
      <c r="J24" s="278">
        <f t="shared" si="14"/>
        <v>26</v>
      </c>
      <c r="K24" s="406">
        <f t="shared" si="15"/>
        <v>2</v>
      </c>
      <c r="L24" s="277">
        <f t="shared" si="16"/>
        <v>14</v>
      </c>
      <c r="M24" s="278">
        <f t="shared" si="17"/>
        <v>13</v>
      </c>
      <c r="N24" s="406">
        <f t="shared" si="18"/>
        <v>0.9285714285714286</v>
      </c>
      <c r="P24" s="232" t="str">
        <f t="shared" si="19"/>
        <v>Třinec</v>
      </c>
      <c r="Q24" s="830">
        <f t="shared" ref="Q24:Q35" si="21">E24</f>
        <v>1.7272727272727273</v>
      </c>
      <c r="R24" s="827">
        <f t="shared" ref="R24:R35" si="22">H24</f>
        <v>1.5714285714285714</v>
      </c>
      <c r="S24" s="827">
        <f t="shared" ref="S24:S35" si="23">K24</f>
        <v>2</v>
      </c>
      <c r="T24" s="275">
        <f>N24</f>
        <v>0.9285714285714286</v>
      </c>
      <c r="AG24" s="2"/>
      <c r="AH24" s="2"/>
      <c r="AI24" s="60"/>
      <c r="AJ24" s="60"/>
      <c r="AK24" s="60"/>
      <c r="AL24" s="60"/>
      <c r="AM24" s="2"/>
      <c r="AN24" s="8"/>
      <c r="AO24" s="2"/>
      <c r="AR24" s="8"/>
    </row>
    <row r="25" spans="2:55" x14ac:dyDescent="0.3">
      <c r="B25" s="281" t="s">
        <v>331</v>
      </c>
      <c r="C25" s="277">
        <f t="shared" ref="C25:D25" si="24">C6</f>
        <v>13</v>
      </c>
      <c r="D25" s="278">
        <f t="shared" si="24"/>
        <v>14</v>
      </c>
      <c r="E25" s="406">
        <f t="shared" si="9"/>
        <v>1.0769230769230769</v>
      </c>
      <c r="F25" s="277">
        <f t="shared" si="10"/>
        <v>13</v>
      </c>
      <c r="G25" s="278">
        <f t="shared" si="11"/>
        <v>27</v>
      </c>
      <c r="H25" s="406">
        <f t="shared" si="12"/>
        <v>2.0769230769230771</v>
      </c>
      <c r="I25" s="277">
        <f t="shared" si="13"/>
        <v>14</v>
      </c>
      <c r="J25" s="278">
        <f t="shared" si="14"/>
        <v>21</v>
      </c>
      <c r="K25" s="406">
        <f t="shared" si="15"/>
        <v>1.5</v>
      </c>
      <c r="L25" s="277">
        <f t="shared" si="16"/>
        <v>12</v>
      </c>
      <c r="M25" s="278">
        <f t="shared" si="17"/>
        <v>3</v>
      </c>
      <c r="N25" s="406">
        <f t="shared" si="18"/>
        <v>0.25</v>
      </c>
      <c r="P25" s="232" t="str">
        <f t="shared" si="19"/>
        <v>Plzeň</v>
      </c>
      <c r="Q25" s="830">
        <f t="shared" si="21"/>
        <v>1.0769230769230769</v>
      </c>
      <c r="R25" s="827">
        <f t="shared" si="22"/>
        <v>2.0769230769230771</v>
      </c>
      <c r="S25" s="827">
        <f t="shared" si="23"/>
        <v>1.5</v>
      </c>
      <c r="T25" s="275">
        <f>N25</f>
        <v>0.25</v>
      </c>
      <c r="AG25" s="2"/>
      <c r="AH25" s="2"/>
      <c r="AI25" s="60"/>
      <c r="AJ25" s="60"/>
      <c r="AK25" s="60"/>
      <c r="AL25" s="60"/>
      <c r="AM25" s="2"/>
      <c r="AN25" s="272"/>
      <c r="AO25" s="2"/>
      <c r="AR25" s="8"/>
    </row>
    <row r="26" spans="2:55" x14ac:dyDescent="0.3">
      <c r="B26" s="281" t="s">
        <v>1274</v>
      </c>
      <c r="C26" s="277">
        <f t="shared" ref="C26:D26" si="25">C7</f>
        <v>12</v>
      </c>
      <c r="D26" s="278">
        <f t="shared" si="25"/>
        <v>18</v>
      </c>
      <c r="E26" s="406">
        <f t="shared" si="9"/>
        <v>1.5</v>
      </c>
      <c r="F26" s="277">
        <f t="shared" si="10"/>
        <v>13</v>
      </c>
      <c r="G26" s="278">
        <f t="shared" si="11"/>
        <v>14</v>
      </c>
      <c r="H26" s="406">
        <f t="shared" si="12"/>
        <v>1.0769230769230769</v>
      </c>
      <c r="I26" s="277">
        <f t="shared" si="13"/>
        <v>13</v>
      </c>
      <c r="J26" s="278">
        <f t="shared" si="14"/>
        <v>22</v>
      </c>
      <c r="K26" s="406">
        <f t="shared" si="15"/>
        <v>1.6923076923076923</v>
      </c>
      <c r="L26" s="277">
        <f t="shared" si="16"/>
        <v>14</v>
      </c>
      <c r="M26" s="278">
        <f t="shared" si="17"/>
        <v>34</v>
      </c>
      <c r="N26" s="406">
        <f t="shared" si="18"/>
        <v>2.4285714285714284</v>
      </c>
      <c r="P26" s="232" t="str">
        <f t="shared" si="19"/>
        <v>Mountfield HK</v>
      </c>
      <c r="Q26" s="830">
        <f t="shared" si="21"/>
        <v>1.5</v>
      </c>
      <c r="R26" s="827">
        <f t="shared" si="22"/>
        <v>1.0769230769230769</v>
      </c>
      <c r="S26" s="827">
        <f t="shared" si="23"/>
        <v>1.6923076923076923</v>
      </c>
      <c r="T26" s="275">
        <f t="shared" ref="T26:T35" si="26">N26</f>
        <v>2.4285714285714284</v>
      </c>
      <c r="AG26" s="2"/>
      <c r="AH26" s="2"/>
      <c r="AI26" s="60"/>
      <c r="AJ26" s="60"/>
      <c r="AK26" s="60"/>
      <c r="AL26" s="60"/>
      <c r="AM26" s="2"/>
      <c r="AN26" s="8"/>
      <c r="AO26" s="2"/>
      <c r="AR26" s="8"/>
    </row>
    <row r="27" spans="2:55" x14ac:dyDescent="0.3">
      <c r="B27" s="281" t="s">
        <v>6179</v>
      </c>
      <c r="C27" s="277">
        <f t="shared" ref="C27:D27" si="27">C8</f>
        <v>13</v>
      </c>
      <c r="D27" s="278">
        <f t="shared" si="27"/>
        <v>24</v>
      </c>
      <c r="E27" s="406">
        <f t="shared" si="9"/>
        <v>1.8461538461538463</v>
      </c>
      <c r="F27" s="277">
        <f t="shared" si="10"/>
        <v>12</v>
      </c>
      <c r="G27" s="278">
        <f t="shared" si="11"/>
        <v>14</v>
      </c>
      <c r="H27" s="406">
        <f t="shared" si="12"/>
        <v>1.1666666666666667</v>
      </c>
      <c r="I27" s="277">
        <f t="shared" si="13"/>
        <v>14</v>
      </c>
      <c r="J27" s="278">
        <f t="shared" si="14"/>
        <v>9</v>
      </c>
      <c r="K27" s="406">
        <f t="shared" si="15"/>
        <v>0.6428571428571429</v>
      </c>
      <c r="L27" s="277">
        <f t="shared" si="16"/>
        <v>13</v>
      </c>
      <c r="M27" s="278">
        <f t="shared" si="17"/>
        <v>25</v>
      </c>
      <c r="N27" s="406">
        <f t="shared" si="18"/>
        <v>1.9230769230769231</v>
      </c>
      <c r="P27" s="232" t="str">
        <f t="shared" si="19"/>
        <v>Kometa Brno</v>
      </c>
      <c r="Q27" s="830">
        <f t="shared" si="21"/>
        <v>1.8461538461538463</v>
      </c>
      <c r="R27" s="827">
        <f t="shared" si="22"/>
        <v>1.1666666666666667</v>
      </c>
      <c r="S27" s="827">
        <f t="shared" si="23"/>
        <v>0.6428571428571429</v>
      </c>
      <c r="T27" s="275">
        <f>N27</f>
        <v>1.9230769230769231</v>
      </c>
      <c r="AG27" s="2"/>
      <c r="AH27" s="2"/>
      <c r="AI27" s="2"/>
      <c r="AJ27" s="60"/>
      <c r="AK27" s="60"/>
      <c r="AL27" s="60"/>
      <c r="AM27" s="2"/>
      <c r="AN27" s="8"/>
      <c r="AO27" s="2"/>
      <c r="AR27" s="8"/>
    </row>
    <row r="28" spans="2:55" x14ac:dyDescent="0.3">
      <c r="B28" s="281" t="s">
        <v>626</v>
      </c>
      <c r="C28" s="277">
        <f t="shared" ref="C28:D28" si="28">C9</f>
        <v>11</v>
      </c>
      <c r="D28" s="278">
        <f t="shared" si="28"/>
        <v>22</v>
      </c>
      <c r="E28" s="406">
        <f t="shared" si="9"/>
        <v>2</v>
      </c>
      <c r="F28" s="277">
        <f t="shared" si="10"/>
        <v>15</v>
      </c>
      <c r="G28" s="278">
        <f t="shared" si="11"/>
        <v>24</v>
      </c>
      <c r="H28" s="406">
        <f t="shared" si="12"/>
        <v>1.6</v>
      </c>
      <c r="I28" s="277">
        <f t="shared" si="13"/>
        <v>13</v>
      </c>
      <c r="J28" s="278">
        <f t="shared" si="14"/>
        <v>15</v>
      </c>
      <c r="K28" s="406">
        <f>J28/I28</f>
        <v>1.1538461538461537</v>
      </c>
      <c r="L28" s="277">
        <f t="shared" si="16"/>
        <v>13</v>
      </c>
      <c r="M28" s="278">
        <f t="shared" si="17"/>
        <v>10</v>
      </c>
      <c r="N28" s="406">
        <f t="shared" si="18"/>
        <v>0.76923076923076927</v>
      </c>
      <c r="P28" s="232" t="str">
        <f t="shared" si="19"/>
        <v>Olomouc</v>
      </c>
      <c r="Q28" s="830">
        <f t="shared" si="21"/>
        <v>2</v>
      </c>
      <c r="R28" s="827">
        <f t="shared" si="22"/>
        <v>1.6</v>
      </c>
      <c r="S28" s="827">
        <f t="shared" si="23"/>
        <v>1.1538461538461537</v>
      </c>
      <c r="T28" s="275">
        <f t="shared" si="26"/>
        <v>0.76923076923076927</v>
      </c>
      <c r="AG28" s="2"/>
      <c r="AH28" s="2"/>
      <c r="AI28" s="60"/>
      <c r="AJ28" s="60"/>
      <c r="AK28" s="60"/>
      <c r="AL28" s="60"/>
      <c r="AM28" s="2"/>
      <c r="AN28" s="178"/>
      <c r="AO28" s="2"/>
      <c r="AR28" s="8"/>
    </row>
    <row r="29" spans="2:55" x14ac:dyDescent="0.3">
      <c r="B29" s="281" t="s">
        <v>328</v>
      </c>
      <c r="C29" s="277">
        <f t="shared" ref="C29:D29" si="29">C10</f>
        <v>13</v>
      </c>
      <c r="D29" s="278">
        <f t="shared" si="29"/>
        <v>25</v>
      </c>
      <c r="E29" s="406">
        <f t="shared" si="9"/>
        <v>1.9230769230769231</v>
      </c>
      <c r="F29" s="277">
        <f t="shared" si="10"/>
        <v>13</v>
      </c>
      <c r="G29" s="278">
        <f t="shared" si="11"/>
        <v>31</v>
      </c>
      <c r="H29" s="406">
        <f t="shared" si="12"/>
        <v>2.3846153846153846</v>
      </c>
      <c r="I29" s="277">
        <f t="shared" si="13"/>
        <v>14</v>
      </c>
      <c r="J29" s="278">
        <f t="shared" si="14"/>
        <v>26</v>
      </c>
      <c r="K29" s="406">
        <f t="shared" si="15"/>
        <v>1.8571428571428572</v>
      </c>
      <c r="L29" s="277">
        <f t="shared" si="16"/>
        <v>12</v>
      </c>
      <c r="M29" s="278">
        <f t="shared" si="17"/>
        <v>20</v>
      </c>
      <c r="N29" s="406">
        <f t="shared" si="18"/>
        <v>1.6666666666666667</v>
      </c>
      <c r="P29" s="232" t="str">
        <f t="shared" si="19"/>
        <v>Vítkovice</v>
      </c>
      <c r="Q29" s="830">
        <f t="shared" si="21"/>
        <v>1.9230769230769231</v>
      </c>
      <c r="R29" s="827">
        <f t="shared" si="22"/>
        <v>2.3846153846153846</v>
      </c>
      <c r="S29" s="827">
        <f t="shared" si="23"/>
        <v>1.8571428571428572</v>
      </c>
      <c r="T29" s="275">
        <f t="shared" si="26"/>
        <v>1.6666666666666667</v>
      </c>
      <c r="AG29" s="2"/>
      <c r="AH29" s="2"/>
      <c r="AI29" s="60"/>
      <c r="AJ29" s="60"/>
      <c r="AK29" s="60"/>
      <c r="AL29" s="60"/>
      <c r="AM29" s="2"/>
      <c r="AN29" s="8"/>
      <c r="AO29" s="2"/>
      <c r="AR29" s="8"/>
    </row>
    <row r="30" spans="2:55" x14ac:dyDescent="0.3">
      <c r="B30" s="281" t="s">
        <v>6086</v>
      </c>
      <c r="C30" s="277">
        <f t="shared" ref="C30:D30" si="30">C11</f>
        <v>13</v>
      </c>
      <c r="D30" s="278">
        <f t="shared" si="30"/>
        <v>22</v>
      </c>
      <c r="E30" s="406">
        <f t="shared" si="9"/>
        <v>1.6923076923076923</v>
      </c>
      <c r="F30" s="277">
        <f t="shared" si="10"/>
        <v>12</v>
      </c>
      <c r="G30" s="278">
        <f t="shared" si="11"/>
        <v>14</v>
      </c>
      <c r="H30" s="406">
        <f t="shared" si="12"/>
        <v>1.1666666666666667</v>
      </c>
      <c r="I30" s="277">
        <f t="shared" si="13"/>
        <v>14</v>
      </c>
      <c r="J30" s="278">
        <f t="shared" si="14"/>
        <v>15</v>
      </c>
      <c r="K30" s="406">
        <f t="shared" si="15"/>
        <v>1.0714285714285714</v>
      </c>
      <c r="L30" s="277">
        <f t="shared" si="16"/>
        <v>13</v>
      </c>
      <c r="M30" s="278">
        <f t="shared" si="17"/>
        <v>16</v>
      </c>
      <c r="N30" s="406">
        <f t="shared" si="18"/>
        <v>1.2307692307692308</v>
      </c>
      <c r="P30" s="232" t="str">
        <f t="shared" si="19"/>
        <v>Ml.Boleslav</v>
      </c>
      <c r="Q30" s="830">
        <f t="shared" si="21"/>
        <v>1.6923076923076923</v>
      </c>
      <c r="R30" s="827">
        <f t="shared" si="22"/>
        <v>1.1666666666666667</v>
      </c>
      <c r="S30" s="827">
        <f t="shared" si="23"/>
        <v>1.0714285714285714</v>
      </c>
      <c r="T30" s="275">
        <f t="shared" si="26"/>
        <v>1.2307692307692308</v>
      </c>
      <c r="AG30" s="2"/>
      <c r="AH30" s="2"/>
      <c r="AI30" s="60"/>
      <c r="AJ30" s="60"/>
      <c r="AK30" s="60"/>
      <c r="AL30" s="60"/>
      <c r="AM30" s="2"/>
      <c r="AN30" s="8"/>
      <c r="AO30" s="2"/>
      <c r="AR30" s="8"/>
    </row>
    <row r="31" spans="2:55" x14ac:dyDescent="0.3">
      <c r="B31" s="281" t="s">
        <v>325</v>
      </c>
      <c r="C31" s="277">
        <f t="shared" ref="C31:D31" si="31">C12</f>
        <v>12</v>
      </c>
      <c r="D31" s="278">
        <f t="shared" si="31"/>
        <v>17</v>
      </c>
      <c r="E31" s="406">
        <f t="shared" si="9"/>
        <v>1.4166666666666667</v>
      </c>
      <c r="F31" s="277">
        <f t="shared" si="10"/>
        <v>15</v>
      </c>
      <c r="G31" s="278">
        <f t="shared" si="11"/>
        <v>25</v>
      </c>
      <c r="H31" s="406">
        <f t="shared" si="12"/>
        <v>1.6666666666666667</v>
      </c>
      <c r="I31" s="277">
        <f t="shared" si="13"/>
        <v>11</v>
      </c>
      <c r="J31" s="278">
        <f t="shared" si="14"/>
        <v>26</v>
      </c>
      <c r="K31" s="406">
        <f t="shared" si="15"/>
        <v>2.3636363636363638</v>
      </c>
      <c r="L31" s="277">
        <f t="shared" si="16"/>
        <v>14</v>
      </c>
      <c r="M31" s="278">
        <f t="shared" si="17"/>
        <v>31</v>
      </c>
      <c r="N31" s="406">
        <f>M31/L31</f>
        <v>2.2142857142857144</v>
      </c>
      <c r="P31" s="232" t="str">
        <f t="shared" si="19"/>
        <v>Sparta</v>
      </c>
      <c r="Q31" s="830">
        <f t="shared" si="21"/>
        <v>1.4166666666666667</v>
      </c>
      <c r="R31" s="827">
        <f t="shared" si="22"/>
        <v>1.6666666666666667</v>
      </c>
      <c r="S31" s="827">
        <f t="shared" si="23"/>
        <v>2.3636363636363638</v>
      </c>
      <c r="T31" s="275">
        <f t="shared" si="26"/>
        <v>2.2142857142857144</v>
      </c>
      <c r="AG31" s="2"/>
      <c r="AH31" s="2"/>
      <c r="AI31" s="60"/>
      <c r="AJ31" s="60"/>
      <c r="AK31" s="60"/>
      <c r="AL31" s="60"/>
      <c r="AM31" s="2"/>
      <c r="AN31" s="178"/>
      <c r="AO31" s="2"/>
      <c r="AR31" s="8"/>
    </row>
    <row r="32" spans="2:55" x14ac:dyDescent="0.3">
      <c r="B32" s="282" t="s">
        <v>818</v>
      </c>
      <c r="C32" s="401">
        <f t="shared" ref="C32:D32" si="32">C13</f>
        <v>13</v>
      </c>
      <c r="D32" s="402">
        <f t="shared" si="32"/>
        <v>9</v>
      </c>
      <c r="E32" s="289">
        <f t="shared" si="9"/>
        <v>0.69230769230769229</v>
      </c>
      <c r="F32" s="401">
        <f t="shared" si="10"/>
        <v>13</v>
      </c>
      <c r="G32" s="402">
        <f t="shared" si="11"/>
        <v>19</v>
      </c>
      <c r="H32" s="289">
        <f>G32/F32</f>
        <v>1.4615384615384615</v>
      </c>
      <c r="I32" s="401">
        <f t="shared" si="13"/>
        <v>13</v>
      </c>
      <c r="J32" s="402">
        <f t="shared" si="14"/>
        <v>19</v>
      </c>
      <c r="K32" s="289">
        <f>J32/I32</f>
        <v>1.4615384615384615</v>
      </c>
      <c r="L32" s="401">
        <f t="shared" si="16"/>
        <v>13</v>
      </c>
      <c r="M32" s="402">
        <f t="shared" si="17"/>
        <v>20</v>
      </c>
      <c r="N32" s="289">
        <f t="shared" si="18"/>
        <v>1.5384615384615385</v>
      </c>
      <c r="P32" s="239" t="str">
        <f t="shared" si="19"/>
        <v>Litvínov</v>
      </c>
      <c r="Q32" s="832">
        <f t="shared" si="21"/>
        <v>0.69230769230769229</v>
      </c>
      <c r="R32" s="833">
        <f t="shared" si="22"/>
        <v>1.4615384615384615</v>
      </c>
      <c r="S32" s="833">
        <f t="shared" si="23"/>
        <v>1.4615384615384615</v>
      </c>
      <c r="T32" s="289">
        <f t="shared" si="26"/>
        <v>1.5384615384615385</v>
      </c>
      <c r="AG32" s="2"/>
      <c r="AH32" s="2"/>
      <c r="AI32" s="60"/>
      <c r="AJ32" s="60"/>
      <c r="AK32" s="60"/>
      <c r="AL32" s="60"/>
      <c r="AM32" s="2"/>
      <c r="AN32" s="8"/>
      <c r="AO32" s="2"/>
      <c r="AR32" s="8"/>
    </row>
    <row r="33" spans="2:44" x14ac:dyDescent="0.3">
      <c r="B33" s="281" t="s">
        <v>6076</v>
      </c>
      <c r="C33" s="277">
        <f t="shared" ref="C33:D33" si="33">C14</f>
        <v>12</v>
      </c>
      <c r="D33" s="278">
        <f t="shared" si="33"/>
        <v>19</v>
      </c>
      <c r="E33" s="406">
        <f t="shared" si="9"/>
        <v>1.5833333333333333</v>
      </c>
      <c r="F33" s="277">
        <f t="shared" si="10"/>
        <v>14</v>
      </c>
      <c r="G33" s="278">
        <f t="shared" si="11"/>
        <v>13</v>
      </c>
      <c r="H33" s="406">
        <f t="shared" si="12"/>
        <v>0.9285714285714286</v>
      </c>
      <c r="I33" s="277">
        <f t="shared" si="13"/>
        <v>12</v>
      </c>
      <c r="J33" s="278">
        <f t="shared" si="14"/>
        <v>15</v>
      </c>
      <c r="K33" s="406">
        <f t="shared" si="15"/>
        <v>1.25</v>
      </c>
      <c r="L33" s="277">
        <f t="shared" si="16"/>
        <v>14</v>
      </c>
      <c r="M33" s="278">
        <f t="shared" si="17"/>
        <v>21</v>
      </c>
      <c r="N33" s="406">
        <f t="shared" si="18"/>
        <v>1.5</v>
      </c>
      <c r="P33" s="232" t="str">
        <f t="shared" si="19"/>
        <v>Energie KV</v>
      </c>
      <c r="Q33" s="830">
        <f t="shared" si="21"/>
        <v>1.5833333333333333</v>
      </c>
      <c r="R33" s="827">
        <f t="shared" si="22"/>
        <v>0.9285714285714286</v>
      </c>
      <c r="S33" s="827">
        <f t="shared" si="23"/>
        <v>1.25</v>
      </c>
      <c r="T33" s="275">
        <f t="shared" si="26"/>
        <v>1.5</v>
      </c>
      <c r="AG33" s="2"/>
      <c r="AH33" s="2"/>
      <c r="AI33" s="60"/>
      <c r="AJ33" s="60"/>
      <c r="AK33" s="60"/>
      <c r="AL33" s="60"/>
      <c r="AM33" s="2"/>
      <c r="AN33" s="8"/>
      <c r="AO33" s="2"/>
      <c r="AR33" s="8"/>
    </row>
    <row r="34" spans="2:44" x14ac:dyDescent="0.3">
      <c r="B34" s="281" t="s">
        <v>332</v>
      </c>
      <c r="C34" s="277">
        <f t="shared" ref="C34:D34" si="34">C15</f>
        <v>13</v>
      </c>
      <c r="D34" s="278">
        <f t="shared" si="34"/>
        <v>13</v>
      </c>
      <c r="E34" s="406">
        <f t="shared" si="9"/>
        <v>1</v>
      </c>
      <c r="F34" s="277">
        <f t="shared" si="10"/>
        <v>13</v>
      </c>
      <c r="G34" s="278">
        <f t="shared" si="11"/>
        <v>15</v>
      </c>
      <c r="H34" s="406">
        <f t="shared" si="12"/>
        <v>1.1538461538461537</v>
      </c>
      <c r="I34" s="277">
        <f t="shared" si="13"/>
        <v>13</v>
      </c>
      <c r="J34" s="278">
        <f t="shared" si="14"/>
        <v>13</v>
      </c>
      <c r="K34" s="406">
        <f t="shared" si="15"/>
        <v>1</v>
      </c>
      <c r="L34" s="277">
        <f t="shared" si="16"/>
        <v>13</v>
      </c>
      <c r="M34" s="278">
        <f t="shared" si="17"/>
        <v>16</v>
      </c>
      <c r="N34" s="406">
        <f>M34/L34</f>
        <v>1.2307692307692308</v>
      </c>
      <c r="P34" s="232" t="str">
        <f t="shared" si="19"/>
        <v>Kladno</v>
      </c>
      <c r="Q34" s="830">
        <f t="shared" si="21"/>
        <v>1</v>
      </c>
      <c r="R34" s="827">
        <f t="shared" si="22"/>
        <v>1.1538461538461537</v>
      </c>
      <c r="S34" s="827">
        <f t="shared" si="23"/>
        <v>1</v>
      </c>
      <c r="T34" s="275">
        <f t="shared" si="26"/>
        <v>1.2307692307692308</v>
      </c>
      <c r="AG34" s="2"/>
      <c r="AH34" s="2"/>
      <c r="AI34" s="60"/>
      <c r="AJ34" s="60"/>
      <c r="AK34" s="60"/>
      <c r="AL34" s="60"/>
      <c r="AM34" s="2"/>
      <c r="AN34" s="8"/>
      <c r="AO34" s="2"/>
      <c r="AR34" s="8"/>
    </row>
    <row r="35" spans="2:44" x14ac:dyDescent="0.3">
      <c r="B35" s="281" t="s">
        <v>6091</v>
      </c>
      <c r="C35" s="277">
        <f t="shared" ref="C35:D35" si="35">C16</f>
        <v>13</v>
      </c>
      <c r="D35" s="278">
        <f t="shared" si="35"/>
        <v>14</v>
      </c>
      <c r="E35" s="406">
        <f t="shared" si="9"/>
        <v>1.0769230769230769</v>
      </c>
      <c r="F35" s="277">
        <f t="shared" si="10"/>
        <v>12</v>
      </c>
      <c r="G35" s="278">
        <f t="shared" si="11"/>
        <v>14</v>
      </c>
      <c r="H35" s="406">
        <f t="shared" si="12"/>
        <v>1.1666666666666667</v>
      </c>
      <c r="I35" s="277">
        <f t="shared" si="13"/>
        <v>14</v>
      </c>
      <c r="J35" s="278">
        <f t="shared" si="14"/>
        <v>17</v>
      </c>
      <c r="K35" s="406">
        <f t="shared" si="15"/>
        <v>1.2142857142857142</v>
      </c>
      <c r="L35" s="277">
        <f t="shared" si="16"/>
        <v>13</v>
      </c>
      <c r="M35" s="278">
        <f t="shared" si="17"/>
        <v>16</v>
      </c>
      <c r="N35" s="406">
        <f t="shared" si="18"/>
        <v>1.2307692307692308</v>
      </c>
      <c r="P35" s="232" t="str">
        <f t="shared" si="19"/>
        <v>Motor ČB</v>
      </c>
      <c r="Q35" s="830">
        <f t="shared" si="21"/>
        <v>1.0769230769230769</v>
      </c>
      <c r="R35" s="827">
        <f t="shared" si="22"/>
        <v>1.1666666666666667</v>
      </c>
      <c r="S35" s="827">
        <f t="shared" si="23"/>
        <v>1.2142857142857142</v>
      </c>
      <c r="T35" s="275">
        <f t="shared" si="26"/>
        <v>1.2307692307692308</v>
      </c>
      <c r="X35" s="129"/>
      <c r="Y35" s="130"/>
      <c r="Z35" s="130"/>
      <c r="AG35" s="2"/>
      <c r="AH35" s="2"/>
      <c r="AI35" s="60"/>
      <c r="AJ35" s="60"/>
      <c r="AK35" s="60"/>
      <c r="AL35" s="60"/>
      <c r="AM35" s="2"/>
      <c r="AN35" s="8"/>
      <c r="AO35" s="2"/>
      <c r="AR35" s="182"/>
    </row>
    <row r="36" spans="2:44" ht="15" thickBot="1" x14ac:dyDescent="0.35">
      <c r="B36" s="283" t="s">
        <v>327</v>
      </c>
      <c r="C36" s="199">
        <f>C17</f>
        <v>13</v>
      </c>
      <c r="D36" s="200">
        <f>D17</f>
        <v>26</v>
      </c>
      <c r="E36" s="407">
        <f t="shared" si="9"/>
        <v>2</v>
      </c>
      <c r="F36" s="199">
        <f t="shared" si="10"/>
        <v>13</v>
      </c>
      <c r="G36" s="200">
        <f t="shared" si="11"/>
        <v>31</v>
      </c>
      <c r="H36" s="407">
        <f t="shared" si="12"/>
        <v>2.3846153846153846</v>
      </c>
      <c r="I36" s="199">
        <f t="shared" si="13"/>
        <v>13</v>
      </c>
      <c r="J36" s="200">
        <f t="shared" si="14"/>
        <v>29</v>
      </c>
      <c r="K36" s="407">
        <f t="shared" si="15"/>
        <v>2.2307692307692308</v>
      </c>
      <c r="L36" s="199">
        <f t="shared" si="16"/>
        <v>13</v>
      </c>
      <c r="M36" s="200">
        <f t="shared" si="17"/>
        <v>22</v>
      </c>
      <c r="N36" s="407">
        <f t="shared" si="18"/>
        <v>1.6923076923076923</v>
      </c>
      <c r="P36" s="233" t="str">
        <f t="shared" si="19"/>
        <v>Pardubice</v>
      </c>
      <c r="Q36" s="831">
        <f>E36</f>
        <v>2</v>
      </c>
      <c r="R36" s="829">
        <f>H36</f>
        <v>2.3846153846153846</v>
      </c>
      <c r="S36" s="829">
        <f>K36</f>
        <v>2.2307692307692308</v>
      </c>
      <c r="T36" s="276">
        <f>N36</f>
        <v>1.6923076923076923</v>
      </c>
      <c r="V36" s="130"/>
      <c r="W36" s="130"/>
      <c r="AG36" s="2"/>
      <c r="AH36" s="2"/>
      <c r="AI36" s="60"/>
      <c r="AJ36" s="60"/>
      <c r="AK36" s="60"/>
      <c r="AL36" s="60"/>
      <c r="AM36" s="2"/>
      <c r="AN36" s="8"/>
      <c r="AO36" s="2"/>
      <c r="AR36" s="8"/>
    </row>
    <row r="37" spans="2:44" x14ac:dyDescent="0.3">
      <c r="V37" s="130"/>
      <c r="W37" s="130"/>
      <c r="AG37" s="2"/>
      <c r="AH37" s="2"/>
      <c r="AI37" s="60"/>
      <c r="AJ37" s="60"/>
      <c r="AK37" s="60"/>
      <c r="AL37" s="60"/>
      <c r="AM37" s="2"/>
      <c r="AN37" s="8"/>
      <c r="AO37" s="2"/>
      <c r="AR37" s="8"/>
    </row>
    <row r="38" spans="2:44" ht="8.25" customHeight="1" x14ac:dyDescent="0.3"/>
    <row r="39" spans="2:44" ht="8.25" customHeight="1" x14ac:dyDescent="0.3"/>
    <row r="40" spans="2:44" ht="7.5" customHeight="1" x14ac:dyDescent="0.3"/>
    <row r="44" spans="2:44" x14ac:dyDescent="0.3">
      <c r="Y44" s="2"/>
      <c r="Z44" s="2"/>
    </row>
    <row r="45" spans="2:44" x14ac:dyDescent="0.3">
      <c r="Y45" s="244"/>
      <c r="Z45" s="2"/>
    </row>
    <row r="46" spans="2:44" x14ac:dyDescent="0.3">
      <c r="Y46" s="180"/>
      <c r="Z46" s="2"/>
    </row>
    <row r="47" spans="2:44" x14ac:dyDescent="0.3">
      <c r="Y47" s="244"/>
      <c r="Z47" s="2"/>
    </row>
  </sheetData>
  <mergeCells count="8">
    <mergeCell ref="C2:E2"/>
    <mergeCell ref="F2:H2"/>
    <mergeCell ref="I2:K2"/>
    <mergeCell ref="L2:N2"/>
    <mergeCell ref="C21:E21"/>
    <mergeCell ref="F21:H21"/>
    <mergeCell ref="I21:K21"/>
    <mergeCell ref="L21:N21"/>
  </mergeCells>
  <pageMargins left="0.7" right="0.7" top="0.78740157499999996" bottom="0.78740157499999996"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W293"/>
  <sheetViews>
    <sheetView workbookViewId="0">
      <pane xSplit="2" ySplit="2" topLeftCell="C36" activePane="bottomRight" state="frozen"/>
      <selection activeCell="L12" sqref="L12"/>
      <selection pane="topRight" activeCell="L12" sqref="L12"/>
      <selection pane="bottomLeft" activeCell="L12" sqref="L12"/>
      <selection pane="bottomRight" activeCell="L12" sqref="L12"/>
    </sheetView>
  </sheetViews>
  <sheetFormatPr defaultRowHeight="14.4" x14ac:dyDescent="0.3"/>
  <cols>
    <col min="2" max="2" width="36.109375" customWidth="1"/>
    <col min="3" max="3" width="18.44140625" customWidth="1"/>
    <col min="4" max="4" width="16.33203125" customWidth="1"/>
    <col min="5" max="5" width="11.44140625" bestFit="1" customWidth="1"/>
    <col min="6" max="6" width="10.44140625" customWidth="1"/>
    <col min="7" max="7" width="22.6640625" customWidth="1"/>
    <col min="8" max="8" width="13.109375" customWidth="1"/>
    <col min="10" max="10" width="14.44140625" customWidth="1"/>
    <col min="11" max="11" width="15.33203125" customWidth="1"/>
    <col min="12" max="12" width="13.109375" customWidth="1"/>
    <col min="14" max="14" width="10.109375" customWidth="1"/>
    <col min="16" max="16" width="11.109375" customWidth="1"/>
    <col min="19" max="19" width="3.88671875" style="552" customWidth="1"/>
    <col min="21" max="21" width="18.88671875" customWidth="1"/>
    <col min="22" max="22" width="13" customWidth="1"/>
    <col min="23" max="23" width="12.6640625" style="2" customWidth="1"/>
    <col min="24" max="24" width="13.109375" style="2" customWidth="1"/>
    <col min="25" max="25" width="12.109375" style="2" customWidth="1"/>
    <col min="26" max="34" width="9.109375" style="2"/>
    <col min="35" max="35" width="14.109375" style="2" customWidth="1"/>
    <col min="36" max="37" width="9.109375" style="2"/>
    <col min="38" max="38" width="3.5546875" style="552" customWidth="1"/>
    <col min="40" max="40" width="18.33203125" customWidth="1"/>
    <col min="41" max="41" width="15.33203125" customWidth="1"/>
    <col min="54" max="54" width="12.33203125" customWidth="1"/>
    <col min="57" max="57" width="3.5546875" style="552" customWidth="1"/>
    <col min="59" max="59" width="22.109375" customWidth="1"/>
    <col min="60" max="60" width="14" customWidth="1"/>
    <col min="63" max="63" width="14.33203125" customWidth="1"/>
  </cols>
  <sheetData>
    <row r="1" spans="1:75" x14ac:dyDescent="0.3">
      <c r="A1" s="1153" t="s">
        <v>4175</v>
      </c>
      <c r="B1" s="1153"/>
      <c r="C1" s="1153"/>
      <c r="D1" s="1153"/>
      <c r="E1" s="1153"/>
      <c r="F1" s="1153"/>
      <c r="G1" s="1153"/>
      <c r="H1" s="1153"/>
      <c r="I1" s="1153"/>
      <c r="J1" s="1153"/>
      <c r="K1" s="1153"/>
      <c r="L1" s="1153"/>
      <c r="M1" s="1153"/>
      <c r="N1" s="1153"/>
      <c r="O1" s="1153"/>
      <c r="P1" s="1153"/>
      <c r="Q1" s="1153"/>
      <c r="R1" s="1153"/>
      <c r="T1" s="1153" t="s">
        <v>4481</v>
      </c>
      <c r="U1" s="1153"/>
      <c r="V1" s="1153"/>
      <c r="W1" s="1153"/>
      <c r="X1" s="1153"/>
      <c r="Y1" s="1153"/>
      <c r="Z1" s="1153"/>
      <c r="AA1" s="1153"/>
      <c r="AB1" s="1153"/>
      <c r="AC1" s="1153"/>
      <c r="AD1" s="1153"/>
      <c r="AE1" s="1153"/>
      <c r="AF1" s="1153"/>
      <c r="AG1" s="1153"/>
      <c r="AH1" s="1153"/>
      <c r="AI1" s="1153"/>
      <c r="AJ1" s="1153"/>
      <c r="AK1" s="1153"/>
      <c r="AM1" s="1153" t="s">
        <v>4492</v>
      </c>
      <c r="AN1" s="1153"/>
      <c r="AO1" s="1153"/>
      <c r="AP1" s="1153"/>
      <c r="AQ1" s="1153"/>
      <c r="AR1" s="1153"/>
      <c r="AS1" s="1153"/>
      <c r="AT1" s="1153"/>
      <c r="AU1" s="1153"/>
      <c r="AV1" s="1153"/>
      <c r="AW1" s="1153"/>
      <c r="AX1" s="1153"/>
      <c r="AY1" s="1153"/>
      <c r="AZ1" s="1153"/>
      <c r="BA1" s="1153"/>
      <c r="BB1" s="1153"/>
      <c r="BC1" s="1153"/>
      <c r="BD1" s="1153"/>
      <c r="BF1" s="1153" t="s">
        <v>4585</v>
      </c>
      <c r="BG1" s="1153"/>
      <c r="BH1" s="1153"/>
      <c r="BI1" s="1153"/>
      <c r="BJ1" s="1153"/>
      <c r="BK1" s="1153"/>
      <c r="BL1" s="1153"/>
      <c r="BM1" s="1153"/>
      <c r="BN1" s="1153"/>
      <c r="BO1" s="1153"/>
      <c r="BP1" s="1153"/>
      <c r="BQ1" s="1153"/>
      <c r="BR1" s="1153"/>
      <c r="BS1" s="1153"/>
      <c r="BT1" s="1153"/>
      <c r="BU1" s="1153"/>
      <c r="BV1" s="1153"/>
      <c r="BW1" s="1153"/>
    </row>
    <row r="2" spans="1:75" ht="15" thickBot="1" x14ac:dyDescent="0.35">
      <c r="A2" s="554" t="s">
        <v>4169</v>
      </c>
      <c r="B2" s="554" t="s">
        <v>141</v>
      </c>
      <c r="C2" s="554" t="s">
        <v>140</v>
      </c>
      <c r="D2" s="554" t="s">
        <v>139</v>
      </c>
      <c r="E2" s="554" t="s">
        <v>213</v>
      </c>
      <c r="F2" s="555" t="s">
        <v>138</v>
      </c>
      <c r="G2" s="555" t="s">
        <v>137</v>
      </c>
      <c r="H2" s="555" t="s">
        <v>136</v>
      </c>
      <c r="I2" s="555" t="s">
        <v>135</v>
      </c>
      <c r="J2" s="555" t="s">
        <v>134</v>
      </c>
      <c r="K2" s="555" t="s">
        <v>133</v>
      </c>
      <c r="L2" s="555" t="s">
        <v>132</v>
      </c>
      <c r="M2" s="555" t="s">
        <v>131</v>
      </c>
      <c r="N2" s="555" t="s">
        <v>130</v>
      </c>
      <c r="O2" s="555" t="s">
        <v>129</v>
      </c>
      <c r="P2" s="555" t="s">
        <v>128</v>
      </c>
      <c r="Q2" s="555" t="s">
        <v>127</v>
      </c>
      <c r="R2" s="555" t="s">
        <v>126</v>
      </c>
      <c r="T2" s="554" t="s">
        <v>4169</v>
      </c>
      <c r="U2" s="596" t="s">
        <v>141</v>
      </c>
      <c r="V2" s="596" t="s">
        <v>140</v>
      </c>
      <c r="W2" s="554" t="s">
        <v>139</v>
      </c>
      <c r="X2" s="554" t="s">
        <v>213</v>
      </c>
      <c r="Y2" s="555" t="s">
        <v>138</v>
      </c>
      <c r="Z2" s="555" t="s">
        <v>137</v>
      </c>
      <c r="AA2" s="555" t="s">
        <v>136</v>
      </c>
      <c r="AB2" s="555" t="s">
        <v>135</v>
      </c>
      <c r="AC2" s="555" t="s">
        <v>134</v>
      </c>
      <c r="AD2" s="555" t="s">
        <v>133</v>
      </c>
      <c r="AE2" s="555" t="s">
        <v>132</v>
      </c>
      <c r="AF2" s="555" t="s">
        <v>131</v>
      </c>
      <c r="AG2" s="555" t="s">
        <v>130</v>
      </c>
      <c r="AH2" s="555" t="s">
        <v>129</v>
      </c>
      <c r="AI2" s="555" t="s">
        <v>128</v>
      </c>
      <c r="AJ2" s="555" t="s">
        <v>127</v>
      </c>
      <c r="AK2" s="555" t="s">
        <v>126</v>
      </c>
      <c r="AM2" s="634" t="s">
        <v>4169</v>
      </c>
      <c r="AN2" s="634" t="s">
        <v>141</v>
      </c>
      <c r="AO2" s="634" t="s">
        <v>140</v>
      </c>
      <c r="AP2" s="634" t="s">
        <v>139</v>
      </c>
      <c r="AQ2" s="634" t="s">
        <v>213</v>
      </c>
      <c r="AR2" s="555" t="s">
        <v>4482</v>
      </c>
      <c r="AS2" s="555" t="s">
        <v>4051</v>
      </c>
      <c r="AT2" s="555" t="s">
        <v>4052</v>
      </c>
      <c r="AU2" s="555" t="s">
        <v>743</v>
      </c>
      <c r="AV2" s="555" t="s">
        <v>4483</v>
      </c>
      <c r="AW2" s="555" t="s">
        <v>4484</v>
      </c>
      <c r="AX2" s="555" t="s">
        <v>4485</v>
      </c>
      <c r="AY2" s="555" t="s">
        <v>4486</v>
      </c>
      <c r="AZ2" s="555" t="s">
        <v>4487</v>
      </c>
      <c r="BA2" s="555" t="s">
        <v>4488</v>
      </c>
      <c r="BB2" s="555" t="s">
        <v>4489</v>
      </c>
      <c r="BC2" s="555" t="s">
        <v>4054</v>
      </c>
      <c r="BD2" s="555" t="s">
        <v>4490</v>
      </c>
      <c r="BF2" s="634" t="s">
        <v>4169</v>
      </c>
      <c r="BG2" s="634" t="s">
        <v>141</v>
      </c>
      <c r="BH2" s="634" t="s">
        <v>140</v>
      </c>
      <c r="BI2" s="634" t="s">
        <v>139</v>
      </c>
      <c r="BJ2" s="634" t="s">
        <v>213</v>
      </c>
      <c r="BK2" s="555" t="s">
        <v>4482</v>
      </c>
      <c r="BL2" s="555" t="s">
        <v>4051</v>
      </c>
      <c r="BM2" s="555" t="s">
        <v>4052</v>
      </c>
      <c r="BN2" s="555" t="s">
        <v>743</v>
      </c>
      <c r="BO2" s="555" t="s">
        <v>4483</v>
      </c>
      <c r="BP2" s="555" t="s">
        <v>4484</v>
      </c>
      <c r="BQ2" s="555" t="s">
        <v>4485</v>
      </c>
      <c r="BR2" s="555" t="s">
        <v>4486</v>
      </c>
      <c r="BS2" s="555" t="s">
        <v>4487</v>
      </c>
      <c r="BT2" s="555" t="s">
        <v>4488</v>
      </c>
      <c r="BU2" s="555" t="s">
        <v>4489</v>
      </c>
      <c r="BV2" s="555" t="s">
        <v>4054</v>
      </c>
      <c r="BW2" s="555" t="s">
        <v>4490</v>
      </c>
    </row>
    <row r="3" spans="1:75" ht="27" customHeight="1" thickTop="1" thickBot="1" x14ac:dyDescent="0.35">
      <c r="A3" s="806">
        <v>4</v>
      </c>
      <c r="B3" s="614" t="s">
        <v>4069</v>
      </c>
      <c r="C3" s="807" t="s">
        <v>80</v>
      </c>
      <c r="D3" s="806" t="s">
        <v>79</v>
      </c>
      <c r="E3" s="806">
        <v>13</v>
      </c>
      <c r="F3" s="808">
        <v>9.1187500000000004</v>
      </c>
      <c r="G3" s="806">
        <v>6</v>
      </c>
      <c r="H3" s="806">
        <v>1</v>
      </c>
      <c r="I3" s="809">
        <v>7</v>
      </c>
      <c r="J3" s="806">
        <v>34</v>
      </c>
      <c r="K3" s="806" t="s">
        <v>1682</v>
      </c>
      <c r="L3" s="806">
        <v>1</v>
      </c>
      <c r="M3" s="806">
        <v>2</v>
      </c>
      <c r="N3" s="806">
        <v>0</v>
      </c>
      <c r="O3" s="806">
        <v>0</v>
      </c>
      <c r="P3" s="806">
        <v>-1</v>
      </c>
      <c r="Q3" s="806">
        <v>2</v>
      </c>
      <c r="R3" s="810">
        <v>0.70138888888888884</v>
      </c>
      <c r="T3" s="613">
        <v>1</v>
      </c>
      <c r="U3" s="614" t="s">
        <v>4069</v>
      </c>
      <c r="V3" s="615" t="s">
        <v>80</v>
      </c>
      <c r="W3" s="613" t="s">
        <v>79</v>
      </c>
      <c r="X3" s="613">
        <v>26</v>
      </c>
      <c r="Y3" s="616">
        <v>18.105555555555558</v>
      </c>
      <c r="Z3" s="617">
        <v>13</v>
      </c>
      <c r="AA3" s="613">
        <v>3</v>
      </c>
      <c r="AB3" s="613">
        <v>16</v>
      </c>
      <c r="AC3" s="613">
        <v>77</v>
      </c>
      <c r="AD3" s="613" t="s">
        <v>5067</v>
      </c>
      <c r="AE3" s="613">
        <v>1</v>
      </c>
      <c r="AF3" s="613">
        <v>2</v>
      </c>
      <c r="AG3" s="613">
        <v>0</v>
      </c>
      <c r="AH3" s="613">
        <v>2</v>
      </c>
      <c r="AI3" s="613">
        <v>4</v>
      </c>
      <c r="AJ3" s="613">
        <v>4</v>
      </c>
      <c r="AK3" s="618">
        <v>0.6958333333333333</v>
      </c>
      <c r="AM3" s="834">
        <v>4</v>
      </c>
      <c r="AN3" s="835" t="s">
        <v>4069</v>
      </c>
      <c r="AO3" s="836" t="s">
        <v>80</v>
      </c>
      <c r="AP3" s="834" t="s">
        <v>79</v>
      </c>
      <c r="AQ3" s="834">
        <v>39</v>
      </c>
      <c r="AR3" s="837">
        <v>27.547916666666666</v>
      </c>
      <c r="AS3" s="834">
        <v>18</v>
      </c>
      <c r="AT3" s="834">
        <v>5</v>
      </c>
      <c r="AU3" s="838">
        <v>23</v>
      </c>
      <c r="AV3" s="834">
        <v>107</v>
      </c>
      <c r="AW3" s="834" t="s">
        <v>1489</v>
      </c>
      <c r="AX3" s="834">
        <v>1</v>
      </c>
      <c r="AY3" s="834">
        <v>4</v>
      </c>
      <c r="AZ3" s="834">
        <v>1</v>
      </c>
      <c r="BA3" s="834">
        <v>3</v>
      </c>
      <c r="BB3" s="834">
        <v>5</v>
      </c>
      <c r="BC3" s="834">
        <v>4</v>
      </c>
      <c r="BD3" s="839">
        <v>0.70624999999999993</v>
      </c>
      <c r="BF3" s="806">
        <v>4</v>
      </c>
      <c r="BG3" s="614" t="s">
        <v>4069</v>
      </c>
      <c r="BH3" s="807" t="s">
        <v>80</v>
      </c>
      <c r="BI3" s="806" t="s">
        <v>79</v>
      </c>
      <c r="BJ3" s="806">
        <v>52</v>
      </c>
      <c r="BK3" s="808">
        <v>36.815972222222221</v>
      </c>
      <c r="BL3" s="806">
        <v>21</v>
      </c>
      <c r="BM3" s="806">
        <v>9</v>
      </c>
      <c r="BN3" s="809">
        <v>30</v>
      </c>
      <c r="BO3" s="806">
        <v>136</v>
      </c>
      <c r="BP3" s="806" t="s">
        <v>5266</v>
      </c>
      <c r="BQ3" s="806">
        <v>2</v>
      </c>
      <c r="BR3" s="806">
        <v>7</v>
      </c>
      <c r="BS3" s="806">
        <v>1</v>
      </c>
      <c r="BT3" s="806">
        <v>3</v>
      </c>
      <c r="BU3" s="806">
        <v>5</v>
      </c>
      <c r="BV3" s="806">
        <v>4</v>
      </c>
      <c r="BW3" s="810">
        <v>0.70763888888888893</v>
      </c>
    </row>
    <row r="4" spans="1:75" ht="27" thickBot="1" x14ac:dyDescent="0.35">
      <c r="A4" s="811">
        <v>19</v>
      </c>
      <c r="B4" s="620" t="s">
        <v>4041</v>
      </c>
      <c r="C4" s="812" t="s">
        <v>80</v>
      </c>
      <c r="D4" s="811" t="s">
        <v>88</v>
      </c>
      <c r="E4" s="811">
        <v>4</v>
      </c>
      <c r="F4" s="813">
        <v>1.3743055555555557</v>
      </c>
      <c r="G4" s="811">
        <v>0</v>
      </c>
      <c r="H4" s="811">
        <v>0</v>
      </c>
      <c r="I4" s="814">
        <v>0</v>
      </c>
      <c r="J4" s="811">
        <v>2</v>
      </c>
      <c r="K4" s="811" t="s">
        <v>78</v>
      </c>
      <c r="L4" s="811">
        <v>0</v>
      </c>
      <c r="M4" s="811">
        <v>0</v>
      </c>
      <c r="N4" s="811">
        <v>0</v>
      </c>
      <c r="O4" s="811">
        <v>0</v>
      </c>
      <c r="P4" s="811">
        <v>-1</v>
      </c>
      <c r="Q4" s="811">
        <v>4</v>
      </c>
      <c r="R4" s="816">
        <v>0.3430555555555555</v>
      </c>
      <c r="T4" s="619">
        <v>25</v>
      </c>
      <c r="U4" s="620" t="s">
        <v>4041</v>
      </c>
      <c r="V4" s="621" t="s">
        <v>80</v>
      </c>
      <c r="W4" s="619" t="s">
        <v>88</v>
      </c>
      <c r="X4" s="619">
        <v>5</v>
      </c>
      <c r="Y4" s="622">
        <v>1.4006944444444445</v>
      </c>
      <c r="Z4" s="623">
        <v>0</v>
      </c>
      <c r="AA4" s="619">
        <v>0</v>
      </c>
      <c r="AB4" s="619">
        <v>0</v>
      </c>
      <c r="AC4" s="619">
        <v>2</v>
      </c>
      <c r="AD4" s="619" t="s">
        <v>78</v>
      </c>
      <c r="AE4" s="619">
        <v>0</v>
      </c>
      <c r="AF4" s="619">
        <v>0</v>
      </c>
      <c r="AG4" s="619">
        <v>0</v>
      </c>
      <c r="AH4" s="619">
        <v>0</v>
      </c>
      <c r="AI4" s="619">
        <v>-1</v>
      </c>
      <c r="AJ4" s="619">
        <v>4</v>
      </c>
      <c r="AK4" s="624">
        <v>0.27986111111111112</v>
      </c>
      <c r="AM4" s="811">
        <v>28</v>
      </c>
      <c r="AN4" s="640" t="s">
        <v>4041</v>
      </c>
      <c r="AO4" s="812" t="s">
        <v>80</v>
      </c>
      <c r="AP4" s="811" t="s">
        <v>88</v>
      </c>
      <c r="AQ4" s="811">
        <v>6</v>
      </c>
      <c r="AR4" s="813">
        <v>1.5131944444444445</v>
      </c>
      <c r="AS4" s="811">
        <v>0</v>
      </c>
      <c r="AT4" s="811">
        <v>0</v>
      </c>
      <c r="AU4" s="823">
        <v>0</v>
      </c>
      <c r="AV4" s="811">
        <v>3</v>
      </c>
      <c r="AW4" s="811" t="s">
        <v>78</v>
      </c>
      <c r="AX4" s="811">
        <v>0</v>
      </c>
      <c r="AY4" s="811">
        <v>0</v>
      </c>
      <c r="AZ4" s="811">
        <v>0</v>
      </c>
      <c r="BA4" s="811">
        <v>0</v>
      </c>
      <c r="BB4" s="811">
        <v>-1</v>
      </c>
      <c r="BC4" s="811">
        <v>4</v>
      </c>
      <c r="BD4" s="816">
        <v>0.25208333333333333</v>
      </c>
      <c r="BF4" s="811">
        <v>29</v>
      </c>
      <c r="BG4" s="620" t="s">
        <v>4041</v>
      </c>
      <c r="BH4" s="812" t="s">
        <v>80</v>
      </c>
      <c r="BI4" s="811" t="s">
        <v>88</v>
      </c>
      <c r="BJ4" s="811">
        <v>6</v>
      </c>
      <c r="BK4" s="813">
        <v>1.5131944444444445</v>
      </c>
      <c r="BL4" s="811">
        <v>0</v>
      </c>
      <c r="BM4" s="811">
        <v>0</v>
      </c>
      <c r="BN4" s="814">
        <v>0</v>
      </c>
      <c r="BO4" s="811">
        <v>3</v>
      </c>
      <c r="BP4" s="811" t="s">
        <v>78</v>
      </c>
      <c r="BQ4" s="811">
        <v>0</v>
      </c>
      <c r="BR4" s="811">
        <v>0</v>
      </c>
      <c r="BS4" s="811">
        <v>0</v>
      </c>
      <c r="BT4" s="811">
        <v>0</v>
      </c>
      <c r="BU4" s="811">
        <v>-1</v>
      </c>
      <c r="BV4" s="811">
        <v>4</v>
      </c>
      <c r="BW4" s="816">
        <v>0.25208333333333333</v>
      </c>
    </row>
    <row r="5" spans="1:75" ht="27" thickBot="1" x14ac:dyDescent="0.35">
      <c r="A5" s="811">
        <v>15</v>
      </c>
      <c r="B5" s="620" t="s">
        <v>4039</v>
      </c>
      <c r="C5" s="812" t="s">
        <v>80</v>
      </c>
      <c r="D5" s="811" t="s">
        <v>88</v>
      </c>
      <c r="E5" s="811">
        <v>8</v>
      </c>
      <c r="F5" s="813">
        <v>3.3013888888888889</v>
      </c>
      <c r="G5" s="811">
        <v>0</v>
      </c>
      <c r="H5" s="811">
        <v>1</v>
      </c>
      <c r="I5" s="814">
        <v>1</v>
      </c>
      <c r="J5" s="811">
        <v>0</v>
      </c>
      <c r="K5" s="811" t="s">
        <v>78</v>
      </c>
      <c r="L5" s="811">
        <v>0</v>
      </c>
      <c r="M5" s="811">
        <v>0</v>
      </c>
      <c r="N5" s="811">
        <v>0</v>
      </c>
      <c r="O5" s="811">
        <v>0</v>
      </c>
      <c r="P5" s="811">
        <v>-5</v>
      </c>
      <c r="Q5" s="811">
        <v>8</v>
      </c>
      <c r="R5" s="816">
        <v>0.41250000000000003</v>
      </c>
      <c r="T5" s="619">
        <v>17</v>
      </c>
      <c r="U5" s="620" t="s">
        <v>4039</v>
      </c>
      <c r="V5" s="621" t="s">
        <v>80</v>
      </c>
      <c r="W5" s="619" t="s">
        <v>88</v>
      </c>
      <c r="X5" s="619">
        <v>21</v>
      </c>
      <c r="Y5" s="622">
        <v>12.8375</v>
      </c>
      <c r="Z5" s="623">
        <v>1</v>
      </c>
      <c r="AA5" s="619">
        <v>1</v>
      </c>
      <c r="AB5" s="619">
        <v>2</v>
      </c>
      <c r="AC5" s="619">
        <v>13</v>
      </c>
      <c r="AD5" s="625">
        <v>25385</v>
      </c>
      <c r="AE5" s="619">
        <v>0</v>
      </c>
      <c r="AF5" s="619">
        <v>0</v>
      </c>
      <c r="AG5" s="619">
        <v>0</v>
      </c>
      <c r="AH5" s="619">
        <v>0</v>
      </c>
      <c r="AI5" s="619">
        <v>-1</v>
      </c>
      <c r="AJ5" s="619">
        <v>13</v>
      </c>
      <c r="AK5" s="624">
        <v>0.61111111111111105</v>
      </c>
      <c r="AM5" s="811">
        <v>12</v>
      </c>
      <c r="AN5" s="620" t="s">
        <v>4039</v>
      </c>
      <c r="AO5" s="812" t="s">
        <v>80</v>
      </c>
      <c r="AP5" s="811" t="s">
        <v>88</v>
      </c>
      <c r="AQ5" s="811">
        <v>34</v>
      </c>
      <c r="AR5" s="813">
        <v>23.017361111111111</v>
      </c>
      <c r="AS5" s="811">
        <v>3</v>
      </c>
      <c r="AT5" s="811">
        <v>6</v>
      </c>
      <c r="AU5" s="814">
        <v>9</v>
      </c>
      <c r="AV5" s="811">
        <v>31</v>
      </c>
      <c r="AW5" s="815">
        <v>25082</v>
      </c>
      <c r="AX5" s="811">
        <v>0</v>
      </c>
      <c r="AY5" s="811">
        <v>0</v>
      </c>
      <c r="AZ5" s="811">
        <v>0</v>
      </c>
      <c r="BA5" s="811">
        <v>0</v>
      </c>
      <c r="BB5" s="811">
        <v>3</v>
      </c>
      <c r="BC5" s="811">
        <v>21</v>
      </c>
      <c r="BD5" s="816">
        <v>0.67638888888888893</v>
      </c>
      <c r="BF5" s="811">
        <v>13</v>
      </c>
      <c r="BG5" s="620" t="s">
        <v>4039</v>
      </c>
      <c r="BH5" s="812" t="s">
        <v>80</v>
      </c>
      <c r="BI5" s="811" t="s">
        <v>88</v>
      </c>
      <c r="BJ5" s="811">
        <v>47</v>
      </c>
      <c r="BK5" s="813">
        <v>30.981249999999999</v>
      </c>
      <c r="BL5" s="811">
        <v>3</v>
      </c>
      <c r="BM5" s="811">
        <v>6</v>
      </c>
      <c r="BN5" s="814">
        <v>9</v>
      </c>
      <c r="BO5" s="811">
        <v>44</v>
      </c>
      <c r="BP5" s="815">
        <v>30103</v>
      </c>
      <c r="BQ5" s="811">
        <v>0</v>
      </c>
      <c r="BR5" s="811">
        <v>0</v>
      </c>
      <c r="BS5" s="811">
        <v>0</v>
      </c>
      <c r="BT5" s="811">
        <v>0</v>
      </c>
      <c r="BU5" s="811">
        <v>1</v>
      </c>
      <c r="BV5" s="811">
        <v>23</v>
      </c>
      <c r="BW5" s="816">
        <v>0.65902777777777777</v>
      </c>
    </row>
    <row r="6" spans="1:75" ht="27" thickBot="1" x14ac:dyDescent="0.35">
      <c r="A6" s="811">
        <v>14</v>
      </c>
      <c r="B6" s="620" t="s">
        <v>97</v>
      </c>
      <c r="C6" s="812" t="s">
        <v>80</v>
      </c>
      <c r="D6" s="811" t="s">
        <v>79</v>
      </c>
      <c r="E6" s="811">
        <v>12</v>
      </c>
      <c r="F6" s="813">
        <v>4.3569444444444443</v>
      </c>
      <c r="G6" s="811">
        <v>1</v>
      </c>
      <c r="H6" s="811">
        <v>0</v>
      </c>
      <c r="I6" s="814">
        <v>1</v>
      </c>
      <c r="J6" s="811">
        <v>8</v>
      </c>
      <c r="K6" s="815">
        <v>18598</v>
      </c>
      <c r="L6" s="811">
        <v>0</v>
      </c>
      <c r="M6" s="811">
        <v>0</v>
      </c>
      <c r="N6" s="811">
        <v>1</v>
      </c>
      <c r="O6" s="811">
        <v>0</v>
      </c>
      <c r="P6" s="811">
        <v>0</v>
      </c>
      <c r="Q6" s="811">
        <v>8</v>
      </c>
      <c r="R6" s="816">
        <v>0.36249999999999999</v>
      </c>
      <c r="T6" s="619">
        <v>10</v>
      </c>
      <c r="U6" s="620" t="s">
        <v>97</v>
      </c>
      <c r="V6" s="621" t="s">
        <v>80</v>
      </c>
      <c r="W6" s="619" t="s">
        <v>79</v>
      </c>
      <c r="X6" s="619">
        <v>20</v>
      </c>
      <c r="Y6" s="622">
        <v>7.7472222222222227</v>
      </c>
      <c r="Z6" s="623">
        <v>2</v>
      </c>
      <c r="AA6" s="619">
        <v>3</v>
      </c>
      <c r="AB6" s="619">
        <v>5</v>
      </c>
      <c r="AC6" s="619">
        <v>16</v>
      </c>
      <c r="AD6" s="625">
        <v>18598</v>
      </c>
      <c r="AE6" s="619">
        <v>0</v>
      </c>
      <c r="AF6" s="619">
        <v>0</v>
      </c>
      <c r="AG6" s="619">
        <v>1</v>
      </c>
      <c r="AH6" s="619">
        <v>0</v>
      </c>
      <c r="AI6" s="619">
        <v>5</v>
      </c>
      <c r="AJ6" s="619">
        <v>12</v>
      </c>
      <c r="AK6" s="624">
        <v>0.38680555555555557</v>
      </c>
      <c r="AM6" s="811">
        <v>16</v>
      </c>
      <c r="AN6" s="620" t="s">
        <v>97</v>
      </c>
      <c r="AO6" s="812" t="s">
        <v>80</v>
      </c>
      <c r="AP6" s="811" t="s">
        <v>79</v>
      </c>
      <c r="AQ6" s="811">
        <v>20</v>
      </c>
      <c r="AR6" s="813">
        <v>7.7472222222222227</v>
      </c>
      <c r="AS6" s="811">
        <v>2</v>
      </c>
      <c r="AT6" s="811">
        <v>3</v>
      </c>
      <c r="AU6" s="814">
        <v>5</v>
      </c>
      <c r="AV6" s="811">
        <v>16</v>
      </c>
      <c r="AW6" s="815">
        <v>18598</v>
      </c>
      <c r="AX6" s="811">
        <v>0</v>
      </c>
      <c r="AY6" s="811">
        <v>0</v>
      </c>
      <c r="AZ6" s="811">
        <v>1</v>
      </c>
      <c r="BA6" s="811">
        <v>0</v>
      </c>
      <c r="BB6" s="811">
        <v>5</v>
      </c>
      <c r="BC6" s="811">
        <v>12</v>
      </c>
      <c r="BD6" s="816">
        <v>0.38680555555555557</v>
      </c>
      <c r="BF6" s="811">
        <v>18</v>
      </c>
      <c r="BG6" s="620" t="s">
        <v>97</v>
      </c>
      <c r="BH6" s="812" t="s">
        <v>80</v>
      </c>
      <c r="BI6" s="811" t="s">
        <v>79</v>
      </c>
      <c r="BJ6" s="811">
        <v>22</v>
      </c>
      <c r="BK6" s="813">
        <v>8.5250000000000004</v>
      </c>
      <c r="BL6" s="811">
        <v>2</v>
      </c>
      <c r="BM6" s="811">
        <v>3</v>
      </c>
      <c r="BN6" s="814">
        <v>5</v>
      </c>
      <c r="BO6" s="811">
        <v>16</v>
      </c>
      <c r="BP6" s="815">
        <v>18598</v>
      </c>
      <c r="BQ6" s="811">
        <v>0</v>
      </c>
      <c r="BR6" s="811">
        <v>0</v>
      </c>
      <c r="BS6" s="811">
        <v>1</v>
      </c>
      <c r="BT6" s="811">
        <v>0</v>
      </c>
      <c r="BU6" s="811">
        <v>5</v>
      </c>
      <c r="BV6" s="811">
        <v>14</v>
      </c>
      <c r="BW6" s="816">
        <v>0.38750000000000001</v>
      </c>
    </row>
    <row r="7" spans="1:75" ht="27" thickBot="1" x14ac:dyDescent="0.35">
      <c r="A7" s="811">
        <v>1</v>
      </c>
      <c r="B7" s="620" t="s">
        <v>4170</v>
      </c>
      <c r="C7" s="812" t="s">
        <v>80</v>
      </c>
      <c r="D7" s="811" t="s">
        <v>79</v>
      </c>
      <c r="E7" s="811">
        <v>11</v>
      </c>
      <c r="F7" s="813">
        <v>8.3215277777777779</v>
      </c>
      <c r="G7" s="811">
        <v>1</v>
      </c>
      <c r="H7" s="811">
        <v>9</v>
      </c>
      <c r="I7" s="814">
        <v>10</v>
      </c>
      <c r="J7" s="811">
        <v>24</v>
      </c>
      <c r="K7" s="815">
        <v>42826</v>
      </c>
      <c r="L7" s="811">
        <v>0</v>
      </c>
      <c r="M7" s="811">
        <v>4</v>
      </c>
      <c r="N7" s="811">
        <v>0</v>
      </c>
      <c r="O7" s="811">
        <v>0</v>
      </c>
      <c r="P7" s="811">
        <v>-6</v>
      </c>
      <c r="Q7" s="811">
        <v>0</v>
      </c>
      <c r="R7" s="816">
        <v>0.75624999999999998</v>
      </c>
      <c r="T7" s="619">
        <v>3</v>
      </c>
      <c r="U7" s="620" t="s">
        <v>4170</v>
      </c>
      <c r="V7" s="621" t="s">
        <v>80</v>
      </c>
      <c r="W7" s="619" t="s">
        <v>79</v>
      </c>
      <c r="X7" s="619">
        <v>24</v>
      </c>
      <c r="Y7" s="622">
        <v>19.347916666666666</v>
      </c>
      <c r="Z7" s="623">
        <v>7</v>
      </c>
      <c r="AA7" s="619">
        <v>15</v>
      </c>
      <c r="AB7" s="619">
        <v>22</v>
      </c>
      <c r="AC7" s="619">
        <v>56</v>
      </c>
      <c r="AD7" s="625">
        <v>18598</v>
      </c>
      <c r="AE7" s="619">
        <v>4</v>
      </c>
      <c r="AF7" s="619">
        <v>10</v>
      </c>
      <c r="AG7" s="619">
        <v>0</v>
      </c>
      <c r="AH7" s="619">
        <v>0</v>
      </c>
      <c r="AI7" s="619">
        <v>-3</v>
      </c>
      <c r="AJ7" s="619">
        <v>2</v>
      </c>
      <c r="AK7" s="624">
        <v>0.80555555555555547</v>
      </c>
      <c r="AM7" s="811">
        <v>2</v>
      </c>
      <c r="AN7" s="620" t="s">
        <v>4170</v>
      </c>
      <c r="AO7" s="812" t="s">
        <v>80</v>
      </c>
      <c r="AP7" s="811" t="s">
        <v>79</v>
      </c>
      <c r="AQ7" s="811">
        <v>37</v>
      </c>
      <c r="AR7" s="813">
        <v>29.956944444444446</v>
      </c>
      <c r="AS7" s="811">
        <v>11</v>
      </c>
      <c r="AT7" s="811">
        <v>19</v>
      </c>
      <c r="AU7" s="814">
        <v>30</v>
      </c>
      <c r="AV7" s="811">
        <v>84</v>
      </c>
      <c r="AW7" s="840">
        <v>45212</v>
      </c>
      <c r="AX7" s="811">
        <v>4</v>
      </c>
      <c r="AY7" s="811">
        <v>11</v>
      </c>
      <c r="AZ7" s="811">
        <v>0</v>
      </c>
      <c r="BA7" s="811">
        <v>1</v>
      </c>
      <c r="BB7" s="811">
        <v>-4</v>
      </c>
      <c r="BC7" s="811">
        <v>4</v>
      </c>
      <c r="BD7" s="816">
        <v>0.80902777777777779</v>
      </c>
      <c r="BF7" s="811">
        <v>2</v>
      </c>
      <c r="BG7" s="620" t="s">
        <v>4170</v>
      </c>
      <c r="BH7" s="812" t="s">
        <v>80</v>
      </c>
      <c r="BI7" s="811" t="s">
        <v>79</v>
      </c>
      <c r="BJ7" s="811">
        <v>50</v>
      </c>
      <c r="BK7" s="813">
        <v>40.6875</v>
      </c>
      <c r="BL7" s="811">
        <v>12</v>
      </c>
      <c r="BM7" s="811">
        <v>23</v>
      </c>
      <c r="BN7" s="814">
        <v>35</v>
      </c>
      <c r="BO7" s="811">
        <v>102</v>
      </c>
      <c r="BP7" s="815">
        <v>28065</v>
      </c>
      <c r="BQ7" s="811">
        <v>5</v>
      </c>
      <c r="BR7" s="811">
        <v>15</v>
      </c>
      <c r="BS7" s="811">
        <v>0</v>
      </c>
      <c r="BT7" s="811">
        <v>1</v>
      </c>
      <c r="BU7" s="811">
        <v>-8</v>
      </c>
      <c r="BV7" s="811">
        <v>10</v>
      </c>
      <c r="BW7" s="816">
        <v>0.81319444444444444</v>
      </c>
    </row>
    <row r="8" spans="1:75" ht="27" thickBot="1" x14ac:dyDescent="0.35">
      <c r="A8" s="811">
        <v>23</v>
      </c>
      <c r="B8" s="620" t="s">
        <v>1173</v>
      </c>
      <c r="C8" s="812" t="s">
        <v>80</v>
      </c>
      <c r="D8" s="811" t="s">
        <v>88</v>
      </c>
      <c r="E8" s="811">
        <v>11</v>
      </c>
      <c r="F8" s="813">
        <v>7.3986111111111112</v>
      </c>
      <c r="G8" s="811">
        <v>0</v>
      </c>
      <c r="H8" s="811">
        <v>0</v>
      </c>
      <c r="I8" s="814">
        <v>0</v>
      </c>
      <c r="J8" s="811">
        <v>12</v>
      </c>
      <c r="K8" s="811" t="s">
        <v>78</v>
      </c>
      <c r="L8" s="811">
        <v>0</v>
      </c>
      <c r="M8" s="811">
        <v>0</v>
      </c>
      <c r="N8" s="811">
        <v>0</v>
      </c>
      <c r="O8" s="811">
        <v>0</v>
      </c>
      <c r="P8" s="811">
        <v>-3</v>
      </c>
      <c r="Q8" s="811">
        <v>13</v>
      </c>
      <c r="R8" s="816">
        <v>0.67222222222222217</v>
      </c>
      <c r="T8" s="619">
        <v>21</v>
      </c>
      <c r="U8" s="620" t="s">
        <v>1173</v>
      </c>
      <c r="V8" s="621" t="s">
        <v>80</v>
      </c>
      <c r="W8" s="619" t="s">
        <v>88</v>
      </c>
      <c r="X8" s="619">
        <v>23</v>
      </c>
      <c r="Y8" s="622">
        <v>14.902777777777779</v>
      </c>
      <c r="Z8" s="623">
        <v>0</v>
      </c>
      <c r="AA8" s="619">
        <v>2</v>
      </c>
      <c r="AB8" s="619">
        <v>2</v>
      </c>
      <c r="AC8" s="619">
        <v>21</v>
      </c>
      <c r="AD8" s="619" t="s">
        <v>78</v>
      </c>
      <c r="AE8" s="619">
        <v>0</v>
      </c>
      <c r="AF8" s="619">
        <v>0</v>
      </c>
      <c r="AG8" s="619">
        <v>0</v>
      </c>
      <c r="AH8" s="619">
        <v>0</v>
      </c>
      <c r="AI8" s="619">
        <v>-4</v>
      </c>
      <c r="AJ8" s="619">
        <v>19</v>
      </c>
      <c r="AK8" s="624">
        <v>0.6479166666666667</v>
      </c>
      <c r="AM8" s="811">
        <v>21</v>
      </c>
      <c r="AN8" s="620" t="s">
        <v>1173</v>
      </c>
      <c r="AO8" s="812" t="s">
        <v>80</v>
      </c>
      <c r="AP8" s="811" t="s">
        <v>88</v>
      </c>
      <c r="AQ8" s="811">
        <v>33</v>
      </c>
      <c r="AR8" s="813">
        <v>20.43611111111111</v>
      </c>
      <c r="AS8" s="811">
        <v>0</v>
      </c>
      <c r="AT8" s="811">
        <v>3</v>
      </c>
      <c r="AU8" s="814">
        <v>3</v>
      </c>
      <c r="AV8" s="811">
        <v>33</v>
      </c>
      <c r="AW8" s="811" t="s">
        <v>78</v>
      </c>
      <c r="AX8" s="811">
        <v>0</v>
      </c>
      <c r="AY8" s="811">
        <v>0</v>
      </c>
      <c r="AZ8" s="811">
        <v>0</v>
      </c>
      <c r="BA8" s="811">
        <v>0</v>
      </c>
      <c r="BB8" s="811">
        <v>-4</v>
      </c>
      <c r="BC8" s="811">
        <v>33</v>
      </c>
      <c r="BD8" s="816">
        <v>0.61875000000000002</v>
      </c>
      <c r="BF8" s="811">
        <v>21</v>
      </c>
      <c r="BG8" s="620" t="s">
        <v>1173</v>
      </c>
      <c r="BH8" s="812" t="s">
        <v>80</v>
      </c>
      <c r="BI8" s="811" t="s">
        <v>88</v>
      </c>
      <c r="BJ8" s="811">
        <v>46</v>
      </c>
      <c r="BK8" s="813">
        <v>29.024305555555557</v>
      </c>
      <c r="BL8" s="811">
        <v>0</v>
      </c>
      <c r="BM8" s="811">
        <v>3</v>
      </c>
      <c r="BN8" s="814">
        <v>3</v>
      </c>
      <c r="BO8" s="811">
        <v>50</v>
      </c>
      <c r="BP8" s="811" t="s">
        <v>78</v>
      </c>
      <c r="BQ8" s="811">
        <v>0</v>
      </c>
      <c r="BR8" s="811">
        <v>0</v>
      </c>
      <c r="BS8" s="811">
        <v>0</v>
      </c>
      <c r="BT8" s="811">
        <v>0</v>
      </c>
      <c r="BU8" s="811">
        <v>-9</v>
      </c>
      <c r="BV8" s="811">
        <v>37</v>
      </c>
      <c r="BW8" s="816">
        <v>0.63055555555555554</v>
      </c>
    </row>
    <row r="9" spans="1:75" ht="27" thickBot="1" x14ac:dyDescent="0.35">
      <c r="A9" s="811">
        <v>8</v>
      </c>
      <c r="B9" s="620" t="s">
        <v>5072</v>
      </c>
      <c r="C9" s="812" t="s">
        <v>80</v>
      </c>
      <c r="D9" s="811" t="s">
        <v>88</v>
      </c>
      <c r="E9" s="811">
        <v>13</v>
      </c>
      <c r="F9" s="813">
        <v>11.27361111111111</v>
      </c>
      <c r="G9" s="811">
        <v>0</v>
      </c>
      <c r="H9" s="811">
        <v>5</v>
      </c>
      <c r="I9" s="814">
        <v>5</v>
      </c>
      <c r="J9" s="811">
        <v>26</v>
      </c>
      <c r="K9" s="811" t="s">
        <v>78</v>
      </c>
      <c r="L9" s="811">
        <v>0</v>
      </c>
      <c r="M9" s="811">
        <v>3</v>
      </c>
      <c r="N9" s="811">
        <v>0</v>
      </c>
      <c r="O9" s="811">
        <v>0</v>
      </c>
      <c r="P9" s="811">
        <v>-1</v>
      </c>
      <c r="Q9" s="811">
        <v>6</v>
      </c>
      <c r="R9" s="816">
        <v>0.8666666666666667</v>
      </c>
      <c r="T9" s="619">
        <v>8</v>
      </c>
      <c r="U9" s="620" t="s">
        <v>5072</v>
      </c>
      <c r="V9" s="621" t="s">
        <v>80</v>
      </c>
      <c r="W9" s="619" t="s">
        <v>88</v>
      </c>
      <c r="X9" s="619">
        <v>25</v>
      </c>
      <c r="Y9" s="622">
        <v>20.788194444444446</v>
      </c>
      <c r="Z9" s="623">
        <v>3</v>
      </c>
      <c r="AA9" s="619">
        <v>8</v>
      </c>
      <c r="AB9" s="619">
        <v>11</v>
      </c>
      <c r="AC9" s="619">
        <v>50</v>
      </c>
      <c r="AD9" s="619" t="s">
        <v>5073</v>
      </c>
      <c r="AE9" s="619">
        <v>2</v>
      </c>
      <c r="AF9" s="619">
        <v>7</v>
      </c>
      <c r="AG9" s="619">
        <v>0</v>
      </c>
      <c r="AH9" s="619">
        <v>0</v>
      </c>
      <c r="AI9" s="619">
        <v>3</v>
      </c>
      <c r="AJ9" s="619">
        <v>20</v>
      </c>
      <c r="AK9" s="624">
        <v>0.83124999999999993</v>
      </c>
      <c r="AM9" s="811">
        <v>7</v>
      </c>
      <c r="AN9" s="620" t="s">
        <v>5072</v>
      </c>
      <c r="AO9" s="812" t="s">
        <v>80</v>
      </c>
      <c r="AP9" s="811" t="s">
        <v>88</v>
      </c>
      <c r="AQ9" s="811">
        <v>34</v>
      </c>
      <c r="AR9" s="813">
        <v>27.700694444444448</v>
      </c>
      <c r="AS9" s="811">
        <v>4</v>
      </c>
      <c r="AT9" s="811">
        <v>13</v>
      </c>
      <c r="AU9" s="814">
        <v>17</v>
      </c>
      <c r="AV9" s="811">
        <v>75</v>
      </c>
      <c r="AW9" s="815">
        <v>12175</v>
      </c>
      <c r="AX9" s="811">
        <v>3</v>
      </c>
      <c r="AY9" s="811">
        <v>10</v>
      </c>
      <c r="AZ9" s="811">
        <v>0</v>
      </c>
      <c r="BA9" s="811">
        <v>1</v>
      </c>
      <c r="BB9" s="811">
        <v>4</v>
      </c>
      <c r="BC9" s="811">
        <v>22</v>
      </c>
      <c r="BD9" s="816">
        <v>0.81458333333333333</v>
      </c>
      <c r="BF9" s="811">
        <v>7</v>
      </c>
      <c r="BG9" s="620" t="s">
        <v>5072</v>
      </c>
      <c r="BH9" s="812" t="s">
        <v>80</v>
      </c>
      <c r="BI9" s="811" t="s">
        <v>88</v>
      </c>
      <c r="BJ9" s="811">
        <v>47</v>
      </c>
      <c r="BK9" s="813">
        <v>38.037500000000001</v>
      </c>
      <c r="BL9" s="811">
        <v>8</v>
      </c>
      <c r="BM9" s="811">
        <v>17</v>
      </c>
      <c r="BN9" s="814">
        <v>25</v>
      </c>
      <c r="BO9" s="811">
        <v>100</v>
      </c>
      <c r="BP9" s="811" t="s">
        <v>2651</v>
      </c>
      <c r="BQ9" s="811">
        <v>6</v>
      </c>
      <c r="BR9" s="811">
        <v>17</v>
      </c>
      <c r="BS9" s="811">
        <v>0</v>
      </c>
      <c r="BT9" s="811">
        <v>2</v>
      </c>
      <c r="BU9" s="811">
        <v>3</v>
      </c>
      <c r="BV9" s="811">
        <v>28</v>
      </c>
      <c r="BW9" s="816">
        <v>0.80902777777777779</v>
      </c>
    </row>
    <row r="10" spans="1:75" ht="27" thickBot="1" x14ac:dyDescent="0.35">
      <c r="A10" s="811">
        <v>12</v>
      </c>
      <c r="B10" s="620" t="s">
        <v>5076</v>
      </c>
      <c r="C10" s="812" t="s">
        <v>80</v>
      </c>
      <c r="D10" s="811" t="s">
        <v>79</v>
      </c>
      <c r="E10" s="811">
        <v>11</v>
      </c>
      <c r="F10" s="813">
        <v>8.4375</v>
      </c>
      <c r="G10" s="811">
        <v>0</v>
      </c>
      <c r="H10" s="811">
        <v>2</v>
      </c>
      <c r="I10" s="814">
        <v>2</v>
      </c>
      <c r="J10" s="811">
        <v>21</v>
      </c>
      <c r="K10" s="811" t="s">
        <v>78</v>
      </c>
      <c r="L10" s="811">
        <v>0</v>
      </c>
      <c r="M10" s="811">
        <v>0</v>
      </c>
      <c r="N10" s="811">
        <v>0</v>
      </c>
      <c r="O10" s="811">
        <v>0</v>
      </c>
      <c r="P10" s="811">
        <v>-10</v>
      </c>
      <c r="Q10" s="811">
        <v>2</v>
      </c>
      <c r="R10" s="816">
        <v>0.76666666666666661</v>
      </c>
      <c r="T10" s="619">
        <v>14</v>
      </c>
      <c r="U10" s="620" t="s">
        <v>5076</v>
      </c>
      <c r="V10" s="621" t="s">
        <v>80</v>
      </c>
      <c r="W10" s="619" t="s">
        <v>79</v>
      </c>
      <c r="X10" s="619">
        <v>24</v>
      </c>
      <c r="Y10" s="622">
        <v>16.621527777777779</v>
      </c>
      <c r="Z10" s="623">
        <v>1</v>
      </c>
      <c r="AA10" s="619">
        <v>8</v>
      </c>
      <c r="AB10" s="619">
        <v>9</v>
      </c>
      <c r="AC10" s="619">
        <v>52</v>
      </c>
      <c r="AD10" s="625">
        <v>33604</v>
      </c>
      <c r="AE10" s="619">
        <v>0</v>
      </c>
      <c r="AF10" s="619">
        <v>1</v>
      </c>
      <c r="AG10" s="619">
        <v>0</v>
      </c>
      <c r="AH10" s="619">
        <v>0</v>
      </c>
      <c r="AI10" s="619">
        <v>-12</v>
      </c>
      <c r="AJ10" s="619">
        <v>2</v>
      </c>
      <c r="AK10" s="624">
        <v>0.69236111111111109</v>
      </c>
      <c r="AM10" s="811">
        <v>8</v>
      </c>
      <c r="AN10" s="620" t="s">
        <v>5076</v>
      </c>
      <c r="AO10" s="812" t="s">
        <v>80</v>
      </c>
      <c r="AP10" s="811" t="s">
        <v>79</v>
      </c>
      <c r="AQ10" s="811">
        <v>34</v>
      </c>
      <c r="AR10" s="813">
        <v>23.447916666666668</v>
      </c>
      <c r="AS10" s="811">
        <v>5</v>
      </c>
      <c r="AT10" s="811">
        <v>11</v>
      </c>
      <c r="AU10" s="814">
        <v>16</v>
      </c>
      <c r="AV10" s="811">
        <v>73</v>
      </c>
      <c r="AW10" s="815">
        <v>31199</v>
      </c>
      <c r="AX10" s="811">
        <v>2</v>
      </c>
      <c r="AY10" s="811">
        <v>4</v>
      </c>
      <c r="AZ10" s="811">
        <v>0</v>
      </c>
      <c r="BA10" s="811">
        <v>0</v>
      </c>
      <c r="BB10" s="811">
        <v>-12</v>
      </c>
      <c r="BC10" s="811">
        <v>4</v>
      </c>
      <c r="BD10" s="816">
        <v>0.68958333333333333</v>
      </c>
      <c r="BF10" s="811">
        <v>8</v>
      </c>
      <c r="BG10" s="640" t="s">
        <v>5076</v>
      </c>
      <c r="BH10" s="812" t="s">
        <v>80</v>
      </c>
      <c r="BI10" s="811" t="s">
        <v>79</v>
      </c>
      <c r="BJ10" s="811">
        <v>44</v>
      </c>
      <c r="BK10" s="813">
        <v>31.104861111111109</v>
      </c>
      <c r="BL10" s="811">
        <v>9</v>
      </c>
      <c r="BM10" s="811">
        <v>11</v>
      </c>
      <c r="BN10" s="823">
        <v>20</v>
      </c>
      <c r="BO10" s="811">
        <v>95</v>
      </c>
      <c r="BP10" s="815">
        <v>17411</v>
      </c>
      <c r="BQ10" s="811">
        <v>4</v>
      </c>
      <c r="BR10" s="811">
        <v>6</v>
      </c>
      <c r="BS10" s="811">
        <v>0</v>
      </c>
      <c r="BT10" s="811">
        <v>1</v>
      </c>
      <c r="BU10" s="811">
        <v>-13</v>
      </c>
      <c r="BV10" s="811">
        <v>10</v>
      </c>
      <c r="BW10" s="816">
        <v>0.70624999999999993</v>
      </c>
    </row>
    <row r="11" spans="1:75" ht="27" thickBot="1" x14ac:dyDescent="0.35">
      <c r="A11" s="811">
        <v>17</v>
      </c>
      <c r="B11" s="620" t="s">
        <v>4037</v>
      </c>
      <c r="C11" s="812" t="s">
        <v>80</v>
      </c>
      <c r="D11" s="811" t="s">
        <v>79</v>
      </c>
      <c r="E11" s="811">
        <v>2</v>
      </c>
      <c r="F11" s="816">
        <v>0.31458333333333333</v>
      </c>
      <c r="G11" s="811">
        <v>0</v>
      </c>
      <c r="H11" s="811">
        <v>0</v>
      </c>
      <c r="I11" s="814">
        <v>0</v>
      </c>
      <c r="J11" s="811">
        <v>0</v>
      </c>
      <c r="K11" s="811" t="s">
        <v>78</v>
      </c>
      <c r="L11" s="811">
        <v>0</v>
      </c>
      <c r="M11" s="811">
        <v>0</v>
      </c>
      <c r="N11" s="811">
        <v>0</v>
      </c>
      <c r="O11" s="811">
        <v>0</v>
      </c>
      <c r="P11" s="811">
        <v>0</v>
      </c>
      <c r="Q11" s="811">
        <v>0</v>
      </c>
      <c r="R11" s="816">
        <v>0.15694444444444444</v>
      </c>
      <c r="T11" s="619">
        <v>23</v>
      </c>
      <c r="U11" s="620" t="s">
        <v>4037</v>
      </c>
      <c r="V11" s="621" t="s">
        <v>80</v>
      </c>
      <c r="W11" s="619" t="s">
        <v>79</v>
      </c>
      <c r="X11" s="619">
        <v>2</v>
      </c>
      <c r="Y11" s="624">
        <v>0.31458333333333333</v>
      </c>
      <c r="Z11" s="623">
        <v>0</v>
      </c>
      <c r="AA11" s="619">
        <v>0</v>
      </c>
      <c r="AB11" s="619">
        <v>0</v>
      </c>
      <c r="AC11" s="619">
        <v>0</v>
      </c>
      <c r="AD11" s="619" t="s">
        <v>78</v>
      </c>
      <c r="AE11" s="619">
        <v>0</v>
      </c>
      <c r="AF11" s="619">
        <v>0</v>
      </c>
      <c r="AG11" s="619">
        <v>0</v>
      </c>
      <c r="AH11" s="619">
        <v>0</v>
      </c>
      <c r="AI11" s="619">
        <v>0</v>
      </c>
      <c r="AJ11" s="619">
        <v>0</v>
      </c>
      <c r="AK11" s="624">
        <v>0.15694444444444444</v>
      </c>
      <c r="AM11" s="811">
        <v>23</v>
      </c>
      <c r="AN11" s="620" t="s">
        <v>4037</v>
      </c>
      <c r="AO11" s="812" t="s">
        <v>80</v>
      </c>
      <c r="AP11" s="811" t="s">
        <v>79</v>
      </c>
      <c r="AQ11" s="811">
        <v>6</v>
      </c>
      <c r="AR11" s="813">
        <v>1.6527777777777777</v>
      </c>
      <c r="AS11" s="811">
        <v>1</v>
      </c>
      <c r="AT11" s="811">
        <v>0</v>
      </c>
      <c r="AU11" s="814">
        <v>1</v>
      </c>
      <c r="AV11" s="811">
        <v>6</v>
      </c>
      <c r="AW11" s="811" t="s">
        <v>1367</v>
      </c>
      <c r="AX11" s="811">
        <v>0</v>
      </c>
      <c r="AY11" s="811">
        <v>0</v>
      </c>
      <c r="AZ11" s="811">
        <v>0</v>
      </c>
      <c r="BA11" s="811">
        <v>0</v>
      </c>
      <c r="BB11" s="811">
        <v>1</v>
      </c>
      <c r="BC11" s="811">
        <v>0</v>
      </c>
      <c r="BD11" s="816">
        <v>0.27499999999999997</v>
      </c>
      <c r="BF11" s="811">
        <v>25</v>
      </c>
      <c r="BG11" s="620" t="s">
        <v>4037</v>
      </c>
      <c r="BH11" s="812" t="s">
        <v>80</v>
      </c>
      <c r="BI11" s="811" t="s">
        <v>79</v>
      </c>
      <c r="BJ11" s="811">
        <v>16</v>
      </c>
      <c r="BK11" s="813">
        <v>5.4430555555555555</v>
      </c>
      <c r="BL11" s="811">
        <v>1</v>
      </c>
      <c r="BM11" s="811">
        <v>0</v>
      </c>
      <c r="BN11" s="814">
        <v>1</v>
      </c>
      <c r="BO11" s="811">
        <v>14</v>
      </c>
      <c r="BP11" s="815">
        <v>41821</v>
      </c>
      <c r="BQ11" s="811">
        <v>0</v>
      </c>
      <c r="BR11" s="811">
        <v>0</v>
      </c>
      <c r="BS11" s="811">
        <v>0</v>
      </c>
      <c r="BT11" s="811">
        <v>0</v>
      </c>
      <c r="BU11" s="811">
        <v>-2</v>
      </c>
      <c r="BV11" s="811">
        <v>6</v>
      </c>
      <c r="BW11" s="816">
        <v>0.33958333333333335</v>
      </c>
    </row>
    <row r="12" spans="1:75" ht="27" thickBot="1" x14ac:dyDescent="0.35">
      <c r="A12" s="811">
        <v>13</v>
      </c>
      <c r="B12" s="620" t="s">
        <v>5075</v>
      </c>
      <c r="C12" s="812" t="s">
        <v>80</v>
      </c>
      <c r="D12" s="811" t="s">
        <v>88</v>
      </c>
      <c r="E12" s="811">
        <v>8</v>
      </c>
      <c r="F12" s="813">
        <v>5.3673611111111112</v>
      </c>
      <c r="G12" s="811">
        <v>1</v>
      </c>
      <c r="H12" s="811">
        <v>0</v>
      </c>
      <c r="I12" s="814">
        <v>1</v>
      </c>
      <c r="J12" s="811">
        <v>13</v>
      </c>
      <c r="K12" s="815">
        <v>25385</v>
      </c>
      <c r="L12" s="811">
        <v>0</v>
      </c>
      <c r="M12" s="811">
        <v>0</v>
      </c>
      <c r="N12" s="811">
        <v>0</v>
      </c>
      <c r="O12" s="811">
        <v>1</v>
      </c>
      <c r="P12" s="811">
        <v>-2</v>
      </c>
      <c r="Q12" s="811">
        <v>4</v>
      </c>
      <c r="R12" s="816">
        <v>0.67083333333333339</v>
      </c>
      <c r="T12" s="619">
        <v>11</v>
      </c>
      <c r="U12" s="620" t="s">
        <v>5075</v>
      </c>
      <c r="V12" s="621" t="s">
        <v>80</v>
      </c>
      <c r="W12" s="619" t="s">
        <v>88</v>
      </c>
      <c r="X12" s="619">
        <v>20</v>
      </c>
      <c r="Y12" s="622">
        <v>13.69375</v>
      </c>
      <c r="Z12" s="623">
        <v>2</v>
      </c>
      <c r="AA12" s="619">
        <v>1</v>
      </c>
      <c r="AB12" s="619">
        <v>3</v>
      </c>
      <c r="AC12" s="619">
        <v>35</v>
      </c>
      <c r="AD12" s="625">
        <v>26054</v>
      </c>
      <c r="AE12" s="619">
        <v>1</v>
      </c>
      <c r="AF12" s="619">
        <v>1</v>
      </c>
      <c r="AG12" s="619">
        <v>0</v>
      </c>
      <c r="AH12" s="619">
        <v>1</v>
      </c>
      <c r="AI12" s="619">
        <v>-9</v>
      </c>
      <c r="AJ12" s="619">
        <v>8</v>
      </c>
      <c r="AK12" s="624">
        <v>0.68402777777777779</v>
      </c>
      <c r="AM12" s="811">
        <v>19</v>
      </c>
      <c r="AN12" s="620" t="s">
        <v>5075</v>
      </c>
      <c r="AO12" s="812" t="s">
        <v>80</v>
      </c>
      <c r="AP12" s="811" t="s">
        <v>88</v>
      </c>
      <c r="AQ12" s="811">
        <v>27</v>
      </c>
      <c r="AR12" s="813">
        <v>17.280555555555555</v>
      </c>
      <c r="AS12" s="811">
        <v>2</v>
      </c>
      <c r="AT12" s="811">
        <v>1</v>
      </c>
      <c r="AU12" s="814">
        <v>3</v>
      </c>
      <c r="AV12" s="811">
        <v>40</v>
      </c>
      <c r="AW12" s="811" t="s">
        <v>4397</v>
      </c>
      <c r="AX12" s="811">
        <v>1</v>
      </c>
      <c r="AY12" s="811">
        <v>1</v>
      </c>
      <c r="AZ12" s="811">
        <v>0</v>
      </c>
      <c r="BA12" s="811">
        <v>1</v>
      </c>
      <c r="BB12" s="811">
        <v>-8</v>
      </c>
      <c r="BC12" s="811">
        <v>12</v>
      </c>
      <c r="BD12" s="816">
        <v>0.63958333333333328</v>
      </c>
      <c r="BF12" s="811">
        <v>19</v>
      </c>
      <c r="BG12" s="620" t="s">
        <v>5075</v>
      </c>
      <c r="BH12" s="812" t="s">
        <v>80</v>
      </c>
      <c r="BI12" s="811" t="s">
        <v>88</v>
      </c>
      <c r="BJ12" s="811">
        <v>34</v>
      </c>
      <c r="BK12" s="813">
        <v>21.086805555555554</v>
      </c>
      <c r="BL12" s="811">
        <v>2</v>
      </c>
      <c r="BM12" s="811">
        <v>1</v>
      </c>
      <c r="BN12" s="814">
        <v>3</v>
      </c>
      <c r="BO12" s="811">
        <v>49</v>
      </c>
      <c r="BP12" s="840">
        <v>45142</v>
      </c>
      <c r="BQ12" s="811">
        <v>1</v>
      </c>
      <c r="BR12" s="811">
        <v>1</v>
      </c>
      <c r="BS12" s="811">
        <v>0</v>
      </c>
      <c r="BT12" s="811">
        <v>1</v>
      </c>
      <c r="BU12" s="811">
        <v>-10</v>
      </c>
      <c r="BV12" s="811">
        <v>12</v>
      </c>
      <c r="BW12" s="816">
        <v>0.62013888888888891</v>
      </c>
    </row>
    <row r="13" spans="1:75" ht="27" thickBot="1" x14ac:dyDescent="0.35">
      <c r="A13" s="811">
        <v>6</v>
      </c>
      <c r="B13" s="620" t="s">
        <v>5074</v>
      </c>
      <c r="C13" s="812" t="s">
        <v>80</v>
      </c>
      <c r="D13" s="811" t="s">
        <v>88</v>
      </c>
      <c r="E13" s="811">
        <v>13</v>
      </c>
      <c r="F13" s="813">
        <v>11.68125</v>
      </c>
      <c r="G13" s="811">
        <v>2</v>
      </c>
      <c r="H13" s="811">
        <v>5</v>
      </c>
      <c r="I13" s="814">
        <v>7</v>
      </c>
      <c r="J13" s="811">
        <v>29</v>
      </c>
      <c r="K13" s="815">
        <v>33025</v>
      </c>
      <c r="L13" s="811">
        <v>1</v>
      </c>
      <c r="M13" s="811">
        <v>3</v>
      </c>
      <c r="N13" s="811">
        <v>0</v>
      </c>
      <c r="O13" s="811">
        <v>0</v>
      </c>
      <c r="P13" s="811">
        <v>3</v>
      </c>
      <c r="Q13" s="811">
        <v>14</v>
      </c>
      <c r="R13" s="816">
        <v>0.8979166666666667</v>
      </c>
      <c r="T13" s="619">
        <v>9</v>
      </c>
      <c r="U13" s="620" t="s">
        <v>5074</v>
      </c>
      <c r="V13" s="621" t="s">
        <v>80</v>
      </c>
      <c r="W13" s="619" t="s">
        <v>88</v>
      </c>
      <c r="X13" s="619">
        <v>26</v>
      </c>
      <c r="Y13" s="622">
        <v>22.607638888888889</v>
      </c>
      <c r="Z13" s="623">
        <v>2</v>
      </c>
      <c r="AA13" s="619">
        <v>9</v>
      </c>
      <c r="AB13" s="619">
        <v>11</v>
      </c>
      <c r="AC13" s="619">
        <v>47</v>
      </c>
      <c r="AD13" s="625">
        <v>46113</v>
      </c>
      <c r="AE13" s="619">
        <v>1</v>
      </c>
      <c r="AF13" s="619">
        <v>4</v>
      </c>
      <c r="AG13" s="619">
        <v>0</v>
      </c>
      <c r="AH13" s="619">
        <v>0</v>
      </c>
      <c r="AI13" s="619">
        <v>2</v>
      </c>
      <c r="AJ13" s="619">
        <v>14</v>
      </c>
      <c r="AK13" s="624">
        <v>0.86944444444444446</v>
      </c>
      <c r="AM13" s="811">
        <v>9</v>
      </c>
      <c r="AN13" s="620" t="s">
        <v>5074</v>
      </c>
      <c r="AO13" s="812" t="s">
        <v>80</v>
      </c>
      <c r="AP13" s="811" t="s">
        <v>88</v>
      </c>
      <c r="AQ13" s="811">
        <v>39</v>
      </c>
      <c r="AR13" s="813">
        <v>34.834722222222219</v>
      </c>
      <c r="AS13" s="811">
        <v>2</v>
      </c>
      <c r="AT13" s="811">
        <v>13</v>
      </c>
      <c r="AU13" s="814">
        <v>15</v>
      </c>
      <c r="AV13" s="811">
        <v>66</v>
      </c>
      <c r="AW13" s="840">
        <v>44988</v>
      </c>
      <c r="AX13" s="811">
        <v>1</v>
      </c>
      <c r="AY13" s="811">
        <v>6</v>
      </c>
      <c r="AZ13" s="811">
        <v>0</v>
      </c>
      <c r="BA13" s="811">
        <v>0</v>
      </c>
      <c r="BB13" s="811">
        <v>3</v>
      </c>
      <c r="BC13" s="811">
        <v>16</v>
      </c>
      <c r="BD13" s="816">
        <v>0.8930555555555556</v>
      </c>
      <c r="BF13" s="811">
        <v>9</v>
      </c>
      <c r="BG13" s="620" t="s">
        <v>5074</v>
      </c>
      <c r="BH13" s="812" t="s">
        <v>80</v>
      </c>
      <c r="BI13" s="811" t="s">
        <v>88</v>
      </c>
      <c r="BJ13" s="811">
        <v>50</v>
      </c>
      <c r="BK13" s="813">
        <v>44.664583333333333</v>
      </c>
      <c r="BL13" s="811">
        <v>2</v>
      </c>
      <c r="BM13" s="811">
        <v>15</v>
      </c>
      <c r="BN13" s="814">
        <v>17</v>
      </c>
      <c r="BO13" s="811">
        <v>84</v>
      </c>
      <c r="BP13" s="815">
        <v>13912</v>
      </c>
      <c r="BQ13" s="811">
        <v>1</v>
      </c>
      <c r="BR13" s="811">
        <v>8</v>
      </c>
      <c r="BS13" s="811">
        <v>0</v>
      </c>
      <c r="BT13" s="811">
        <v>0</v>
      </c>
      <c r="BU13" s="811">
        <v>2</v>
      </c>
      <c r="BV13" s="811">
        <v>18</v>
      </c>
      <c r="BW13" s="816">
        <v>0.8930555555555556</v>
      </c>
    </row>
    <row r="14" spans="1:75" ht="26.25" customHeight="1" thickBot="1" x14ac:dyDescent="0.35">
      <c r="A14" s="811">
        <v>10</v>
      </c>
      <c r="B14" s="620" t="s">
        <v>1227</v>
      </c>
      <c r="C14" s="812" t="s">
        <v>80</v>
      </c>
      <c r="D14" s="811" t="s">
        <v>79</v>
      </c>
      <c r="E14" s="811">
        <v>11</v>
      </c>
      <c r="F14" s="813">
        <v>5.5138888888888893</v>
      </c>
      <c r="G14" s="811">
        <v>0</v>
      </c>
      <c r="H14" s="811">
        <v>3</v>
      </c>
      <c r="I14" s="814">
        <v>3</v>
      </c>
      <c r="J14" s="811">
        <v>18</v>
      </c>
      <c r="K14" s="811" t="s">
        <v>78</v>
      </c>
      <c r="L14" s="811">
        <v>0</v>
      </c>
      <c r="M14" s="811">
        <v>0</v>
      </c>
      <c r="N14" s="811">
        <v>0</v>
      </c>
      <c r="O14" s="811">
        <v>0</v>
      </c>
      <c r="P14" s="811">
        <v>-3</v>
      </c>
      <c r="Q14" s="811">
        <v>4</v>
      </c>
      <c r="R14" s="816">
        <v>0.50069444444444444</v>
      </c>
      <c r="T14" s="619">
        <v>20</v>
      </c>
      <c r="U14" s="620" t="s">
        <v>1227</v>
      </c>
      <c r="V14" s="621" t="s">
        <v>80</v>
      </c>
      <c r="W14" s="619" t="s">
        <v>79</v>
      </c>
      <c r="X14" s="619">
        <v>15</v>
      </c>
      <c r="Y14" s="622">
        <v>6.4951388888888886</v>
      </c>
      <c r="Z14" s="623">
        <v>0</v>
      </c>
      <c r="AA14" s="619">
        <v>3</v>
      </c>
      <c r="AB14" s="619">
        <v>3</v>
      </c>
      <c r="AC14" s="619">
        <v>20</v>
      </c>
      <c r="AD14" s="619" t="s">
        <v>78</v>
      </c>
      <c r="AE14" s="619">
        <v>0</v>
      </c>
      <c r="AF14" s="619">
        <v>0</v>
      </c>
      <c r="AG14" s="619">
        <v>0</v>
      </c>
      <c r="AH14" s="619">
        <v>0</v>
      </c>
      <c r="AI14" s="619">
        <v>-4</v>
      </c>
      <c r="AJ14" s="619">
        <v>6</v>
      </c>
      <c r="AK14" s="624">
        <v>0.43263888888888885</v>
      </c>
      <c r="AM14" s="811">
        <v>20</v>
      </c>
      <c r="AN14" s="620" t="s">
        <v>1227</v>
      </c>
      <c r="AO14" s="812" t="s">
        <v>80</v>
      </c>
      <c r="AP14" s="811" t="s">
        <v>79</v>
      </c>
      <c r="AQ14" s="811">
        <v>17</v>
      </c>
      <c r="AR14" s="813">
        <v>6.8881944444444443</v>
      </c>
      <c r="AS14" s="811">
        <v>0</v>
      </c>
      <c r="AT14" s="811">
        <v>3</v>
      </c>
      <c r="AU14" s="814">
        <v>3</v>
      </c>
      <c r="AV14" s="811">
        <v>20</v>
      </c>
      <c r="AW14" s="811" t="s">
        <v>78</v>
      </c>
      <c r="AX14" s="811">
        <v>0</v>
      </c>
      <c r="AY14" s="811">
        <v>0</v>
      </c>
      <c r="AZ14" s="811">
        <v>0</v>
      </c>
      <c r="BA14" s="811">
        <v>0</v>
      </c>
      <c r="BB14" s="811">
        <v>-4</v>
      </c>
      <c r="BC14" s="811">
        <v>6</v>
      </c>
      <c r="BD14" s="816">
        <v>0.40486111111111112</v>
      </c>
      <c r="BF14" s="811">
        <v>20</v>
      </c>
      <c r="BG14" s="620" t="s">
        <v>1227</v>
      </c>
      <c r="BH14" s="812" t="s">
        <v>80</v>
      </c>
      <c r="BI14" s="811" t="s">
        <v>79</v>
      </c>
      <c r="BJ14" s="811">
        <v>20</v>
      </c>
      <c r="BK14" s="813">
        <v>7.4923611111111112</v>
      </c>
      <c r="BL14" s="811">
        <v>0</v>
      </c>
      <c r="BM14" s="811">
        <v>3</v>
      </c>
      <c r="BN14" s="814">
        <v>3</v>
      </c>
      <c r="BO14" s="811">
        <v>21</v>
      </c>
      <c r="BP14" s="811" t="s">
        <v>78</v>
      </c>
      <c r="BQ14" s="811">
        <v>0</v>
      </c>
      <c r="BR14" s="811">
        <v>0</v>
      </c>
      <c r="BS14" s="811">
        <v>0</v>
      </c>
      <c r="BT14" s="811">
        <v>0</v>
      </c>
      <c r="BU14" s="811">
        <v>-5</v>
      </c>
      <c r="BV14" s="811">
        <v>6</v>
      </c>
      <c r="BW14" s="816">
        <v>0.3743055555555555</v>
      </c>
    </row>
    <row r="15" spans="1:75" ht="27" thickBot="1" x14ac:dyDescent="0.35">
      <c r="A15" s="811">
        <v>21</v>
      </c>
      <c r="B15" s="620" t="s">
        <v>83</v>
      </c>
      <c r="C15" s="812" t="s">
        <v>80</v>
      </c>
      <c r="D15" s="811" t="s">
        <v>79</v>
      </c>
      <c r="E15" s="811">
        <v>10</v>
      </c>
      <c r="F15" s="813">
        <v>2.869444444444444</v>
      </c>
      <c r="G15" s="811">
        <v>0</v>
      </c>
      <c r="H15" s="811">
        <v>0</v>
      </c>
      <c r="I15" s="814">
        <v>0</v>
      </c>
      <c r="J15" s="811">
        <v>2</v>
      </c>
      <c r="K15" s="811" t="s">
        <v>78</v>
      </c>
      <c r="L15" s="811">
        <v>0</v>
      </c>
      <c r="M15" s="811">
        <v>0</v>
      </c>
      <c r="N15" s="811">
        <v>0</v>
      </c>
      <c r="O15" s="811">
        <v>0</v>
      </c>
      <c r="P15" s="811">
        <v>-1</v>
      </c>
      <c r="Q15" s="811">
        <v>6</v>
      </c>
      <c r="R15" s="816">
        <v>0.28680555555555554</v>
      </c>
      <c r="T15" s="619">
        <v>18</v>
      </c>
      <c r="U15" s="620" t="s">
        <v>83</v>
      </c>
      <c r="V15" s="621" t="s">
        <v>80</v>
      </c>
      <c r="W15" s="619" t="s">
        <v>79</v>
      </c>
      <c r="X15" s="619">
        <v>22</v>
      </c>
      <c r="Y15" s="622">
        <v>6.895833333333333</v>
      </c>
      <c r="Z15" s="623">
        <v>1</v>
      </c>
      <c r="AA15" s="619">
        <v>1</v>
      </c>
      <c r="AB15" s="619">
        <v>2</v>
      </c>
      <c r="AC15" s="619">
        <v>11</v>
      </c>
      <c r="AD15" s="639">
        <v>44813</v>
      </c>
      <c r="AE15" s="619">
        <v>0</v>
      </c>
      <c r="AF15" s="619">
        <v>0</v>
      </c>
      <c r="AG15" s="619">
        <v>0</v>
      </c>
      <c r="AH15" s="619">
        <v>0</v>
      </c>
      <c r="AI15" s="619">
        <v>1</v>
      </c>
      <c r="AJ15" s="619">
        <v>8</v>
      </c>
      <c r="AK15" s="624">
        <v>0.31319444444444444</v>
      </c>
      <c r="AM15" s="811">
        <v>18</v>
      </c>
      <c r="AN15" s="620" t="s">
        <v>83</v>
      </c>
      <c r="AO15" s="812" t="s">
        <v>80</v>
      </c>
      <c r="AP15" s="811" t="s">
        <v>79</v>
      </c>
      <c r="AQ15" s="811">
        <v>33</v>
      </c>
      <c r="AR15" s="813">
        <v>11.275694444444445</v>
      </c>
      <c r="AS15" s="811">
        <v>1</v>
      </c>
      <c r="AT15" s="811">
        <v>4</v>
      </c>
      <c r="AU15" s="814">
        <v>5</v>
      </c>
      <c r="AV15" s="811">
        <v>16</v>
      </c>
      <c r="AW15" s="815">
        <v>45809</v>
      </c>
      <c r="AX15" s="811">
        <v>0</v>
      </c>
      <c r="AY15" s="811">
        <v>0</v>
      </c>
      <c r="AZ15" s="811">
        <v>0</v>
      </c>
      <c r="BA15" s="811">
        <v>0</v>
      </c>
      <c r="BB15" s="811">
        <v>2</v>
      </c>
      <c r="BC15" s="811">
        <v>16</v>
      </c>
      <c r="BD15" s="816">
        <v>0.34166666666666662</v>
      </c>
      <c r="BF15" s="811">
        <v>17</v>
      </c>
      <c r="BG15" s="620" t="s">
        <v>83</v>
      </c>
      <c r="BH15" s="812" t="s">
        <v>80</v>
      </c>
      <c r="BI15" s="811" t="s">
        <v>79</v>
      </c>
      <c r="BJ15" s="811">
        <v>46</v>
      </c>
      <c r="BK15" s="813">
        <v>17.849999999999998</v>
      </c>
      <c r="BL15" s="811">
        <v>1</v>
      </c>
      <c r="BM15" s="811">
        <v>5</v>
      </c>
      <c r="BN15" s="814">
        <v>6</v>
      </c>
      <c r="BO15" s="811">
        <v>23</v>
      </c>
      <c r="BP15" s="815">
        <v>12875</v>
      </c>
      <c r="BQ15" s="811">
        <v>0</v>
      </c>
      <c r="BR15" s="811">
        <v>0</v>
      </c>
      <c r="BS15" s="811">
        <v>0</v>
      </c>
      <c r="BT15" s="811">
        <v>0</v>
      </c>
      <c r="BU15" s="811">
        <v>0</v>
      </c>
      <c r="BV15" s="811">
        <v>23</v>
      </c>
      <c r="BW15" s="816">
        <v>0.38750000000000001</v>
      </c>
    </row>
    <row r="16" spans="1:75" ht="27" thickBot="1" x14ac:dyDescent="0.35">
      <c r="A16" s="811">
        <v>18</v>
      </c>
      <c r="B16" s="620" t="s">
        <v>4398</v>
      </c>
      <c r="C16" s="812" t="s">
        <v>80</v>
      </c>
      <c r="D16" s="811" t="s">
        <v>79</v>
      </c>
      <c r="E16" s="811">
        <v>3</v>
      </c>
      <c r="F16" s="813">
        <v>1.4784722222222222</v>
      </c>
      <c r="G16" s="811">
        <v>0</v>
      </c>
      <c r="H16" s="811">
        <v>0</v>
      </c>
      <c r="I16" s="814">
        <v>0</v>
      </c>
      <c r="J16" s="811">
        <v>3</v>
      </c>
      <c r="K16" s="811" t="s">
        <v>78</v>
      </c>
      <c r="L16" s="811">
        <v>0</v>
      </c>
      <c r="M16" s="811">
        <v>0</v>
      </c>
      <c r="N16" s="811">
        <v>0</v>
      </c>
      <c r="O16" s="811">
        <v>0</v>
      </c>
      <c r="P16" s="811">
        <v>-1</v>
      </c>
      <c r="Q16" s="811">
        <v>0</v>
      </c>
      <c r="R16" s="816">
        <v>0.49236111111111108</v>
      </c>
      <c r="T16" s="619">
        <v>24</v>
      </c>
      <c r="U16" s="620" t="s">
        <v>4398</v>
      </c>
      <c r="V16" s="621" t="s">
        <v>80</v>
      </c>
      <c r="W16" s="619" t="s">
        <v>79</v>
      </c>
      <c r="X16" s="619">
        <v>4</v>
      </c>
      <c r="Y16" s="622">
        <v>1.8513888888888888</v>
      </c>
      <c r="Z16" s="623">
        <v>0</v>
      </c>
      <c r="AA16" s="619">
        <v>0</v>
      </c>
      <c r="AB16" s="619">
        <v>0</v>
      </c>
      <c r="AC16" s="619">
        <v>3</v>
      </c>
      <c r="AD16" s="619" t="s">
        <v>78</v>
      </c>
      <c r="AE16" s="619">
        <v>0</v>
      </c>
      <c r="AF16" s="619">
        <v>0</v>
      </c>
      <c r="AG16" s="619">
        <v>0</v>
      </c>
      <c r="AH16" s="619">
        <v>0</v>
      </c>
      <c r="AI16" s="619">
        <v>-2</v>
      </c>
      <c r="AJ16" s="619">
        <v>0</v>
      </c>
      <c r="AK16" s="624">
        <v>0.46249999999999997</v>
      </c>
      <c r="AM16" s="811">
        <v>24</v>
      </c>
      <c r="AN16" s="620" t="s">
        <v>4398</v>
      </c>
      <c r="AO16" s="812" t="s">
        <v>80</v>
      </c>
      <c r="AP16" s="811" t="s">
        <v>79</v>
      </c>
      <c r="AQ16" s="811">
        <v>9</v>
      </c>
      <c r="AR16" s="813">
        <v>3.3270833333333329</v>
      </c>
      <c r="AS16" s="811">
        <v>1</v>
      </c>
      <c r="AT16" s="811">
        <v>0</v>
      </c>
      <c r="AU16" s="814">
        <v>1</v>
      </c>
      <c r="AV16" s="811">
        <v>9</v>
      </c>
      <c r="AW16" s="840">
        <v>45241</v>
      </c>
      <c r="AX16" s="811">
        <v>0</v>
      </c>
      <c r="AY16" s="811">
        <v>0</v>
      </c>
      <c r="AZ16" s="811">
        <v>0</v>
      </c>
      <c r="BA16" s="811">
        <v>0</v>
      </c>
      <c r="BB16" s="811">
        <v>-3</v>
      </c>
      <c r="BC16" s="811">
        <v>0</v>
      </c>
      <c r="BD16" s="816">
        <v>0.36944444444444446</v>
      </c>
      <c r="BF16" s="811">
        <v>24</v>
      </c>
      <c r="BG16" s="620" t="s">
        <v>4398</v>
      </c>
      <c r="BH16" s="812" t="s">
        <v>80</v>
      </c>
      <c r="BI16" s="811" t="s">
        <v>79</v>
      </c>
      <c r="BJ16" s="811">
        <v>9</v>
      </c>
      <c r="BK16" s="813">
        <v>3.3270833333333329</v>
      </c>
      <c r="BL16" s="811">
        <v>1</v>
      </c>
      <c r="BM16" s="811">
        <v>0</v>
      </c>
      <c r="BN16" s="814">
        <v>1</v>
      </c>
      <c r="BO16" s="811">
        <v>9</v>
      </c>
      <c r="BP16" s="840">
        <v>45241</v>
      </c>
      <c r="BQ16" s="811">
        <v>0</v>
      </c>
      <c r="BR16" s="811">
        <v>0</v>
      </c>
      <c r="BS16" s="811">
        <v>0</v>
      </c>
      <c r="BT16" s="811">
        <v>0</v>
      </c>
      <c r="BU16" s="811">
        <v>-3</v>
      </c>
      <c r="BV16" s="811">
        <v>0</v>
      </c>
      <c r="BW16" s="816">
        <v>0.36944444444444446</v>
      </c>
    </row>
    <row r="17" spans="1:75" ht="27" thickBot="1" x14ac:dyDescent="0.35">
      <c r="A17" s="811">
        <v>7</v>
      </c>
      <c r="B17" s="620" t="s">
        <v>4173</v>
      </c>
      <c r="C17" s="812" t="s">
        <v>80</v>
      </c>
      <c r="D17" s="811" t="s">
        <v>79</v>
      </c>
      <c r="E17" s="811">
        <v>13</v>
      </c>
      <c r="F17" s="813">
        <v>11.392361111111112</v>
      </c>
      <c r="G17" s="811">
        <v>3</v>
      </c>
      <c r="H17" s="811">
        <v>3</v>
      </c>
      <c r="I17" s="814">
        <v>6</v>
      </c>
      <c r="J17" s="811">
        <v>16</v>
      </c>
      <c r="K17" s="811" t="s">
        <v>4262</v>
      </c>
      <c r="L17" s="811">
        <v>0</v>
      </c>
      <c r="M17" s="811">
        <v>1</v>
      </c>
      <c r="N17" s="811">
        <v>0</v>
      </c>
      <c r="O17" s="811">
        <v>0</v>
      </c>
      <c r="P17" s="811">
        <v>-2</v>
      </c>
      <c r="Q17" s="811">
        <v>4</v>
      </c>
      <c r="R17" s="816">
        <v>0.87569444444444444</v>
      </c>
      <c r="T17" s="619">
        <v>5</v>
      </c>
      <c r="U17" s="620" t="s">
        <v>4173</v>
      </c>
      <c r="V17" s="621" t="s">
        <v>80</v>
      </c>
      <c r="W17" s="619" t="s">
        <v>79</v>
      </c>
      <c r="X17" s="619">
        <v>26</v>
      </c>
      <c r="Y17" s="622">
        <v>21.265277777777779</v>
      </c>
      <c r="Z17" s="623">
        <v>6</v>
      </c>
      <c r="AA17" s="619">
        <v>8</v>
      </c>
      <c r="AB17" s="619">
        <v>14</v>
      </c>
      <c r="AC17" s="619">
        <v>34</v>
      </c>
      <c r="AD17" s="619" t="s">
        <v>1682</v>
      </c>
      <c r="AE17" s="619">
        <v>0</v>
      </c>
      <c r="AF17" s="619">
        <v>3</v>
      </c>
      <c r="AG17" s="619">
        <v>0</v>
      </c>
      <c r="AH17" s="619">
        <v>0</v>
      </c>
      <c r="AI17" s="619">
        <v>-3</v>
      </c>
      <c r="AJ17" s="619">
        <v>18</v>
      </c>
      <c r="AK17" s="624">
        <v>0.81736111111111109</v>
      </c>
      <c r="AM17" s="811">
        <v>5</v>
      </c>
      <c r="AN17" s="620" t="s">
        <v>4173</v>
      </c>
      <c r="AO17" s="812" t="s">
        <v>80</v>
      </c>
      <c r="AP17" s="811" t="s">
        <v>79</v>
      </c>
      <c r="AQ17" s="811">
        <v>39</v>
      </c>
      <c r="AR17" s="813">
        <v>32.511805555555554</v>
      </c>
      <c r="AS17" s="811">
        <v>9</v>
      </c>
      <c r="AT17" s="811">
        <v>11</v>
      </c>
      <c r="AU17" s="814">
        <v>20</v>
      </c>
      <c r="AV17" s="811">
        <v>59</v>
      </c>
      <c r="AW17" s="811" t="s">
        <v>1371</v>
      </c>
      <c r="AX17" s="811">
        <v>3</v>
      </c>
      <c r="AY17" s="811">
        <v>7</v>
      </c>
      <c r="AZ17" s="811">
        <v>0</v>
      </c>
      <c r="BA17" s="811">
        <v>0</v>
      </c>
      <c r="BB17" s="811">
        <v>-2</v>
      </c>
      <c r="BC17" s="811">
        <v>38</v>
      </c>
      <c r="BD17" s="816">
        <v>0.83333333333333337</v>
      </c>
      <c r="BF17" s="811">
        <v>5</v>
      </c>
      <c r="BG17" s="620" t="s">
        <v>4173</v>
      </c>
      <c r="BH17" s="812" t="s">
        <v>80</v>
      </c>
      <c r="BI17" s="811" t="s">
        <v>79</v>
      </c>
      <c r="BJ17" s="811">
        <v>52</v>
      </c>
      <c r="BK17" s="813">
        <v>43.718055555555559</v>
      </c>
      <c r="BL17" s="811">
        <v>9</v>
      </c>
      <c r="BM17" s="811">
        <v>18</v>
      </c>
      <c r="BN17" s="814">
        <v>27</v>
      </c>
      <c r="BO17" s="811">
        <v>76</v>
      </c>
      <c r="BP17" s="815">
        <v>30987</v>
      </c>
      <c r="BQ17" s="811">
        <v>3</v>
      </c>
      <c r="BR17" s="811">
        <v>10</v>
      </c>
      <c r="BS17" s="811">
        <v>0</v>
      </c>
      <c r="BT17" s="811">
        <v>0</v>
      </c>
      <c r="BU17" s="811">
        <v>-1</v>
      </c>
      <c r="BV17" s="811">
        <v>52</v>
      </c>
      <c r="BW17" s="816">
        <v>0.84027777777777779</v>
      </c>
    </row>
    <row r="18" spans="1:75" ht="27" customHeight="1" thickBot="1" x14ac:dyDescent="0.35">
      <c r="A18" s="811">
        <v>9</v>
      </c>
      <c r="B18" s="620" t="s">
        <v>5070</v>
      </c>
      <c r="C18" s="812" t="s">
        <v>80</v>
      </c>
      <c r="D18" s="811" t="s">
        <v>79</v>
      </c>
      <c r="E18" s="811">
        <v>8</v>
      </c>
      <c r="F18" s="813">
        <v>3.848611111111111</v>
      </c>
      <c r="G18" s="811">
        <v>3</v>
      </c>
      <c r="H18" s="811">
        <v>1</v>
      </c>
      <c r="I18" s="814">
        <v>4</v>
      </c>
      <c r="J18" s="811">
        <v>4</v>
      </c>
      <c r="K18" s="811" t="s">
        <v>1341</v>
      </c>
      <c r="L18" s="811">
        <v>1</v>
      </c>
      <c r="M18" s="811">
        <v>1</v>
      </c>
      <c r="N18" s="811">
        <v>0</v>
      </c>
      <c r="O18" s="811">
        <v>0</v>
      </c>
      <c r="P18" s="811">
        <v>5</v>
      </c>
      <c r="Q18" s="811">
        <v>4</v>
      </c>
      <c r="R18" s="816">
        <v>0.48055555555555557</v>
      </c>
      <c r="T18" s="619">
        <v>7</v>
      </c>
      <c r="U18" s="620" t="s">
        <v>5070</v>
      </c>
      <c r="V18" s="621" t="s">
        <v>80</v>
      </c>
      <c r="W18" s="619" t="s">
        <v>79</v>
      </c>
      <c r="X18" s="619">
        <v>20</v>
      </c>
      <c r="Y18" s="622">
        <v>10.84513888888889</v>
      </c>
      <c r="Z18" s="623">
        <v>4</v>
      </c>
      <c r="AA18" s="619">
        <v>1</v>
      </c>
      <c r="AB18" s="619">
        <v>5</v>
      </c>
      <c r="AC18" s="619">
        <v>11</v>
      </c>
      <c r="AD18" s="619" t="s">
        <v>5071</v>
      </c>
      <c r="AE18" s="619">
        <v>2</v>
      </c>
      <c r="AF18" s="619">
        <v>2</v>
      </c>
      <c r="AG18" s="619">
        <v>0</v>
      </c>
      <c r="AH18" s="619">
        <v>1</v>
      </c>
      <c r="AI18" s="619">
        <v>-2</v>
      </c>
      <c r="AJ18" s="619">
        <v>4</v>
      </c>
      <c r="AK18" s="624">
        <v>0.54166666666666663</v>
      </c>
      <c r="AM18" s="811">
        <v>14</v>
      </c>
      <c r="AN18" s="620" t="s">
        <v>5070</v>
      </c>
      <c r="AO18" s="812" t="s">
        <v>80</v>
      </c>
      <c r="AP18" s="811" t="s">
        <v>79</v>
      </c>
      <c r="AQ18" s="811">
        <v>32</v>
      </c>
      <c r="AR18" s="813">
        <v>16.622916666666665</v>
      </c>
      <c r="AS18" s="811">
        <v>4</v>
      </c>
      <c r="AT18" s="811">
        <v>2</v>
      </c>
      <c r="AU18" s="814">
        <v>6</v>
      </c>
      <c r="AV18" s="811">
        <v>14</v>
      </c>
      <c r="AW18" s="811" t="s">
        <v>4272</v>
      </c>
      <c r="AX18" s="811">
        <v>2</v>
      </c>
      <c r="AY18" s="811">
        <v>2</v>
      </c>
      <c r="AZ18" s="811">
        <v>0</v>
      </c>
      <c r="BA18" s="811">
        <v>1</v>
      </c>
      <c r="BB18" s="811">
        <v>-2</v>
      </c>
      <c r="BC18" s="811">
        <v>9</v>
      </c>
      <c r="BD18" s="816">
        <v>0.51944444444444449</v>
      </c>
      <c r="BF18" s="811">
        <v>14</v>
      </c>
      <c r="BG18" s="620" t="s">
        <v>5070</v>
      </c>
      <c r="BH18" s="812" t="s">
        <v>80</v>
      </c>
      <c r="BI18" s="811" t="s">
        <v>79</v>
      </c>
      <c r="BJ18" s="811">
        <v>41</v>
      </c>
      <c r="BK18" s="813">
        <v>22.28125</v>
      </c>
      <c r="BL18" s="811">
        <v>4</v>
      </c>
      <c r="BM18" s="811">
        <v>3</v>
      </c>
      <c r="BN18" s="814">
        <v>7</v>
      </c>
      <c r="BO18" s="811">
        <v>17</v>
      </c>
      <c r="BP18" s="811" t="s">
        <v>1465</v>
      </c>
      <c r="BQ18" s="811">
        <v>2</v>
      </c>
      <c r="BR18" s="811">
        <v>3</v>
      </c>
      <c r="BS18" s="811">
        <v>0</v>
      </c>
      <c r="BT18" s="811">
        <v>1</v>
      </c>
      <c r="BU18" s="811">
        <v>-6</v>
      </c>
      <c r="BV18" s="811">
        <v>11</v>
      </c>
      <c r="BW18" s="816">
        <v>0.54305555555555551</v>
      </c>
    </row>
    <row r="19" spans="1:75" ht="27" thickBot="1" x14ac:dyDescent="0.35">
      <c r="A19" s="811">
        <v>5</v>
      </c>
      <c r="B19" s="620" t="s">
        <v>5069</v>
      </c>
      <c r="C19" s="812" t="s">
        <v>80</v>
      </c>
      <c r="D19" s="811" t="s">
        <v>79</v>
      </c>
      <c r="E19" s="811">
        <v>13</v>
      </c>
      <c r="F19" s="813">
        <v>8.7965277777777775</v>
      </c>
      <c r="G19" s="811">
        <v>3</v>
      </c>
      <c r="H19" s="811">
        <v>4</v>
      </c>
      <c r="I19" s="814">
        <v>7</v>
      </c>
      <c r="J19" s="811">
        <v>29</v>
      </c>
      <c r="K19" s="815">
        <v>12693</v>
      </c>
      <c r="L19" s="811">
        <v>1</v>
      </c>
      <c r="M19" s="811">
        <v>2</v>
      </c>
      <c r="N19" s="811">
        <v>0</v>
      </c>
      <c r="O19" s="811">
        <v>0</v>
      </c>
      <c r="P19" s="811">
        <v>1</v>
      </c>
      <c r="Q19" s="811">
        <v>4</v>
      </c>
      <c r="R19" s="816">
        <v>0.67638888888888893</v>
      </c>
      <c r="T19" s="619">
        <v>6</v>
      </c>
      <c r="U19" s="620" t="s">
        <v>5069</v>
      </c>
      <c r="V19" s="621" t="s">
        <v>80</v>
      </c>
      <c r="W19" s="619" t="s">
        <v>79</v>
      </c>
      <c r="X19" s="619">
        <v>26</v>
      </c>
      <c r="Y19" s="622">
        <v>17.327777777777779</v>
      </c>
      <c r="Z19" s="623">
        <v>5</v>
      </c>
      <c r="AA19" s="619">
        <v>8</v>
      </c>
      <c r="AB19" s="619">
        <v>13</v>
      </c>
      <c r="AC19" s="619">
        <v>62</v>
      </c>
      <c r="AD19" s="639">
        <v>44720</v>
      </c>
      <c r="AE19" s="619">
        <v>1</v>
      </c>
      <c r="AF19" s="619">
        <v>5</v>
      </c>
      <c r="AG19" s="619">
        <v>0</v>
      </c>
      <c r="AH19" s="619">
        <v>0</v>
      </c>
      <c r="AI19" s="619">
        <v>-2</v>
      </c>
      <c r="AJ19" s="619">
        <v>10</v>
      </c>
      <c r="AK19" s="624">
        <v>0.66597222222222219</v>
      </c>
      <c r="AM19" s="811">
        <v>6</v>
      </c>
      <c r="AN19" s="620" t="s">
        <v>5069</v>
      </c>
      <c r="AO19" s="812" t="s">
        <v>80</v>
      </c>
      <c r="AP19" s="811" t="s">
        <v>79</v>
      </c>
      <c r="AQ19" s="811">
        <v>37</v>
      </c>
      <c r="AR19" s="813">
        <v>23.888194444444448</v>
      </c>
      <c r="AS19" s="811">
        <v>10</v>
      </c>
      <c r="AT19" s="811">
        <v>9</v>
      </c>
      <c r="AU19" s="814">
        <v>19</v>
      </c>
      <c r="AV19" s="811">
        <v>97</v>
      </c>
      <c r="AW19" s="815">
        <v>11597</v>
      </c>
      <c r="AX19" s="811">
        <v>3</v>
      </c>
      <c r="AY19" s="811">
        <v>8</v>
      </c>
      <c r="AZ19" s="811">
        <v>0</v>
      </c>
      <c r="BA19" s="811">
        <v>0</v>
      </c>
      <c r="BB19" s="811">
        <v>-2</v>
      </c>
      <c r="BC19" s="811">
        <v>14</v>
      </c>
      <c r="BD19" s="816">
        <v>0.64513888888888882</v>
      </c>
      <c r="BF19" s="811">
        <v>6</v>
      </c>
      <c r="BG19" s="620" t="s">
        <v>5069</v>
      </c>
      <c r="BH19" s="812" t="s">
        <v>80</v>
      </c>
      <c r="BI19" s="811" t="s">
        <v>79</v>
      </c>
      <c r="BJ19" s="811">
        <v>50</v>
      </c>
      <c r="BK19" s="813">
        <v>32.834722222222219</v>
      </c>
      <c r="BL19" s="811">
        <v>15</v>
      </c>
      <c r="BM19" s="811">
        <v>11</v>
      </c>
      <c r="BN19" s="814">
        <v>26</v>
      </c>
      <c r="BO19" s="811">
        <v>142</v>
      </c>
      <c r="BP19" s="815">
        <v>20729</v>
      </c>
      <c r="BQ19" s="811">
        <v>6</v>
      </c>
      <c r="BR19" s="811">
        <v>12</v>
      </c>
      <c r="BS19" s="811">
        <v>0</v>
      </c>
      <c r="BT19" s="811">
        <v>0</v>
      </c>
      <c r="BU19" s="811">
        <v>-4</v>
      </c>
      <c r="BV19" s="811">
        <v>22</v>
      </c>
      <c r="BW19" s="816">
        <v>0.65625</v>
      </c>
    </row>
    <row r="20" spans="1:75" ht="27" thickBot="1" x14ac:dyDescent="0.35">
      <c r="A20" s="811">
        <v>11</v>
      </c>
      <c r="B20" s="620" t="s">
        <v>4034</v>
      </c>
      <c r="C20" s="812" t="s">
        <v>80</v>
      </c>
      <c r="D20" s="811" t="s">
        <v>88</v>
      </c>
      <c r="E20" s="811">
        <v>13</v>
      </c>
      <c r="F20" s="813">
        <v>10.160416666666666</v>
      </c>
      <c r="G20" s="811">
        <v>1</v>
      </c>
      <c r="H20" s="811">
        <v>1</v>
      </c>
      <c r="I20" s="814">
        <v>2</v>
      </c>
      <c r="J20" s="811">
        <v>13</v>
      </c>
      <c r="K20" s="815">
        <v>25385</v>
      </c>
      <c r="L20" s="811">
        <v>0</v>
      </c>
      <c r="M20" s="811">
        <v>0</v>
      </c>
      <c r="N20" s="811">
        <v>0</v>
      </c>
      <c r="O20" s="811">
        <v>0</v>
      </c>
      <c r="P20" s="811">
        <v>-7</v>
      </c>
      <c r="Q20" s="811">
        <v>4</v>
      </c>
      <c r="R20" s="816">
        <v>0.78125</v>
      </c>
      <c r="T20" s="619">
        <v>16</v>
      </c>
      <c r="U20" s="620" t="s">
        <v>4034</v>
      </c>
      <c r="V20" s="621" t="s">
        <v>80</v>
      </c>
      <c r="W20" s="619" t="s">
        <v>88</v>
      </c>
      <c r="X20" s="619">
        <v>26</v>
      </c>
      <c r="Y20" s="622">
        <v>18.78263888888889</v>
      </c>
      <c r="Z20" s="623">
        <v>1</v>
      </c>
      <c r="AA20" s="619">
        <v>4</v>
      </c>
      <c r="AB20" s="619">
        <v>5</v>
      </c>
      <c r="AC20" s="619">
        <v>31</v>
      </c>
      <c r="AD20" s="625">
        <v>44986</v>
      </c>
      <c r="AE20" s="619">
        <v>0</v>
      </c>
      <c r="AF20" s="619">
        <v>0</v>
      </c>
      <c r="AG20" s="619">
        <v>0</v>
      </c>
      <c r="AH20" s="619">
        <v>0</v>
      </c>
      <c r="AI20" s="619">
        <v>-6</v>
      </c>
      <c r="AJ20" s="619">
        <v>8</v>
      </c>
      <c r="AK20" s="624">
        <v>0.72222222222222221</v>
      </c>
      <c r="AM20" s="811">
        <v>13</v>
      </c>
      <c r="AN20" s="620" t="s">
        <v>4034</v>
      </c>
      <c r="AO20" s="812" t="s">
        <v>80</v>
      </c>
      <c r="AP20" s="811" t="s">
        <v>88</v>
      </c>
      <c r="AQ20" s="811">
        <v>39</v>
      </c>
      <c r="AR20" s="813">
        <v>28.545138888888889</v>
      </c>
      <c r="AS20" s="811">
        <v>3</v>
      </c>
      <c r="AT20" s="811">
        <v>6</v>
      </c>
      <c r="AU20" s="814">
        <v>9</v>
      </c>
      <c r="AV20" s="811">
        <v>46</v>
      </c>
      <c r="AW20" s="815">
        <v>19146</v>
      </c>
      <c r="AX20" s="811">
        <v>0</v>
      </c>
      <c r="AY20" s="811">
        <v>0</v>
      </c>
      <c r="AZ20" s="811">
        <v>0</v>
      </c>
      <c r="BA20" s="811">
        <v>0</v>
      </c>
      <c r="BB20" s="811">
        <v>-6</v>
      </c>
      <c r="BC20" s="811">
        <v>12</v>
      </c>
      <c r="BD20" s="816">
        <v>0.73125000000000007</v>
      </c>
      <c r="BF20" s="811">
        <v>11</v>
      </c>
      <c r="BG20" s="620" t="s">
        <v>4034</v>
      </c>
      <c r="BH20" s="812" t="s">
        <v>80</v>
      </c>
      <c r="BI20" s="811" t="s">
        <v>88</v>
      </c>
      <c r="BJ20" s="811">
        <v>52</v>
      </c>
      <c r="BK20" s="813">
        <v>38.645138888888887</v>
      </c>
      <c r="BL20" s="811">
        <v>4</v>
      </c>
      <c r="BM20" s="811">
        <v>8</v>
      </c>
      <c r="BN20" s="814">
        <v>12</v>
      </c>
      <c r="BO20" s="811">
        <v>64</v>
      </c>
      <c r="BP20" s="815">
        <v>45809</v>
      </c>
      <c r="BQ20" s="811">
        <v>0</v>
      </c>
      <c r="BR20" s="811">
        <v>0</v>
      </c>
      <c r="BS20" s="811">
        <v>0</v>
      </c>
      <c r="BT20" s="811">
        <v>0</v>
      </c>
      <c r="BU20" s="811">
        <v>-9</v>
      </c>
      <c r="BV20" s="811">
        <v>14</v>
      </c>
      <c r="BW20" s="816">
        <v>0.74305555555555547</v>
      </c>
    </row>
    <row r="21" spans="1:75" ht="27" thickBot="1" x14ac:dyDescent="0.35">
      <c r="A21" s="811">
        <v>3</v>
      </c>
      <c r="B21" s="620" t="s">
        <v>4031</v>
      </c>
      <c r="C21" s="812" t="s">
        <v>80</v>
      </c>
      <c r="D21" s="811" t="s">
        <v>79</v>
      </c>
      <c r="E21" s="811">
        <v>13</v>
      </c>
      <c r="F21" s="813">
        <v>10.539583333333333</v>
      </c>
      <c r="G21" s="811">
        <v>4</v>
      </c>
      <c r="H21" s="811">
        <v>5</v>
      </c>
      <c r="I21" s="814">
        <v>9</v>
      </c>
      <c r="J21" s="811">
        <v>49</v>
      </c>
      <c r="K21" s="815">
        <v>42583</v>
      </c>
      <c r="L21" s="811">
        <v>1</v>
      </c>
      <c r="M21" s="811">
        <v>2</v>
      </c>
      <c r="N21" s="811">
        <v>0</v>
      </c>
      <c r="O21" s="811">
        <v>0</v>
      </c>
      <c r="P21" s="811">
        <v>-1</v>
      </c>
      <c r="Q21" s="811">
        <v>4</v>
      </c>
      <c r="R21" s="816">
        <v>0.81041666666666667</v>
      </c>
      <c r="T21" s="619">
        <v>2</v>
      </c>
      <c r="U21" s="620" t="s">
        <v>4031</v>
      </c>
      <c r="V21" s="621" t="s">
        <v>80</v>
      </c>
      <c r="W21" s="619" t="s">
        <v>79</v>
      </c>
      <c r="X21" s="619">
        <v>26</v>
      </c>
      <c r="Y21" s="622">
        <v>21.261805555555558</v>
      </c>
      <c r="Z21" s="623">
        <v>8</v>
      </c>
      <c r="AA21" s="619">
        <v>8</v>
      </c>
      <c r="AB21" s="619">
        <v>16</v>
      </c>
      <c r="AC21" s="619">
        <v>87</v>
      </c>
      <c r="AD21" s="625">
        <v>44075</v>
      </c>
      <c r="AE21" s="619">
        <v>2</v>
      </c>
      <c r="AF21" s="619">
        <v>3</v>
      </c>
      <c r="AG21" s="619">
        <v>0</v>
      </c>
      <c r="AH21" s="619">
        <v>1</v>
      </c>
      <c r="AI21" s="619">
        <v>-4</v>
      </c>
      <c r="AJ21" s="619">
        <v>6</v>
      </c>
      <c r="AK21" s="624">
        <v>0.81736111111111109</v>
      </c>
      <c r="AM21" s="811">
        <v>3</v>
      </c>
      <c r="AN21" s="620" t="s">
        <v>4031</v>
      </c>
      <c r="AO21" s="812" t="s">
        <v>80</v>
      </c>
      <c r="AP21" s="811" t="s">
        <v>79</v>
      </c>
      <c r="AQ21" s="811">
        <v>39</v>
      </c>
      <c r="AR21" s="813">
        <v>32.072222222222223</v>
      </c>
      <c r="AS21" s="811">
        <v>12</v>
      </c>
      <c r="AT21" s="811">
        <v>13</v>
      </c>
      <c r="AU21" s="814">
        <v>25</v>
      </c>
      <c r="AV21" s="811">
        <v>131</v>
      </c>
      <c r="AW21" s="815">
        <v>42614</v>
      </c>
      <c r="AX21" s="811">
        <v>2</v>
      </c>
      <c r="AY21" s="811">
        <v>4</v>
      </c>
      <c r="AZ21" s="811">
        <v>0</v>
      </c>
      <c r="BA21" s="811">
        <v>1</v>
      </c>
      <c r="BB21" s="811">
        <v>-6</v>
      </c>
      <c r="BC21" s="811">
        <v>8</v>
      </c>
      <c r="BD21" s="816">
        <v>0.8222222222222223</v>
      </c>
      <c r="BF21" s="811">
        <v>3</v>
      </c>
      <c r="BG21" s="620" t="s">
        <v>4031</v>
      </c>
      <c r="BH21" s="812" t="s">
        <v>80</v>
      </c>
      <c r="BI21" s="811" t="s">
        <v>79</v>
      </c>
      <c r="BJ21" s="811">
        <v>52</v>
      </c>
      <c r="BK21" s="813">
        <v>42.579166666666666</v>
      </c>
      <c r="BL21" s="811">
        <v>16</v>
      </c>
      <c r="BM21" s="811">
        <v>17</v>
      </c>
      <c r="BN21" s="814">
        <v>33</v>
      </c>
      <c r="BO21" s="811">
        <v>165</v>
      </c>
      <c r="BP21" s="815">
        <v>25812</v>
      </c>
      <c r="BQ21" s="811">
        <v>3</v>
      </c>
      <c r="BR21" s="811">
        <v>7</v>
      </c>
      <c r="BS21" s="811">
        <v>0</v>
      </c>
      <c r="BT21" s="811">
        <v>2</v>
      </c>
      <c r="BU21" s="811">
        <v>-8</v>
      </c>
      <c r="BV21" s="811">
        <v>12</v>
      </c>
      <c r="BW21" s="816">
        <v>0.81874999999999998</v>
      </c>
    </row>
    <row r="22" spans="1:75" ht="27" thickBot="1" x14ac:dyDescent="0.35">
      <c r="A22" s="811">
        <v>20</v>
      </c>
      <c r="B22" s="620" t="s">
        <v>3622</v>
      </c>
      <c r="C22" s="812" t="s">
        <v>80</v>
      </c>
      <c r="D22" s="811" t="s">
        <v>79</v>
      </c>
      <c r="E22" s="811">
        <v>10</v>
      </c>
      <c r="F22" s="813">
        <v>3.3673611111111108</v>
      </c>
      <c r="G22" s="811">
        <v>0</v>
      </c>
      <c r="H22" s="811">
        <v>0</v>
      </c>
      <c r="I22" s="814">
        <v>0</v>
      </c>
      <c r="J22" s="811">
        <v>13</v>
      </c>
      <c r="K22" s="811" t="s">
        <v>78</v>
      </c>
      <c r="L22" s="811">
        <v>0</v>
      </c>
      <c r="M22" s="811">
        <v>0</v>
      </c>
      <c r="N22" s="811">
        <v>0</v>
      </c>
      <c r="O22" s="811">
        <v>0</v>
      </c>
      <c r="P22" s="811">
        <v>1</v>
      </c>
      <c r="Q22" s="811">
        <v>0</v>
      </c>
      <c r="R22" s="816">
        <v>0.33611111111111108</v>
      </c>
      <c r="T22" s="619">
        <v>12</v>
      </c>
      <c r="U22" s="620" t="s">
        <v>3622</v>
      </c>
      <c r="V22" s="621" t="s">
        <v>80</v>
      </c>
      <c r="W22" s="619" t="s">
        <v>79</v>
      </c>
      <c r="X22" s="619">
        <v>23</v>
      </c>
      <c r="Y22" s="622">
        <v>8.8569444444444443</v>
      </c>
      <c r="Z22" s="623">
        <v>2</v>
      </c>
      <c r="AA22" s="619">
        <v>1</v>
      </c>
      <c r="AB22" s="619">
        <v>3</v>
      </c>
      <c r="AC22" s="619">
        <v>27</v>
      </c>
      <c r="AD22" s="625">
        <v>15158</v>
      </c>
      <c r="AE22" s="619">
        <v>0</v>
      </c>
      <c r="AF22" s="619">
        <v>0</v>
      </c>
      <c r="AG22" s="619">
        <v>0</v>
      </c>
      <c r="AH22" s="619">
        <v>0</v>
      </c>
      <c r="AI22" s="619">
        <v>3</v>
      </c>
      <c r="AJ22" s="619">
        <v>4</v>
      </c>
      <c r="AK22" s="624">
        <v>0.38472222222222219</v>
      </c>
      <c r="AM22" s="811">
        <v>11</v>
      </c>
      <c r="AN22" s="620" t="s">
        <v>3622</v>
      </c>
      <c r="AO22" s="812" t="s">
        <v>80</v>
      </c>
      <c r="AP22" s="811" t="s">
        <v>79</v>
      </c>
      <c r="AQ22" s="811">
        <v>30</v>
      </c>
      <c r="AR22" s="813">
        <v>12.30486111111111</v>
      </c>
      <c r="AS22" s="811">
        <v>6</v>
      </c>
      <c r="AT22" s="811">
        <v>4</v>
      </c>
      <c r="AU22" s="814">
        <v>10</v>
      </c>
      <c r="AV22" s="811">
        <v>37</v>
      </c>
      <c r="AW22" s="811" t="s">
        <v>1686</v>
      </c>
      <c r="AX22" s="811">
        <v>0</v>
      </c>
      <c r="AY22" s="811">
        <v>0</v>
      </c>
      <c r="AZ22" s="811">
        <v>0</v>
      </c>
      <c r="BA22" s="811">
        <v>1</v>
      </c>
      <c r="BB22" s="811">
        <v>8</v>
      </c>
      <c r="BC22" s="811">
        <v>8</v>
      </c>
      <c r="BD22" s="816">
        <v>0.40972222222222227</v>
      </c>
      <c r="BF22" s="811">
        <v>12</v>
      </c>
      <c r="BG22" s="620" t="s">
        <v>3622</v>
      </c>
      <c r="BH22" s="812" t="s">
        <v>80</v>
      </c>
      <c r="BI22" s="811" t="s">
        <v>79</v>
      </c>
      <c r="BJ22" s="811">
        <v>36</v>
      </c>
      <c r="BK22" s="813">
        <v>14.472222222222221</v>
      </c>
      <c r="BL22" s="811">
        <v>6</v>
      </c>
      <c r="BM22" s="811">
        <v>4</v>
      </c>
      <c r="BN22" s="814">
        <v>10</v>
      </c>
      <c r="BO22" s="811">
        <v>42</v>
      </c>
      <c r="BP22" s="811" t="s">
        <v>215</v>
      </c>
      <c r="BQ22" s="811">
        <v>0</v>
      </c>
      <c r="BR22" s="811">
        <v>0</v>
      </c>
      <c r="BS22" s="811">
        <v>0</v>
      </c>
      <c r="BT22" s="811">
        <v>1</v>
      </c>
      <c r="BU22" s="811">
        <v>7</v>
      </c>
      <c r="BV22" s="811">
        <v>12</v>
      </c>
      <c r="BW22" s="816">
        <v>0.40138888888888885</v>
      </c>
    </row>
    <row r="23" spans="1:75" ht="27" thickBot="1" x14ac:dyDescent="0.35">
      <c r="A23" s="811">
        <v>24</v>
      </c>
      <c r="B23" s="640" t="s">
        <v>4068</v>
      </c>
      <c r="C23" s="812" t="s">
        <v>80</v>
      </c>
      <c r="D23" s="811" t="s">
        <v>79</v>
      </c>
      <c r="E23" s="811">
        <v>13</v>
      </c>
      <c r="F23" s="813">
        <v>7.5437500000000002</v>
      </c>
      <c r="G23" s="811">
        <v>0</v>
      </c>
      <c r="H23" s="811">
        <v>0</v>
      </c>
      <c r="I23" s="823">
        <v>0</v>
      </c>
      <c r="J23" s="811">
        <v>17</v>
      </c>
      <c r="K23" s="811" t="s">
        <v>78</v>
      </c>
      <c r="L23" s="811">
        <v>0</v>
      </c>
      <c r="M23" s="811">
        <v>0</v>
      </c>
      <c r="N23" s="811">
        <v>0</v>
      </c>
      <c r="O23" s="811">
        <v>0</v>
      </c>
      <c r="P23" s="811">
        <v>-5</v>
      </c>
      <c r="Q23" s="811">
        <v>6</v>
      </c>
      <c r="R23" s="816">
        <v>0.57986111111111105</v>
      </c>
      <c r="T23" s="619">
        <v>13</v>
      </c>
      <c r="U23" s="620" t="s">
        <v>4068</v>
      </c>
      <c r="V23" s="621" t="s">
        <v>80</v>
      </c>
      <c r="W23" s="619" t="s">
        <v>79</v>
      </c>
      <c r="X23" s="619">
        <v>26</v>
      </c>
      <c r="Y23" s="622">
        <v>14.759722222222223</v>
      </c>
      <c r="Z23" s="623">
        <v>2</v>
      </c>
      <c r="AA23" s="619">
        <v>0</v>
      </c>
      <c r="AB23" s="619">
        <v>2</v>
      </c>
      <c r="AC23" s="619">
        <v>37</v>
      </c>
      <c r="AD23" s="625">
        <v>15097</v>
      </c>
      <c r="AE23" s="619">
        <v>0</v>
      </c>
      <c r="AF23" s="619">
        <v>0</v>
      </c>
      <c r="AG23" s="619">
        <v>0</v>
      </c>
      <c r="AH23" s="619">
        <v>1</v>
      </c>
      <c r="AI23" s="619">
        <v>-8</v>
      </c>
      <c r="AJ23" s="619">
        <v>10</v>
      </c>
      <c r="AK23" s="624">
        <v>0.56736111111111109</v>
      </c>
      <c r="AM23" s="811">
        <v>17</v>
      </c>
      <c r="AN23" s="620" t="s">
        <v>4068</v>
      </c>
      <c r="AO23" s="812" t="s">
        <v>80</v>
      </c>
      <c r="AP23" s="811" t="s">
        <v>79</v>
      </c>
      <c r="AQ23" s="811">
        <v>34</v>
      </c>
      <c r="AR23" s="813">
        <v>19.637499999999999</v>
      </c>
      <c r="AS23" s="811">
        <v>2</v>
      </c>
      <c r="AT23" s="811">
        <v>3</v>
      </c>
      <c r="AU23" s="814">
        <v>5</v>
      </c>
      <c r="AV23" s="811">
        <v>49</v>
      </c>
      <c r="AW23" s="840">
        <v>45142</v>
      </c>
      <c r="AX23" s="811">
        <v>0</v>
      </c>
      <c r="AY23" s="811">
        <v>0</v>
      </c>
      <c r="AZ23" s="811">
        <v>0</v>
      </c>
      <c r="BA23" s="811">
        <v>1</v>
      </c>
      <c r="BB23" s="811">
        <v>-8</v>
      </c>
      <c r="BC23" s="811">
        <v>12</v>
      </c>
      <c r="BD23" s="816">
        <v>0.57708333333333328</v>
      </c>
      <c r="BF23" s="811">
        <v>15</v>
      </c>
      <c r="BG23" s="620" t="s">
        <v>4068</v>
      </c>
      <c r="BH23" s="812" t="s">
        <v>80</v>
      </c>
      <c r="BI23" s="811" t="s">
        <v>79</v>
      </c>
      <c r="BJ23" s="811">
        <v>43</v>
      </c>
      <c r="BK23" s="813">
        <v>24.475694444444443</v>
      </c>
      <c r="BL23" s="811">
        <v>2</v>
      </c>
      <c r="BM23" s="811">
        <v>4</v>
      </c>
      <c r="BN23" s="814">
        <v>6</v>
      </c>
      <c r="BO23" s="811">
        <v>58</v>
      </c>
      <c r="BP23" s="815">
        <v>16497</v>
      </c>
      <c r="BQ23" s="811">
        <v>0</v>
      </c>
      <c r="BR23" s="811">
        <v>1</v>
      </c>
      <c r="BS23" s="811">
        <v>0</v>
      </c>
      <c r="BT23" s="811">
        <v>1</v>
      </c>
      <c r="BU23" s="811">
        <v>-13</v>
      </c>
      <c r="BV23" s="811">
        <v>14</v>
      </c>
      <c r="BW23" s="816">
        <v>0.56874999999999998</v>
      </c>
    </row>
    <row r="24" spans="1:75" ht="27" thickBot="1" x14ac:dyDescent="0.35">
      <c r="A24" s="811">
        <v>22</v>
      </c>
      <c r="B24" s="620" t="s">
        <v>5078</v>
      </c>
      <c r="C24" s="812" t="s">
        <v>80</v>
      </c>
      <c r="D24" s="811" t="s">
        <v>88</v>
      </c>
      <c r="E24" s="811">
        <v>10</v>
      </c>
      <c r="F24" s="813">
        <v>6.4881944444444448</v>
      </c>
      <c r="G24" s="811">
        <v>0</v>
      </c>
      <c r="H24" s="811">
        <v>0</v>
      </c>
      <c r="I24" s="814">
        <v>0</v>
      </c>
      <c r="J24" s="811">
        <v>11</v>
      </c>
      <c r="K24" s="811" t="s">
        <v>78</v>
      </c>
      <c r="L24" s="811">
        <v>0</v>
      </c>
      <c r="M24" s="811">
        <v>0</v>
      </c>
      <c r="N24" s="811">
        <v>0</v>
      </c>
      <c r="O24" s="811">
        <v>0</v>
      </c>
      <c r="P24" s="811">
        <v>-1</v>
      </c>
      <c r="Q24" s="811">
        <v>2</v>
      </c>
      <c r="R24" s="816">
        <v>0.64861111111111114</v>
      </c>
      <c r="T24" s="619">
        <v>19</v>
      </c>
      <c r="U24" s="620" t="s">
        <v>5078</v>
      </c>
      <c r="V24" s="621" t="s">
        <v>80</v>
      </c>
      <c r="W24" s="619" t="s">
        <v>88</v>
      </c>
      <c r="X24" s="619">
        <v>17</v>
      </c>
      <c r="Y24" s="622">
        <v>9.2201388888888882</v>
      </c>
      <c r="Z24" s="623">
        <v>1</v>
      </c>
      <c r="AA24" s="619">
        <v>0</v>
      </c>
      <c r="AB24" s="619">
        <v>1</v>
      </c>
      <c r="AC24" s="619">
        <v>16</v>
      </c>
      <c r="AD24" s="625">
        <v>45809</v>
      </c>
      <c r="AE24" s="619">
        <v>0</v>
      </c>
      <c r="AF24" s="619">
        <v>0</v>
      </c>
      <c r="AG24" s="619">
        <v>0</v>
      </c>
      <c r="AH24" s="619">
        <v>0</v>
      </c>
      <c r="AI24" s="619">
        <v>0</v>
      </c>
      <c r="AJ24" s="619">
        <v>4</v>
      </c>
      <c r="AK24" s="624">
        <v>0.54236111111111118</v>
      </c>
      <c r="AM24" s="811">
        <v>25</v>
      </c>
      <c r="AN24" s="620" t="s">
        <v>5078</v>
      </c>
      <c r="AO24" s="812" t="s">
        <v>80</v>
      </c>
      <c r="AP24" s="811" t="s">
        <v>88</v>
      </c>
      <c r="AQ24" s="811">
        <v>30</v>
      </c>
      <c r="AR24" s="813">
        <v>14.62361111111111</v>
      </c>
      <c r="AS24" s="811">
        <v>1</v>
      </c>
      <c r="AT24" s="811">
        <v>0</v>
      </c>
      <c r="AU24" s="814">
        <v>1</v>
      </c>
      <c r="AV24" s="811">
        <v>26</v>
      </c>
      <c r="AW24" s="815">
        <v>31107</v>
      </c>
      <c r="AX24" s="811">
        <v>0</v>
      </c>
      <c r="AY24" s="811">
        <v>0</v>
      </c>
      <c r="AZ24" s="811">
        <v>0</v>
      </c>
      <c r="BA24" s="811">
        <v>0</v>
      </c>
      <c r="BB24" s="811">
        <v>0</v>
      </c>
      <c r="BC24" s="811">
        <v>12</v>
      </c>
      <c r="BD24" s="816">
        <v>0.48680555555555555</v>
      </c>
      <c r="BF24" s="811">
        <v>22</v>
      </c>
      <c r="BG24" s="620" t="s">
        <v>5078</v>
      </c>
      <c r="BH24" s="812" t="s">
        <v>80</v>
      </c>
      <c r="BI24" s="811" t="s">
        <v>88</v>
      </c>
      <c r="BJ24" s="811">
        <v>40</v>
      </c>
      <c r="BK24" s="813">
        <v>19.270833333333332</v>
      </c>
      <c r="BL24" s="811">
        <v>1</v>
      </c>
      <c r="BM24" s="811">
        <v>1</v>
      </c>
      <c r="BN24" s="814">
        <v>2</v>
      </c>
      <c r="BO24" s="811">
        <v>31</v>
      </c>
      <c r="BP24" s="815">
        <v>44986</v>
      </c>
      <c r="BQ24" s="811">
        <v>0</v>
      </c>
      <c r="BR24" s="811">
        <v>0</v>
      </c>
      <c r="BS24" s="811">
        <v>0</v>
      </c>
      <c r="BT24" s="811">
        <v>0</v>
      </c>
      <c r="BU24" s="811">
        <v>4</v>
      </c>
      <c r="BV24" s="811">
        <v>14</v>
      </c>
      <c r="BW24" s="816">
        <v>0.48125000000000001</v>
      </c>
    </row>
    <row r="25" spans="1:75" ht="27" thickBot="1" x14ac:dyDescent="0.35">
      <c r="A25" s="811">
        <v>16</v>
      </c>
      <c r="B25" s="620" t="s">
        <v>5077</v>
      </c>
      <c r="C25" s="812" t="s">
        <v>80</v>
      </c>
      <c r="D25" s="811" t="s">
        <v>88</v>
      </c>
      <c r="E25" s="811">
        <v>9</v>
      </c>
      <c r="F25" s="813">
        <v>5.3263888888888884</v>
      </c>
      <c r="G25" s="811">
        <v>0</v>
      </c>
      <c r="H25" s="811">
        <v>1</v>
      </c>
      <c r="I25" s="814">
        <v>1</v>
      </c>
      <c r="J25" s="811">
        <v>8</v>
      </c>
      <c r="K25" s="811" t="s">
        <v>78</v>
      </c>
      <c r="L25" s="811">
        <v>0</v>
      </c>
      <c r="M25" s="811">
        <v>1</v>
      </c>
      <c r="N25" s="811">
        <v>0</v>
      </c>
      <c r="O25" s="811">
        <v>0</v>
      </c>
      <c r="P25" s="811">
        <v>-1</v>
      </c>
      <c r="Q25" s="811">
        <v>31</v>
      </c>
      <c r="R25" s="816">
        <v>0.59166666666666667</v>
      </c>
      <c r="T25" s="619">
        <v>15</v>
      </c>
      <c r="U25" s="620" t="s">
        <v>5077</v>
      </c>
      <c r="V25" s="621" t="s">
        <v>80</v>
      </c>
      <c r="W25" s="619" t="s">
        <v>88</v>
      </c>
      <c r="X25" s="619">
        <v>17</v>
      </c>
      <c r="Y25" s="622">
        <v>9.7041666666666675</v>
      </c>
      <c r="Z25" s="623">
        <v>1</v>
      </c>
      <c r="AA25" s="619">
        <v>4</v>
      </c>
      <c r="AB25" s="619">
        <v>5</v>
      </c>
      <c r="AC25" s="619">
        <v>9</v>
      </c>
      <c r="AD25" s="639">
        <v>44876</v>
      </c>
      <c r="AE25" s="619">
        <v>1</v>
      </c>
      <c r="AF25" s="619">
        <v>2</v>
      </c>
      <c r="AG25" s="619">
        <v>0</v>
      </c>
      <c r="AH25" s="619">
        <v>0</v>
      </c>
      <c r="AI25" s="619">
        <v>2</v>
      </c>
      <c r="AJ25" s="619">
        <v>33</v>
      </c>
      <c r="AK25" s="624">
        <v>0.5708333333333333</v>
      </c>
      <c r="AM25" s="811">
        <v>10</v>
      </c>
      <c r="AN25" s="620" t="s">
        <v>5077</v>
      </c>
      <c r="AO25" s="812" t="s">
        <v>80</v>
      </c>
      <c r="AP25" s="811" t="s">
        <v>88</v>
      </c>
      <c r="AQ25" s="811">
        <v>30</v>
      </c>
      <c r="AR25" s="813">
        <v>18.777083333333334</v>
      </c>
      <c r="AS25" s="811">
        <v>1</v>
      </c>
      <c r="AT25" s="811">
        <v>10</v>
      </c>
      <c r="AU25" s="814">
        <v>11</v>
      </c>
      <c r="AV25" s="811">
        <v>18</v>
      </c>
      <c r="AW25" s="815">
        <v>20576</v>
      </c>
      <c r="AX25" s="811">
        <v>1</v>
      </c>
      <c r="AY25" s="811">
        <v>4</v>
      </c>
      <c r="AZ25" s="811">
        <v>0</v>
      </c>
      <c r="BA25" s="811">
        <v>0</v>
      </c>
      <c r="BB25" s="811">
        <v>3</v>
      </c>
      <c r="BC25" s="811">
        <v>39</v>
      </c>
      <c r="BD25" s="816">
        <v>0.62569444444444444</v>
      </c>
      <c r="BF25" s="811">
        <v>10</v>
      </c>
      <c r="BG25" s="620" t="s">
        <v>5077</v>
      </c>
      <c r="BH25" s="812" t="s">
        <v>80</v>
      </c>
      <c r="BI25" s="811" t="s">
        <v>88</v>
      </c>
      <c r="BJ25" s="811">
        <v>43</v>
      </c>
      <c r="BK25" s="813">
        <v>27.061111111111114</v>
      </c>
      <c r="BL25" s="811">
        <v>2</v>
      </c>
      <c r="BM25" s="811">
        <v>12</v>
      </c>
      <c r="BN25" s="814">
        <v>14</v>
      </c>
      <c r="BO25" s="811">
        <v>30</v>
      </c>
      <c r="BP25" s="815">
        <v>24624</v>
      </c>
      <c r="BQ25" s="811">
        <v>1</v>
      </c>
      <c r="BR25" s="811">
        <v>6</v>
      </c>
      <c r="BS25" s="811">
        <v>0</v>
      </c>
      <c r="BT25" s="811">
        <v>0</v>
      </c>
      <c r="BU25" s="811">
        <v>-1</v>
      </c>
      <c r="BV25" s="811">
        <v>53</v>
      </c>
      <c r="BW25" s="816">
        <v>0.62916666666666665</v>
      </c>
    </row>
    <row r="26" spans="1:75" ht="27" thickBot="1" x14ac:dyDescent="0.35">
      <c r="A26" s="817">
        <v>2</v>
      </c>
      <c r="B26" s="627" t="s">
        <v>5068</v>
      </c>
      <c r="C26" s="818" t="s">
        <v>80</v>
      </c>
      <c r="D26" s="817" t="s">
        <v>79</v>
      </c>
      <c r="E26" s="817">
        <v>13</v>
      </c>
      <c r="F26" s="819">
        <v>11.005555555555555</v>
      </c>
      <c r="G26" s="817">
        <v>4</v>
      </c>
      <c r="H26" s="817">
        <v>5</v>
      </c>
      <c r="I26" s="820">
        <v>9</v>
      </c>
      <c r="J26" s="817">
        <v>46</v>
      </c>
      <c r="K26" s="821">
        <v>25781</v>
      </c>
      <c r="L26" s="817">
        <v>3</v>
      </c>
      <c r="M26" s="817">
        <v>4</v>
      </c>
      <c r="N26" s="817">
        <v>0</v>
      </c>
      <c r="O26" s="817">
        <v>1</v>
      </c>
      <c r="P26" s="817">
        <v>-4</v>
      </c>
      <c r="Q26" s="817">
        <v>10</v>
      </c>
      <c r="R26" s="822">
        <v>0.84652777777777777</v>
      </c>
      <c r="T26" s="626">
        <v>4</v>
      </c>
      <c r="U26" s="627" t="s">
        <v>5068</v>
      </c>
      <c r="V26" s="628" t="s">
        <v>80</v>
      </c>
      <c r="W26" s="626" t="s">
        <v>79</v>
      </c>
      <c r="X26" s="626">
        <v>26</v>
      </c>
      <c r="Y26" s="631">
        <v>21.928472222222222</v>
      </c>
      <c r="Z26" s="630">
        <v>7</v>
      </c>
      <c r="AA26" s="626">
        <v>14</v>
      </c>
      <c r="AB26" s="626">
        <v>21</v>
      </c>
      <c r="AC26" s="626">
        <v>72</v>
      </c>
      <c r="AD26" s="633">
        <v>26543</v>
      </c>
      <c r="AE26" s="626">
        <v>3</v>
      </c>
      <c r="AF26" s="626">
        <v>11</v>
      </c>
      <c r="AG26" s="626">
        <v>0</v>
      </c>
      <c r="AH26" s="626">
        <v>2</v>
      </c>
      <c r="AI26" s="626">
        <v>-3</v>
      </c>
      <c r="AJ26" s="626">
        <v>18</v>
      </c>
      <c r="AK26" s="629">
        <v>0.84305555555555556</v>
      </c>
      <c r="AM26" s="811">
        <v>1</v>
      </c>
      <c r="AN26" s="620" t="s">
        <v>5068</v>
      </c>
      <c r="AO26" s="812" t="s">
        <v>80</v>
      </c>
      <c r="AP26" s="811" t="s">
        <v>79</v>
      </c>
      <c r="AQ26" s="811">
        <v>39</v>
      </c>
      <c r="AR26" s="813">
        <v>32.682638888888889</v>
      </c>
      <c r="AS26" s="811">
        <v>7</v>
      </c>
      <c r="AT26" s="811">
        <v>25</v>
      </c>
      <c r="AU26" s="814">
        <v>32</v>
      </c>
      <c r="AV26" s="811">
        <v>89</v>
      </c>
      <c r="AW26" s="815">
        <v>31959</v>
      </c>
      <c r="AX26" s="811">
        <v>3</v>
      </c>
      <c r="AY26" s="811">
        <v>15</v>
      </c>
      <c r="AZ26" s="811">
        <v>0</v>
      </c>
      <c r="BA26" s="811">
        <v>2</v>
      </c>
      <c r="BB26" s="811">
        <v>-2</v>
      </c>
      <c r="BC26" s="811">
        <v>26</v>
      </c>
      <c r="BD26" s="816">
        <v>0.83750000000000002</v>
      </c>
      <c r="BF26" s="811">
        <v>1</v>
      </c>
      <c r="BG26" s="620" t="s">
        <v>5068</v>
      </c>
      <c r="BH26" s="812" t="s">
        <v>80</v>
      </c>
      <c r="BI26" s="811" t="s">
        <v>79</v>
      </c>
      <c r="BJ26" s="811">
        <v>46</v>
      </c>
      <c r="BK26" s="813">
        <v>38.318750000000001</v>
      </c>
      <c r="BL26" s="811">
        <v>9</v>
      </c>
      <c r="BM26" s="811">
        <v>31</v>
      </c>
      <c r="BN26" s="814">
        <v>40</v>
      </c>
      <c r="BO26" s="811">
        <v>101</v>
      </c>
      <c r="BP26" s="815">
        <v>33451</v>
      </c>
      <c r="BQ26" s="811">
        <v>4</v>
      </c>
      <c r="BR26" s="811">
        <v>19</v>
      </c>
      <c r="BS26" s="811">
        <v>0</v>
      </c>
      <c r="BT26" s="811">
        <v>3</v>
      </c>
      <c r="BU26" s="811">
        <v>-1</v>
      </c>
      <c r="BV26" s="811">
        <v>26</v>
      </c>
      <c r="BW26" s="816">
        <v>0.83263888888888893</v>
      </c>
    </row>
    <row r="27" spans="1:75" ht="15.6" thickTop="1" thickBot="1" x14ac:dyDescent="0.35">
      <c r="A27" s="333"/>
      <c r="B27" s="550"/>
      <c r="C27" s="551"/>
      <c r="D27" s="333"/>
      <c r="E27" s="333"/>
      <c r="F27" s="336"/>
      <c r="G27" s="333"/>
      <c r="H27" s="333"/>
      <c r="I27" s="333"/>
      <c r="J27" s="333"/>
      <c r="K27" s="562"/>
      <c r="L27" s="333"/>
      <c r="M27" s="333"/>
      <c r="N27" s="333"/>
      <c r="O27" s="333"/>
      <c r="P27" s="333"/>
      <c r="Q27" s="333"/>
      <c r="R27" s="335"/>
      <c r="T27" s="798"/>
      <c r="W27"/>
      <c r="X27"/>
      <c r="Y27"/>
      <c r="Z27"/>
      <c r="AA27"/>
      <c r="AB27"/>
      <c r="AC27"/>
      <c r="AD27"/>
      <c r="AE27"/>
      <c r="AF27"/>
      <c r="AG27"/>
      <c r="AH27"/>
      <c r="AI27"/>
      <c r="AJ27"/>
      <c r="AK27"/>
    </row>
    <row r="28" spans="1:75" ht="27.75" customHeight="1" thickBot="1" x14ac:dyDescent="0.35">
      <c r="A28" s="333"/>
      <c r="B28" s="550"/>
      <c r="C28" s="551"/>
      <c r="D28" s="333"/>
      <c r="E28" s="333"/>
      <c r="F28" s="336"/>
      <c r="G28" s="333"/>
      <c r="H28" s="333"/>
      <c r="I28" s="333"/>
      <c r="J28" s="333"/>
      <c r="K28" s="562"/>
      <c r="L28" s="333"/>
      <c r="M28" s="333"/>
      <c r="N28" s="333"/>
      <c r="O28" s="333"/>
      <c r="P28" s="333"/>
      <c r="Q28" s="333"/>
      <c r="R28" s="335"/>
      <c r="T28" s="619">
        <v>22</v>
      </c>
      <c r="U28" s="620" t="s">
        <v>115</v>
      </c>
      <c r="V28" s="621" t="s">
        <v>80</v>
      </c>
      <c r="W28" s="619" t="s">
        <v>79</v>
      </c>
      <c r="X28" s="619">
        <v>2</v>
      </c>
      <c r="Y28" s="624">
        <v>0.7993055555555556</v>
      </c>
      <c r="Z28" s="623">
        <v>0</v>
      </c>
      <c r="AA28" s="619">
        <v>1</v>
      </c>
      <c r="AB28" s="619">
        <v>1</v>
      </c>
      <c r="AC28" s="619">
        <v>1</v>
      </c>
      <c r="AD28" s="619" t="s">
        <v>78</v>
      </c>
      <c r="AE28" s="619">
        <v>0</v>
      </c>
      <c r="AF28" s="619">
        <v>0</v>
      </c>
      <c r="AG28" s="619">
        <v>0</v>
      </c>
      <c r="AH28" s="619">
        <v>0</v>
      </c>
      <c r="AI28" s="619">
        <v>4</v>
      </c>
      <c r="AJ28" s="619">
        <v>2</v>
      </c>
      <c r="AK28" s="624">
        <v>0.39930555555555558</v>
      </c>
      <c r="AM28" s="811">
        <v>15</v>
      </c>
      <c r="AN28" s="620" t="s">
        <v>115</v>
      </c>
      <c r="AO28" s="812" t="s">
        <v>80</v>
      </c>
      <c r="AP28" s="811" t="s">
        <v>79</v>
      </c>
      <c r="AQ28" s="811">
        <v>14</v>
      </c>
      <c r="AR28" s="813">
        <v>6.9715277777777773</v>
      </c>
      <c r="AS28" s="811">
        <v>1</v>
      </c>
      <c r="AT28" s="811">
        <v>5</v>
      </c>
      <c r="AU28" s="814">
        <v>6</v>
      </c>
      <c r="AV28" s="811">
        <v>13</v>
      </c>
      <c r="AW28" s="815">
        <v>25385</v>
      </c>
      <c r="AX28" s="811">
        <v>0</v>
      </c>
      <c r="AY28" s="811">
        <v>0</v>
      </c>
      <c r="AZ28" s="811">
        <v>0</v>
      </c>
      <c r="BA28" s="811">
        <v>0</v>
      </c>
      <c r="BB28" s="811">
        <v>7</v>
      </c>
      <c r="BC28" s="811">
        <v>2</v>
      </c>
      <c r="BD28" s="816">
        <v>0.49791666666666662</v>
      </c>
      <c r="BF28" s="811">
        <v>16</v>
      </c>
      <c r="BG28" s="620" t="s">
        <v>115</v>
      </c>
      <c r="BH28" s="812" t="s">
        <v>80</v>
      </c>
      <c r="BI28" s="811" t="s">
        <v>79</v>
      </c>
      <c r="BJ28" s="811">
        <v>26</v>
      </c>
      <c r="BK28" s="813">
        <v>13.098611111111111</v>
      </c>
      <c r="BL28" s="811">
        <v>1</v>
      </c>
      <c r="BM28" s="811">
        <v>5</v>
      </c>
      <c r="BN28" s="814">
        <v>6</v>
      </c>
      <c r="BO28" s="811">
        <v>24</v>
      </c>
      <c r="BP28" s="815">
        <v>42826</v>
      </c>
      <c r="BQ28" s="811">
        <v>0</v>
      </c>
      <c r="BR28" s="811">
        <v>0</v>
      </c>
      <c r="BS28" s="811">
        <v>0</v>
      </c>
      <c r="BT28" s="811">
        <v>0</v>
      </c>
      <c r="BU28" s="811">
        <v>5</v>
      </c>
      <c r="BV28" s="811">
        <v>8</v>
      </c>
      <c r="BW28" s="816">
        <v>0.50347222222222221</v>
      </c>
    </row>
    <row r="29" spans="1:75" ht="19.8" thickBot="1" x14ac:dyDescent="0.35">
      <c r="A29" s="333"/>
      <c r="B29" s="550"/>
      <c r="C29" s="551"/>
      <c r="D29" s="333"/>
      <c r="E29" s="333"/>
      <c r="F29" s="336"/>
      <c r="G29" s="333"/>
      <c r="H29" s="333"/>
      <c r="I29" s="333"/>
      <c r="J29" s="333"/>
      <c r="K29" s="562"/>
      <c r="L29" s="333"/>
      <c r="M29" s="333"/>
      <c r="N29" s="333"/>
      <c r="O29" s="333"/>
      <c r="P29" s="333"/>
      <c r="Q29" s="333"/>
      <c r="R29" s="335"/>
      <c r="T29" s="800"/>
      <c r="W29"/>
      <c r="X29"/>
      <c r="Y29"/>
      <c r="Z29"/>
      <c r="AA29"/>
      <c r="AB29"/>
      <c r="AC29"/>
      <c r="AD29"/>
      <c r="AE29"/>
      <c r="AF29"/>
      <c r="AG29"/>
      <c r="AH29"/>
      <c r="AI29"/>
      <c r="AJ29"/>
      <c r="AK29"/>
    </row>
    <row r="30" spans="1:75" ht="27" thickBot="1" x14ac:dyDescent="0.35">
      <c r="T30" s="797"/>
      <c r="W30"/>
      <c r="X30"/>
      <c r="Y30"/>
      <c r="Z30"/>
      <c r="AA30"/>
      <c r="AB30"/>
      <c r="AC30"/>
      <c r="AD30"/>
      <c r="AE30"/>
      <c r="AF30"/>
      <c r="AG30"/>
      <c r="AH30"/>
      <c r="AI30"/>
      <c r="AJ30"/>
      <c r="AK30"/>
      <c r="AM30" s="841">
        <v>26</v>
      </c>
      <c r="AN30" s="842" t="s">
        <v>5167</v>
      </c>
      <c r="AO30" s="843" t="s">
        <v>80</v>
      </c>
      <c r="AP30" s="841" t="s">
        <v>79</v>
      </c>
      <c r="AQ30" s="841">
        <v>2</v>
      </c>
      <c r="AR30" s="844">
        <v>0.61041666666666672</v>
      </c>
      <c r="AS30" s="841">
        <v>0</v>
      </c>
      <c r="AT30" s="841">
        <v>1</v>
      </c>
      <c r="AU30" s="845">
        <v>1</v>
      </c>
      <c r="AV30" s="841">
        <v>1</v>
      </c>
      <c r="AW30" s="841" t="s">
        <v>78</v>
      </c>
      <c r="AX30" s="841">
        <v>0</v>
      </c>
      <c r="AY30" s="841">
        <v>0</v>
      </c>
      <c r="AZ30" s="841">
        <v>0</v>
      </c>
      <c r="BA30" s="841">
        <v>0</v>
      </c>
      <c r="BB30" s="841">
        <v>1</v>
      </c>
      <c r="BC30" s="841">
        <v>2</v>
      </c>
      <c r="BD30" s="844">
        <v>0.30486111111111108</v>
      </c>
      <c r="BF30" s="817">
        <v>26</v>
      </c>
      <c r="BG30" s="627" t="s">
        <v>5167</v>
      </c>
      <c r="BH30" s="818" t="s">
        <v>80</v>
      </c>
      <c r="BI30" s="817" t="s">
        <v>79</v>
      </c>
      <c r="BJ30" s="817">
        <v>6</v>
      </c>
      <c r="BK30" s="819">
        <v>1.8534722222222222</v>
      </c>
      <c r="BL30" s="817">
        <v>0</v>
      </c>
      <c r="BM30" s="817">
        <v>1</v>
      </c>
      <c r="BN30" s="820">
        <v>1</v>
      </c>
      <c r="BO30" s="817">
        <v>6</v>
      </c>
      <c r="BP30" s="817" t="s">
        <v>78</v>
      </c>
      <c r="BQ30" s="817">
        <v>0</v>
      </c>
      <c r="BR30" s="817">
        <v>0</v>
      </c>
      <c r="BS30" s="817">
        <v>0</v>
      </c>
      <c r="BT30" s="817">
        <v>0</v>
      </c>
      <c r="BU30" s="817">
        <v>1</v>
      </c>
      <c r="BV30" s="817">
        <v>4</v>
      </c>
      <c r="BW30" s="822">
        <v>0.30833333333333335</v>
      </c>
    </row>
    <row r="31" spans="1:75" ht="27" thickBot="1" x14ac:dyDescent="0.35">
      <c r="T31" s="801"/>
      <c r="W31"/>
      <c r="X31"/>
      <c r="Y31"/>
      <c r="Z31"/>
      <c r="AA31"/>
      <c r="AB31"/>
      <c r="AC31"/>
      <c r="AD31"/>
      <c r="AE31"/>
      <c r="AF31"/>
      <c r="AG31"/>
      <c r="AH31"/>
      <c r="AI31"/>
      <c r="AJ31"/>
      <c r="AK31"/>
      <c r="AM31" s="811">
        <v>27</v>
      </c>
      <c r="AN31" s="620" t="s">
        <v>1226</v>
      </c>
      <c r="AO31" s="812" t="s">
        <v>80</v>
      </c>
      <c r="AP31" s="811" t="s">
        <v>79</v>
      </c>
      <c r="AQ31" s="811">
        <v>2</v>
      </c>
      <c r="AR31" s="816">
        <v>0.52222222222222225</v>
      </c>
      <c r="AS31" s="811">
        <v>0</v>
      </c>
      <c r="AT31" s="811">
        <v>0</v>
      </c>
      <c r="AU31" s="814">
        <v>0</v>
      </c>
      <c r="AV31" s="811">
        <v>2</v>
      </c>
      <c r="AW31" s="811" t="s">
        <v>78</v>
      </c>
      <c r="AX31" s="811">
        <v>0</v>
      </c>
      <c r="AY31" s="811">
        <v>0</v>
      </c>
      <c r="AZ31" s="811">
        <v>0</v>
      </c>
      <c r="BA31" s="811">
        <v>0</v>
      </c>
      <c r="BB31" s="811">
        <v>0</v>
      </c>
      <c r="BC31" s="811">
        <v>0</v>
      </c>
      <c r="BD31" s="816">
        <v>0.26111111111111113</v>
      </c>
      <c r="BF31" s="811">
        <v>28</v>
      </c>
      <c r="BG31" s="620" t="s">
        <v>1226</v>
      </c>
      <c r="BH31" s="812" t="s">
        <v>80</v>
      </c>
      <c r="BI31" s="811" t="s">
        <v>79</v>
      </c>
      <c r="BJ31" s="811">
        <v>3</v>
      </c>
      <c r="BK31" s="816">
        <v>0.60277777777777775</v>
      </c>
      <c r="BL31" s="811">
        <v>0</v>
      </c>
      <c r="BM31" s="811">
        <v>0</v>
      </c>
      <c r="BN31" s="814">
        <v>0</v>
      </c>
      <c r="BO31" s="811">
        <v>3</v>
      </c>
      <c r="BP31" s="811" t="s">
        <v>78</v>
      </c>
      <c r="BQ31" s="811">
        <v>0</v>
      </c>
      <c r="BR31" s="811">
        <v>0</v>
      </c>
      <c r="BS31" s="811">
        <v>0</v>
      </c>
      <c r="BT31" s="811">
        <v>0</v>
      </c>
      <c r="BU31" s="811">
        <v>0</v>
      </c>
      <c r="BV31" s="811">
        <v>0</v>
      </c>
      <c r="BW31" s="816">
        <v>0.20069444444444443</v>
      </c>
    </row>
    <row r="32" spans="1:75" ht="27" thickBot="1" x14ac:dyDescent="0.35">
      <c r="T32" s="802"/>
      <c r="W32"/>
      <c r="X32"/>
      <c r="Y32"/>
      <c r="Z32"/>
      <c r="AA32"/>
      <c r="AB32"/>
      <c r="AC32"/>
      <c r="AD32"/>
      <c r="AE32"/>
      <c r="AF32"/>
      <c r="AG32"/>
      <c r="AH32"/>
      <c r="AI32"/>
      <c r="AJ32"/>
      <c r="AK32"/>
      <c r="AM32" s="811">
        <v>22</v>
      </c>
      <c r="AN32" s="620" t="s">
        <v>112</v>
      </c>
      <c r="AO32" s="812" t="s">
        <v>80</v>
      </c>
      <c r="AP32" s="811" t="s">
        <v>79</v>
      </c>
      <c r="AQ32" s="811">
        <v>2</v>
      </c>
      <c r="AR32" s="813">
        <v>1.2881944444444444</v>
      </c>
      <c r="AS32" s="811">
        <v>1</v>
      </c>
      <c r="AT32" s="811">
        <v>0</v>
      </c>
      <c r="AU32" s="814">
        <v>1</v>
      </c>
      <c r="AV32" s="811">
        <v>3</v>
      </c>
      <c r="AW32" s="811" t="s">
        <v>96</v>
      </c>
      <c r="AX32" s="811">
        <v>1</v>
      </c>
      <c r="AY32" s="811">
        <v>1</v>
      </c>
      <c r="AZ32" s="811">
        <v>0</v>
      </c>
      <c r="BA32" s="811">
        <v>1</v>
      </c>
      <c r="BB32" s="811">
        <v>0</v>
      </c>
      <c r="BC32" s="811">
        <v>0</v>
      </c>
      <c r="BD32" s="816">
        <v>0.64374999999999993</v>
      </c>
      <c r="BF32" s="811">
        <v>23</v>
      </c>
      <c r="BG32" s="620" t="s">
        <v>112</v>
      </c>
      <c r="BH32" s="812" t="s">
        <v>80</v>
      </c>
      <c r="BI32" s="811" t="s">
        <v>79</v>
      </c>
      <c r="BJ32" s="811">
        <v>3</v>
      </c>
      <c r="BK32" s="813">
        <v>1.9222222222222223</v>
      </c>
      <c r="BL32" s="811">
        <v>1</v>
      </c>
      <c r="BM32" s="811">
        <v>0</v>
      </c>
      <c r="BN32" s="814">
        <v>1</v>
      </c>
      <c r="BO32" s="811">
        <v>6</v>
      </c>
      <c r="BP32" s="811" t="s">
        <v>1367</v>
      </c>
      <c r="BQ32" s="811">
        <v>1</v>
      </c>
      <c r="BR32" s="811">
        <v>1</v>
      </c>
      <c r="BS32" s="811">
        <v>0</v>
      </c>
      <c r="BT32" s="811">
        <v>1</v>
      </c>
      <c r="BU32" s="811">
        <v>0</v>
      </c>
      <c r="BV32" s="811">
        <v>0</v>
      </c>
      <c r="BW32" s="816">
        <v>0.64027777777777783</v>
      </c>
    </row>
    <row r="33" spans="2:75" ht="15" thickBot="1" x14ac:dyDescent="0.35">
      <c r="T33" s="801"/>
      <c r="W33"/>
      <c r="X33"/>
      <c r="Y33"/>
      <c r="Z33"/>
      <c r="AA33"/>
      <c r="AB33"/>
      <c r="AC33"/>
      <c r="AD33"/>
      <c r="AE33"/>
      <c r="AF33"/>
      <c r="AG33"/>
      <c r="AH33"/>
      <c r="AI33"/>
      <c r="AJ33"/>
      <c r="AK33"/>
      <c r="AM33" s="619"/>
      <c r="AN33" s="620"/>
      <c r="AO33" s="621"/>
      <c r="AP33" s="619"/>
      <c r="AQ33" s="619"/>
      <c r="AR33" s="624"/>
      <c r="AS33" s="619"/>
      <c r="AT33" s="619"/>
      <c r="AU33" s="623"/>
      <c r="AV33" s="619"/>
      <c r="AW33" s="619"/>
      <c r="AX33" s="619"/>
      <c r="AY33" s="619"/>
      <c r="AZ33" s="619"/>
      <c r="BA33" s="619"/>
      <c r="BB33" s="619"/>
      <c r="BC33" s="619"/>
      <c r="BD33" s="624"/>
      <c r="BF33" s="619"/>
      <c r="BG33" s="640"/>
      <c r="BH33" s="621"/>
      <c r="BI33" s="619"/>
      <c r="BJ33" s="619"/>
      <c r="BK33" s="624"/>
      <c r="BL33" s="619"/>
      <c r="BM33" s="619"/>
      <c r="BN33" s="623"/>
      <c r="BO33" s="619"/>
      <c r="BP33" s="619"/>
      <c r="BQ33" s="619"/>
      <c r="BR33" s="619"/>
      <c r="BS33" s="619"/>
      <c r="BT33" s="619"/>
      <c r="BU33" s="619"/>
      <c r="BV33" s="619"/>
      <c r="BW33" s="624"/>
    </row>
    <row r="34" spans="2:75" ht="27" thickBot="1" x14ac:dyDescent="0.35">
      <c r="T34" s="802"/>
      <c r="W34"/>
      <c r="X34"/>
      <c r="Y34"/>
      <c r="Z34"/>
      <c r="AA34"/>
      <c r="AB34"/>
      <c r="AC34"/>
      <c r="AD34"/>
      <c r="AE34"/>
      <c r="AF34"/>
      <c r="AG34"/>
      <c r="AH34"/>
      <c r="AI34"/>
      <c r="AJ34"/>
      <c r="AK34"/>
      <c r="AM34" s="619"/>
      <c r="AN34" s="620"/>
      <c r="AO34" s="621"/>
      <c r="AP34" s="619"/>
      <c r="AQ34" s="619"/>
      <c r="AR34" s="624"/>
      <c r="AS34" s="619"/>
      <c r="AT34" s="619"/>
      <c r="AU34" s="623"/>
      <c r="AV34" s="619"/>
      <c r="AW34" s="619"/>
      <c r="AX34" s="619"/>
      <c r="AY34" s="619"/>
      <c r="AZ34" s="619"/>
      <c r="BA34" s="619"/>
      <c r="BB34" s="619"/>
      <c r="BC34" s="619"/>
      <c r="BD34" s="624"/>
      <c r="BF34" s="811">
        <v>27</v>
      </c>
      <c r="BG34" s="620" t="s">
        <v>82</v>
      </c>
      <c r="BH34" s="812" t="s">
        <v>80</v>
      </c>
      <c r="BI34" s="811" t="s">
        <v>79</v>
      </c>
      <c r="BJ34" s="811">
        <v>2</v>
      </c>
      <c r="BK34" s="813">
        <v>1.0263888888888888</v>
      </c>
      <c r="BL34" s="811">
        <v>0</v>
      </c>
      <c r="BM34" s="811">
        <v>0</v>
      </c>
      <c r="BN34" s="814">
        <v>0</v>
      </c>
      <c r="BO34" s="811">
        <v>0</v>
      </c>
      <c r="BP34" s="811" t="s">
        <v>78</v>
      </c>
      <c r="BQ34" s="811">
        <v>0</v>
      </c>
      <c r="BR34" s="811">
        <v>0</v>
      </c>
      <c r="BS34" s="811">
        <v>0</v>
      </c>
      <c r="BT34" s="811">
        <v>0</v>
      </c>
      <c r="BU34" s="811">
        <v>0</v>
      </c>
      <c r="BV34" s="811">
        <v>0</v>
      </c>
      <c r="BW34" s="816">
        <v>0.5131944444444444</v>
      </c>
    </row>
    <row r="35" spans="2:75" ht="15" thickBot="1" x14ac:dyDescent="0.35">
      <c r="T35" s="801"/>
      <c r="W35"/>
      <c r="X35"/>
      <c r="Y35"/>
      <c r="Z35"/>
      <c r="AA35"/>
      <c r="AB35"/>
      <c r="AC35"/>
      <c r="AD35"/>
      <c r="AE35"/>
      <c r="AF35"/>
      <c r="AG35"/>
      <c r="AH35"/>
      <c r="AI35"/>
      <c r="AJ35"/>
      <c r="AK35"/>
      <c r="AM35" s="619"/>
      <c r="AN35" s="620"/>
      <c r="AO35" s="621"/>
      <c r="AP35" s="619"/>
      <c r="AQ35" s="619"/>
      <c r="AR35" s="622"/>
      <c r="AS35" s="619"/>
      <c r="AT35" s="619"/>
      <c r="AU35" s="623"/>
      <c r="AV35" s="619"/>
      <c r="AW35" s="619"/>
      <c r="AX35" s="619"/>
      <c r="AY35" s="619"/>
      <c r="AZ35" s="619"/>
      <c r="BA35" s="619"/>
      <c r="BB35" s="619"/>
      <c r="BC35" s="619"/>
      <c r="BD35" s="624"/>
    </row>
    <row r="36" spans="2:75" ht="15" thickBot="1" x14ac:dyDescent="0.35">
      <c r="T36" s="802"/>
      <c r="W36"/>
      <c r="X36"/>
      <c r="Y36"/>
      <c r="Z36"/>
      <c r="AA36"/>
      <c r="AB36"/>
      <c r="AC36"/>
      <c r="AD36"/>
      <c r="AE36"/>
      <c r="AF36"/>
      <c r="AG36"/>
      <c r="AH36"/>
      <c r="AI36"/>
      <c r="AJ36"/>
      <c r="AK36"/>
      <c r="AM36" s="619"/>
      <c r="AN36" s="620"/>
      <c r="AO36" s="621"/>
      <c r="AP36" s="619"/>
      <c r="AQ36" s="619"/>
      <c r="AR36" s="622"/>
      <c r="AS36" s="619"/>
      <c r="AT36" s="619"/>
      <c r="AU36" s="623"/>
      <c r="AV36" s="619"/>
      <c r="AW36" s="625"/>
      <c r="AX36" s="619"/>
      <c r="AY36" s="619"/>
      <c r="AZ36" s="619"/>
      <c r="BA36" s="619"/>
      <c r="BB36" s="619"/>
      <c r="BC36" s="619"/>
      <c r="BD36" s="624"/>
    </row>
    <row r="37" spans="2:75" x14ac:dyDescent="0.3">
      <c r="T37" s="801"/>
      <c r="W37"/>
      <c r="X37"/>
      <c r="Y37"/>
      <c r="Z37"/>
      <c r="AA37"/>
      <c r="AB37"/>
      <c r="AC37"/>
      <c r="AD37"/>
      <c r="AE37"/>
      <c r="AF37"/>
      <c r="AG37"/>
      <c r="AH37"/>
      <c r="AI37"/>
      <c r="AJ37"/>
      <c r="AK37"/>
    </row>
    <row r="38" spans="2:75" ht="15" thickBot="1" x14ac:dyDescent="0.35">
      <c r="T38" s="802"/>
      <c r="V38" s="2" t="s">
        <v>4180</v>
      </c>
      <c r="W38" s="2" t="s">
        <v>4181</v>
      </c>
      <c r="X38" s="2" t="s">
        <v>4182</v>
      </c>
      <c r="Y38" s="2" t="s">
        <v>4183</v>
      </c>
      <c r="Z38"/>
      <c r="AA38"/>
      <c r="AB38"/>
      <c r="AC38"/>
      <c r="AD38"/>
      <c r="AE38"/>
      <c r="AF38"/>
      <c r="AG38"/>
      <c r="AH38"/>
      <c r="AI38"/>
      <c r="AJ38"/>
      <c r="AK38"/>
    </row>
    <row r="39" spans="2:75" ht="15" thickBot="1" x14ac:dyDescent="0.35">
      <c r="B39" s="556"/>
      <c r="C39" s="1164" t="s">
        <v>4180</v>
      </c>
      <c r="D39" s="1164"/>
      <c r="E39" s="1164"/>
      <c r="F39" s="1165"/>
      <c r="G39" s="1163" t="s">
        <v>4181</v>
      </c>
      <c r="H39" s="1164"/>
      <c r="I39" s="1164"/>
      <c r="J39" s="1165"/>
      <c r="K39" s="1146" t="s">
        <v>4182</v>
      </c>
      <c r="L39" s="1147"/>
      <c r="M39" s="1147"/>
      <c r="N39" s="1148"/>
      <c r="O39" s="1163" t="s">
        <v>4183</v>
      </c>
      <c r="P39" s="1164"/>
      <c r="Q39" s="1164"/>
      <c r="R39" s="1165"/>
      <c r="T39" s="801"/>
      <c r="U39" s="559" t="s">
        <v>0</v>
      </c>
      <c r="V39" s="561" t="s">
        <v>4179</v>
      </c>
      <c r="W39" s="561" t="s">
        <v>4179</v>
      </c>
      <c r="X39" s="561" t="s">
        <v>4179</v>
      </c>
      <c r="Y39" s="561" t="s">
        <v>4179</v>
      </c>
      <c r="Z39"/>
      <c r="AA39"/>
      <c r="AB39"/>
      <c r="AC39"/>
      <c r="AD39"/>
      <c r="AE39"/>
      <c r="AF39"/>
      <c r="AG39"/>
      <c r="AH39"/>
      <c r="AI39"/>
      <c r="AJ39"/>
      <c r="AK39"/>
    </row>
    <row r="40" spans="2:75" ht="15" thickBot="1" x14ac:dyDescent="0.35">
      <c r="B40" s="559" t="s">
        <v>0</v>
      </c>
      <c r="C40" s="560" t="s">
        <v>4176</v>
      </c>
      <c r="D40" s="560" t="s">
        <v>4177</v>
      </c>
      <c r="E40" s="560" t="s">
        <v>4178</v>
      </c>
      <c r="F40" s="561" t="s">
        <v>4179</v>
      </c>
      <c r="G40" s="559" t="s">
        <v>4176</v>
      </c>
      <c r="H40" s="560" t="s">
        <v>4177</v>
      </c>
      <c r="I40" s="560" t="s">
        <v>4178</v>
      </c>
      <c r="J40" s="561" t="s">
        <v>4179</v>
      </c>
      <c r="K40" s="559" t="s">
        <v>4176</v>
      </c>
      <c r="L40" s="560" t="s">
        <v>4177</v>
      </c>
      <c r="M40" s="560" t="s">
        <v>4178</v>
      </c>
      <c r="N40" s="561" t="s">
        <v>4179</v>
      </c>
      <c r="O40" s="559" t="s">
        <v>4176</v>
      </c>
      <c r="P40" s="560" t="s">
        <v>4177</v>
      </c>
      <c r="Q40" s="560" t="s">
        <v>4178</v>
      </c>
      <c r="R40" s="561" t="s">
        <v>4179</v>
      </c>
      <c r="T40" s="802"/>
      <c r="U40" s="641" t="s">
        <v>5068</v>
      </c>
      <c r="V40" s="279">
        <v>0.69230769230769229</v>
      </c>
      <c r="W40" s="279">
        <v>0.92307692307692313</v>
      </c>
      <c r="X40" s="279">
        <v>0.84615384615384615</v>
      </c>
      <c r="Y40" s="279">
        <v>1.1428571428571428</v>
      </c>
      <c r="Z40"/>
      <c r="AA40"/>
      <c r="AB40"/>
      <c r="AC40"/>
      <c r="AD40"/>
      <c r="AE40"/>
      <c r="AF40"/>
      <c r="AG40"/>
      <c r="AH40"/>
      <c r="AI40"/>
      <c r="AJ40"/>
      <c r="AK40"/>
    </row>
    <row r="41" spans="2:75" x14ac:dyDescent="0.3">
      <c r="B41" s="641" t="s">
        <v>4069</v>
      </c>
      <c r="C41" s="558">
        <v>13</v>
      </c>
      <c r="D41" s="558">
        <v>6</v>
      </c>
      <c r="E41" s="558">
        <v>1</v>
      </c>
      <c r="F41" s="279">
        <f t="shared" ref="F41:F59" si="0">(D41+E41)/C41</f>
        <v>0.53846153846153844</v>
      </c>
      <c r="G41" s="277">
        <v>13</v>
      </c>
      <c r="H41" s="278">
        <v>7</v>
      </c>
      <c r="I41" s="278">
        <v>2</v>
      </c>
      <c r="J41" s="279">
        <f>(H41+I41)/G41</f>
        <v>0.69230769230769229</v>
      </c>
      <c r="K41" s="647">
        <v>13</v>
      </c>
      <c r="L41" s="558">
        <v>5</v>
      </c>
      <c r="M41" s="558">
        <v>2</v>
      </c>
      <c r="N41" s="279">
        <f t="shared" ref="N41:N49" si="1">(L41+M41)/K41</f>
        <v>0.53846153846153844</v>
      </c>
      <c r="O41" s="277">
        <f>BJ3-AQ3</f>
        <v>13</v>
      </c>
      <c r="P41" s="278">
        <f>BL3-AS3</f>
        <v>3</v>
      </c>
      <c r="Q41" s="278">
        <f>BM3-AT3</f>
        <v>4</v>
      </c>
      <c r="R41" s="279">
        <f t="shared" ref="R41:R49" si="2">(P41+Q41)/O41</f>
        <v>0.53846153846153844</v>
      </c>
      <c r="T41" s="797"/>
      <c r="U41" s="642" t="s">
        <v>5072</v>
      </c>
      <c r="V41" s="275">
        <v>0.38461538461538464</v>
      </c>
      <c r="W41" s="279">
        <v>0.5</v>
      </c>
      <c r="X41" s="279">
        <v>0.66666666666666663</v>
      </c>
      <c r="Y41" s="275">
        <v>0.61538461538461542</v>
      </c>
      <c r="Z41"/>
      <c r="AA41"/>
      <c r="AB41"/>
      <c r="AC41"/>
      <c r="AD41"/>
      <c r="AE41"/>
      <c r="AF41"/>
      <c r="AG41"/>
      <c r="AH41"/>
      <c r="AI41"/>
      <c r="AJ41"/>
      <c r="AK41"/>
    </row>
    <row r="42" spans="2:75" ht="15" customHeight="1" x14ac:dyDescent="0.3">
      <c r="B42" s="642" t="s">
        <v>4041</v>
      </c>
      <c r="C42" s="412">
        <v>4</v>
      </c>
      <c r="D42" s="412">
        <v>0</v>
      </c>
      <c r="E42" s="412">
        <v>0</v>
      </c>
      <c r="F42" s="275">
        <f t="shared" si="0"/>
        <v>0</v>
      </c>
      <c r="G42" s="277">
        <v>1</v>
      </c>
      <c r="H42" s="278">
        <v>0</v>
      </c>
      <c r="I42" s="278">
        <v>0</v>
      </c>
      <c r="J42" s="279">
        <f>(H42+I42)/G42</f>
        <v>0</v>
      </c>
      <c r="K42" s="647">
        <v>1</v>
      </c>
      <c r="L42" s="558">
        <v>0</v>
      </c>
      <c r="M42" s="558">
        <v>0</v>
      </c>
      <c r="N42" s="279">
        <f t="shared" si="1"/>
        <v>0</v>
      </c>
      <c r="O42" s="277"/>
      <c r="P42" s="278"/>
      <c r="Q42" s="278"/>
      <c r="R42" s="275"/>
      <c r="T42" s="800"/>
      <c r="U42" s="642" t="s">
        <v>4031</v>
      </c>
      <c r="V42" s="275">
        <v>0.69230769230769229</v>
      </c>
      <c r="W42" s="279">
        <v>0.53846153846153844</v>
      </c>
      <c r="X42" s="279">
        <v>0.69230769230769229</v>
      </c>
      <c r="Y42" s="275">
        <v>0.61538461538461542</v>
      </c>
      <c r="Z42"/>
      <c r="AA42"/>
      <c r="AB42"/>
      <c r="AC42"/>
      <c r="AD42"/>
      <c r="AE42"/>
      <c r="AF42"/>
      <c r="AG42"/>
      <c r="AH42"/>
      <c r="AI42"/>
      <c r="AJ42"/>
      <c r="AK42"/>
    </row>
    <row r="43" spans="2:75" x14ac:dyDescent="0.3">
      <c r="B43" s="642" t="s">
        <v>4039</v>
      </c>
      <c r="C43" s="412">
        <v>8</v>
      </c>
      <c r="D43" s="412">
        <v>0</v>
      </c>
      <c r="E43" s="412">
        <v>1</v>
      </c>
      <c r="F43" s="275">
        <f t="shared" si="0"/>
        <v>0.125</v>
      </c>
      <c r="G43" s="277">
        <v>13</v>
      </c>
      <c r="H43" s="278">
        <v>1</v>
      </c>
      <c r="I43" s="278">
        <v>0</v>
      </c>
      <c r="J43" s="279">
        <f>(H43+I43)/G43</f>
        <v>7.6923076923076927E-2</v>
      </c>
      <c r="K43" s="647">
        <v>13</v>
      </c>
      <c r="L43" s="558">
        <v>2</v>
      </c>
      <c r="M43" s="558">
        <v>5</v>
      </c>
      <c r="N43" s="279">
        <f t="shared" si="1"/>
        <v>0.53846153846153844</v>
      </c>
      <c r="O43" s="277">
        <f t="shared" ref="O43:O64" si="3">BJ5-AQ5</f>
        <v>13</v>
      </c>
      <c r="P43" s="278">
        <f t="shared" ref="P43:Q43" si="4">BL5-AS5</f>
        <v>0</v>
      </c>
      <c r="Q43" s="278">
        <f t="shared" si="4"/>
        <v>0</v>
      </c>
      <c r="R43" s="275">
        <f t="shared" si="2"/>
        <v>0</v>
      </c>
      <c r="T43" s="799"/>
      <c r="U43" s="642" t="s">
        <v>4069</v>
      </c>
      <c r="V43" s="275">
        <v>0.53846153846153844</v>
      </c>
      <c r="W43" s="279">
        <v>0.69230769230769229</v>
      </c>
      <c r="X43" s="279">
        <v>0.53846153846153844</v>
      </c>
      <c r="Y43" s="275">
        <v>0.53846153846153844</v>
      </c>
      <c r="Z43"/>
      <c r="AA43"/>
      <c r="AB43"/>
      <c r="AC43"/>
      <c r="AD43"/>
      <c r="AE43"/>
      <c r="AF43"/>
      <c r="AG43"/>
      <c r="AH43"/>
      <c r="AI43"/>
      <c r="AJ43"/>
      <c r="AK43"/>
    </row>
    <row r="44" spans="2:75" ht="16.5" customHeight="1" x14ac:dyDescent="0.3">
      <c r="B44" s="642" t="s">
        <v>97</v>
      </c>
      <c r="C44" s="412">
        <v>12</v>
      </c>
      <c r="D44" s="412">
        <v>1</v>
      </c>
      <c r="E44" s="412">
        <v>0</v>
      </c>
      <c r="F44" s="275">
        <f t="shared" si="0"/>
        <v>8.3333333333333329E-2</v>
      </c>
      <c r="G44" s="277">
        <v>8</v>
      </c>
      <c r="H44" s="278">
        <v>1</v>
      </c>
      <c r="I44" s="278">
        <v>3</v>
      </c>
      <c r="J44" s="279">
        <f>(H44+I44)/G44</f>
        <v>0.5</v>
      </c>
      <c r="K44" s="647">
        <v>0</v>
      </c>
      <c r="L44" s="558"/>
      <c r="M44" s="558"/>
      <c r="N44" s="279"/>
      <c r="O44" s="277">
        <f t="shared" si="3"/>
        <v>2</v>
      </c>
      <c r="P44" s="278">
        <f t="shared" ref="P44:Q44" si="5">BL6-AS6</f>
        <v>0</v>
      </c>
      <c r="Q44" s="278">
        <f t="shared" si="5"/>
        <v>0</v>
      </c>
      <c r="R44" s="275">
        <f t="shared" si="2"/>
        <v>0</v>
      </c>
      <c r="T44" s="800"/>
      <c r="U44" s="642" t="s">
        <v>4173</v>
      </c>
      <c r="V44" s="275">
        <v>0.46153846153846156</v>
      </c>
      <c r="W44" s="279">
        <v>0.61538461538461542</v>
      </c>
      <c r="X44" s="279">
        <v>0.46153846153846156</v>
      </c>
      <c r="Y44" s="275">
        <v>0.53846153846153844</v>
      </c>
      <c r="Z44"/>
      <c r="AA44"/>
      <c r="AB44"/>
      <c r="AC44"/>
      <c r="AD44"/>
      <c r="AE44"/>
      <c r="AF44"/>
      <c r="AG44"/>
      <c r="AH44"/>
      <c r="AI44"/>
      <c r="AJ44"/>
      <c r="AK44"/>
    </row>
    <row r="45" spans="2:75" x14ac:dyDescent="0.3">
      <c r="B45" s="642" t="s">
        <v>4170</v>
      </c>
      <c r="C45" s="412">
        <v>11</v>
      </c>
      <c r="D45" s="412">
        <v>1</v>
      </c>
      <c r="E45" s="412">
        <v>9</v>
      </c>
      <c r="F45" s="275">
        <f t="shared" si="0"/>
        <v>0.90909090909090906</v>
      </c>
      <c r="G45" s="277">
        <v>13</v>
      </c>
      <c r="H45" s="278">
        <v>6</v>
      </c>
      <c r="I45" s="278">
        <v>6</v>
      </c>
      <c r="J45" s="279">
        <f t="shared" ref="J45:J55" si="6">(H45+I45)/G45</f>
        <v>0.92307692307692313</v>
      </c>
      <c r="K45" s="647">
        <v>13</v>
      </c>
      <c r="L45" s="558">
        <v>4</v>
      </c>
      <c r="M45" s="558">
        <v>4</v>
      </c>
      <c r="N45" s="279">
        <f t="shared" si="1"/>
        <v>0.61538461538461542</v>
      </c>
      <c r="O45" s="277">
        <f t="shared" si="3"/>
        <v>13</v>
      </c>
      <c r="P45" s="278">
        <f t="shared" ref="P45:Q45" si="7">BL7-AS7</f>
        <v>1</v>
      </c>
      <c r="Q45" s="278">
        <f t="shared" si="7"/>
        <v>4</v>
      </c>
      <c r="R45" s="275">
        <f t="shared" si="2"/>
        <v>0.38461538461538464</v>
      </c>
      <c r="T45" s="797"/>
      <c r="U45" s="642" t="s">
        <v>5069</v>
      </c>
      <c r="V45" s="275">
        <v>0.53846153846153844</v>
      </c>
      <c r="W45" s="279">
        <v>0.46153846153846156</v>
      </c>
      <c r="X45" s="279">
        <v>0.54545454545454541</v>
      </c>
      <c r="Y45" s="275">
        <v>0.53846153846153844</v>
      </c>
      <c r="Z45"/>
      <c r="AA45"/>
      <c r="AB45"/>
      <c r="AC45"/>
      <c r="AD45"/>
      <c r="AE45"/>
      <c r="AF45"/>
      <c r="AG45"/>
      <c r="AH45"/>
      <c r="AI45"/>
      <c r="AJ45"/>
      <c r="AK45"/>
    </row>
    <row r="46" spans="2:75" ht="16.5" customHeight="1" x14ac:dyDescent="0.3">
      <c r="B46" s="642" t="s">
        <v>1173</v>
      </c>
      <c r="C46" s="412">
        <v>11</v>
      </c>
      <c r="D46" s="412">
        <v>0</v>
      </c>
      <c r="E46" s="412">
        <v>0</v>
      </c>
      <c r="F46" s="275">
        <f t="shared" si="0"/>
        <v>0</v>
      </c>
      <c r="G46" s="277">
        <v>12</v>
      </c>
      <c r="H46" s="278">
        <v>0</v>
      </c>
      <c r="I46" s="278">
        <v>2</v>
      </c>
      <c r="J46" s="279">
        <f t="shared" si="6"/>
        <v>0.16666666666666666</v>
      </c>
      <c r="K46" s="647">
        <v>10</v>
      </c>
      <c r="L46" s="558">
        <v>0</v>
      </c>
      <c r="M46" s="558">
        <v>1</v>
      </c>
      <c r="N46" s="279">
        <f t="shared" si="1"/>
        <v>0.1</v>
      </c>
      <c r="O46" s="277">
        <f t="shared" si="3"/>
        <v>13</v>
      </c>
      <c r="P46" s="278">
        <f t="shared" ref="P46:Q46" si="8">BL8-AS8</f>
        <v>0</v>
      </c>
      <c r="Q46" s="278">
        <f t="shared" si="8"/>
        <v>0</v>
      </c>
      <c r="R46" s="275">
        <f t="shared" si="2"/>
        <v>0</v>
      </c>
      <c r="T46" s="801"/>
      <c r="U46" s="642" t="s">
        <v>5076</v>
      </c>
      <c r="V46" s="275">
        <v>0.18181818181818182</v>
      </c>
      <c r="W46" s="279">
        <v>0.53846153846153844</v>
      </c>
      <c r="X46" s="279">
        <v>0.7</v>
      </c>
      <c r="Y46" s="275">
        <v>0.4</v>
      </c>
      <c r="Z46"/>
      <c r="AA46"/>
      <c r="AB46"/>
      <c r="AC46"/>
      <c r="AD46"/>
      <c r="AE46"/>
      <c r="AF46"/>
      <c r="AG46"/>
      <c r="AH46"/>
      <c r="AI46"/>
      <c r="AJ46"/>
      <c r="AK46"/>
    </row>
    <row r="47" spans="2:75" ht="15" thickBot="1" x14ac:dyDescent="0.35">
      <c r="B47" s="642" t="s">
        <v>5072</v>
      </c>
      <c r="C47" s="412">
        <v>13</v>
      </c>
      <c r="D47" s="412">
        <v>0</v>
      </c>
      <c r="E47" s="412">
        <v>5</v>
      </c>
      <c r="F47" s="275">
        <f t="shared" si="0"/>
        <v>0.38461538461538464</v>
      </c>
      <c r="G47" s="277">
        <v>12</v>
      </c>
      <c r="H47" s="278">
        <v>3</v>
      </c>
      <c r="I47" s="278">
        <v>3</v>
      </c>
      <c r="J47" s="279">
        <f t="shared" si="6"/>
        <v>0.5</v>
      </c>
      <c r="K47" s="647">
        <v>9</v>
      </c>
      <c r="L47" s="558">
        <v>1</v>
      </c>
      <c r="M47" s="558">
        <v>5</v>
      </c>
      <c r="N47" s="279">
        <f t="shared" si="1"/>
        <v>0.66666666666666663</v>
      </c>
      <c r="O47" s="277">
        <f t="shared" si="3"/>
        <v>13</v>
      </c>
      <c r="P47" s="278">
        <f t="shared" ref="P47:Q47" si="9">BL9-AS9</f>
        <v>4</v>
      </c>
      <c r="Q47" s="278">
        <f t="shared" si="9"/>
        <v>4</v>
      </c>
      <c r="R47" s="275">
        <f t="shared" si="2"/>
        <v>0.61538461538461542</v>
      </c>
      <c r="T47" s="802"/>
      <c r="U47" s="642" t="s">
        <v>4170</v>
      </c>
      <c r="V47" s="275">
        <v>0.90909090909090906</v>
      </c>
      <c r="W47" s="279">
        <v>0.92307692307692313</v>
      </c>
      <c r="X47" s="279">
        <v>0.61538461538461542</v>
      </c>
      <c r="Y47" s="275">
        <v>0.38461538461538464</v>
      </c>
      <c r="Z47"/>
      <c r="AA47"/>
      <c r="AB47"/>
      <c r="AC47"/>
      <c r="AD47"/>
      <c r="AE47"/>
      <c r="AF47"/>
      <c r="AG47"/>
      <c r="AH47"/>
      <c r="AI47"/>
      <c r="AJ47"/>
      <c r="AK47"/>
    </row>
    <row r="48" spans="2:75" x14ac:dyDescent="0.3">
      <c r="B48" s="642" t="s">
        <v>5076</v>
      </c>
      <c r="C48" s="412">
        <v>11</v>
      </c>
      <c r="D48" s="412">
        <v>0</v>
      </c>
      <c r="E48" s="412">
        <v>2</v>
      </c>
      <c r="F48" s="275">
        <f t="shared" si="0"/>
        <v>0.18181818181818182</v>
      </c>
      <c r="G48" s="277">
        <v>13</v>
      </c>
      <c r="H48" s="278">
        <v>1</v>
      </c>
      <c r="I48" s="278">
        <v>6</v>
      </c>
      <c r="J48" s="279">
        <f t="shared" si="6"/>
        <v>0.53846153846153844</v>
      </c>
      <c r="K48" s="647">
        <v>10</v>
      </c>
      <c r="L48" s="558">
        <v>4</v>
      </c>
      <c r="M48" s="558">
        <v>3</v>
      </c>
      <c r="N48" s="279">
        <f t="shared" si="1"/>
        <v>0.7</v>
      </c>
      <c r="O48" s="277">
        <f t="shared" si="3"/>
        <v>10</v>
      </c>
      <c r="P48" s="278">
        <f t="shared" ref="P48:Q48" si="10">BL10-AS10</f>
        <v>4</v>
      </c>
      <c r="Q48" s="278">
        <f t="shared" si="10"/>
        <v>0</v>
      </c>
      <c r="R48" s="275">
        <f t="shared" si="2"/>
        <v>0.4</v>
      </c>
      <c r="T48" s="801"/>
      <c r="U48" s="642" t="s">
        <v>4034</v>
      </c>
      <c r="V48" s="275">
        <v>0.15384615384615385</v>
      </c>
      <c r="W48" s="279">
        <v>0.23076923076923078</v>
      </c>
      <c r="X48" s="279">
        <v>0.30769230769230771</v>
      </c>
      <c r="Y48" s="275">
        <v>0.23076923076923078</v>
      </c>
      <c r="Z48"/>
      <c r="AA48"/>
      <c r="AB48"/>
      <c r="AC48"/>
      <c r="AD48"/>
      <c r="AE48"/>
      <c r="AF48"/>
      <c r="AG48"/>
      <c r="AH48"/>
      <c r="AI48"/>
      <c r="AJ48"/>
      <c r="AK48"/>
    </row>
    <row r="49" spans="2:37" ht="15" thickBot="1" x14ac:dyDescent="0.35">
      <c r="B49" s="642" t="s">
        <v>4037</v>
      </c>
      <c r="C49" s="412">
        <v>2</v>
      </c>
      <c r="D49" s="412">
        <v>0</v>
      </c>
      <c r="E49" s="412">
        <v>0</v>
      </c>
      <c r="F49" s="275">
        <f t="shared" si="0"/>
        <v>0</v>
      </c>
      <c r="G49" s="277">
        <v>0</v>
      </c>
      <c r="H49" s="278"/>
      <c r="I49" s="278"/>
      <c r="J49" s="279"/>
      <c r="K49" s="647">
        <v>4</v>
      </c>
      <c r="L49" s="558">
        <v>1</v>
      </c>
      <c r="M49" s="558">
        <v>0</v>
      </c>
      <c r="N49" s="279">
        <f t="shared" si="1"/>
        <v>0.25</v>
      </c>
      <c r="O49" s="277">
        <f t="shared" si="3"/>
        <v>10</v>
      </c>
      <c r="P49" s="278">
        <f t="shared" ref="P49:Q49" si="11">BL11-AS11</f>
        <v>0</v>
      </c>
      <c r="Q49" s="278">
        <f t="shared" si="11"/>
        <v>0</v>
      </c>
      <c r="R49" s="275">
        <f t="shared" si="2"/>
        <v>0</v>
      </c>
      <c r="T49" s="802"/>
      <c r="U49" s="642" t="s">
        <v>5077</v>
      </c>
      <c r="V49" s="275">
        <v>0.1111111111111111</v>
      </c>
      <c r="W49" s="279">
        <v>0.5</v>
      </c>
      <c r="X49" s="279">
        <v>0.46153846153846156</v>
      </c>
      <c r="Y49" s="275">
        <v>0.23076923076923078</v>
      </c>
      <c r="Z49"/>
      <c r="AA49"/>
      <c r="AB49"/>
      <c r="AC49"/>
      <c r="AD49"/>
      <c r="AE49"/>
      <c r="AF49"/>
      <c r="AG49"/>
      <c r="AH49"/>
      <c r="AI49"/>
      <c r="AJ49"/>
      <c r="AK49"/>
    </row>
    <row r="50" spans="2:37" ht="16.5" customHeight="1" x14ac:dyDescent="0.3">
      <c r="B50" s="642" t="s">
        <v>5075</v>
      </c>
      <c r="C50" s="412">
        <v>8</v>
      </c>
      <c r="D50" s="412">
        <v>1</v>
      </c>
      <c r="E50" s="412">
        <v>0</v>
      </c>
      <c r="F50" s="275">
        <f t="shared" si="0"/>
        <v>0.125</v>
      </c>
      <c r="G50" s="277">
        <v>12</v>
      </c>
      <c r="H50" s="278">
        <v>1</v>
      </c>
      <c r="I50" s="278">
        <v>1</v>
      </c>
      <c r="J50" s="279">
        <f t="shared" si="6"/>
        <v>0.16666666666666666</v>
      </c>
      <c r="K50" s="647">
        <v>7</v>
      </c>
      <c r="L50" s="558">
        <v>0</v>
      </c>
      <c r="M50" s="558">
        <v>0</v>
      </c>
      <c r="N50" s="279">
        <f t="shared" ref="N50:N60" si="12">(L50+M50)/K50</f>
        <v>0</v>
      </c>
      <c r="O50" s="277">
        <f t="shared" si="3"/>
        <v>7</v>
      </c>
      <c r="P50" s="278">
        <f t="shared" ref="P50:Q50" si="13">BL12-AS12</f>
        <v>0</v>
      </c>
      <c r="Q50" s="278">
        <f t="shared" si="13"/>
        <v>0</v>
      </c>
      <c r="R50" s="275">
        <f t="shared" ref="R50:R60" si="14">(P50+Q50)/O50</f>
        <v>0</v>
      </c>
      <c r="T50" s="801"/>
      <c r="U50" s="642" t="s">
        <v>5074</v>
      </c>
      <c r="V50" s="275">
        <v>0.53846153846153844</v>
      </c>
      <c r="W50" s="279">
        <v>0.30769230769230771</v>
      </c>
      <c r="X50" s="279">
        <v>0.30769230769230771</v>
      </c>
      <c r="Y50" s="275">
        <v>0.18181818181818182</v>
      </c>
      <c r="Z50"/>
      <c r="AA50"/>
      <c r="AB50"/>
      <c r="AC50"/>
      <c r="AD50"/>
      <c r="AE50"/>
      <c r="AF50"/>
      <c r="AG50"/>
      <c r="AH50"/>
      <c r="AI50"/>
      <c r="AJ50"/>
      <c r="AK50"/>
    </row>
    <row r="51" spans="2:37" ht="15" thickBot="1" x14ac:dyDescent="0.35">
      <c r="B51" s="642" t="s">
        <v>5074</v>
      </c>
      <c r="C51" s="412">
        <v>13</v>
      </c>
      <c r="D51" s="412">
        <v>2</v>
      </c>
      <c r="E51" s="412">
        <v>5</v>
      </c>
      <c r="F51" s="275">
        <f t="shared" si="0"/>
        <v>0.53846153846153844</v>
      </c>
      <c r="G51" s="277">
        <v>13</v>
      </c>
      <c r="H51" s="278">
        <v>0</v>
      </c>
      <c r="I51" s="278">
        <v>4</v>
      </c>
      <c r="J51" s="279">
        <f t="shared" si="6"/>
        <v>0.30769230769230771</v>
      </c>
      <c r="K51" s="647">
        <v>13</v>
      </c>
      <c r="L51" s="558">
        <v>0</v>
      </c>
      <c r="M51" s="558">
        <v>4</v>
      </c>
      <c r="N51" s="279">
        <f t="shared" si="12"/>
        <v>0.30769230769230771</v>
      </c>
      <c r="O51" s="277">
        <f t="shared" si="3"/>
        <v>11</v>
      </c>
      <c r="P51" s="278">
        <f t="shared" ref="P51:Q51" si="15">BL13-AS13</f>
        <v>0</v>
      </c>
      <c r="Q51" s="278">
        <f t="shared" si="15"/>
        <v>2</v>
      </c>
      <c r="R51" s="275">
        <f t="shared" si="14"/>
        <v>0.18181818181818182</v>
      </c>
      <c r="T51" s="802"/>
      <c r="U51" s="642" t="s">
        <v>5070</v>
      </c>
      <c r="V51" s="275">
        <v>0.5</v>
      </c>
      <c r="W51" s="279">
        <v>8.3333333333333329E-2</v>
      </c>
      <c r="X51" s="279">
        <v>8.3333333333333329E-2</v>
      </c>
      <c r="Y51" s="275">
        <v>0.1111111111111111</v>
      </c>
      <c r="Z51"/>
      <c r="AA51"/>
      <c r="AB51"/>
      <c r="AC51"/>
      <c r="AD51"/>
      <c r="AE51"/>
      <c r="AF51"/>
      <c r="AG51"/>
      <c r="AH51"/>
      <c r="AI51"/>
      <c r="AJ51"/>
      <c r="AK51"/>
    </row>
    <row r="52" spans="2:37" x14ac:dyDescent="0.3">
      <c r="B52" s="642" t="s">
        <v>1227</v>
      </c>
      <c r="C52" s="412">
        <v>11</v>
      </c>
      <c r="D52" s="412">
        <v>0</v>
      </c>
      <c r="E52" s="412">
        <v>3</v>
      </c>
      <c r="F52" s="275">
        <f t="shared" si="0"/>
        <v>0.27272727272727271</v>
      </c>
      <c r="G52" s="277">
        <v>4</v>
      </c>
      <c r="H52" s="278">
        <v>0</v>
      </c>
      <c r="I52" s="278">
        <v>0</v>
      </c>
      <c r="J52" s="279">
        <f t="shared" si="6"/>
        <v>0</v>
      </c>
      <c r="K52" s="647">
        <v>2</v>
      </c>
      <c r="L52" s="558">
        <v>0</v>
      </c>
      <c r="M52" s="558">
        <v>0</v>
      </c>
      <c r="N52" s="279">
        <f t="shared" si="12"/>
        <v>0</v>
      </c>
      <c r="O52" s="277">
        <f t="shared" si="3"/>
        <v>3</v>
      </c>
      <c r="P52" s="278">
        <f t="shared" ref="P52:Q52" si="16">BL14-AS14</f>
        <v>0</v>
      </c>
      <c r="Q52" s="278">
        <f t="shared" si="16"/>
        <v>0</v>
      </c>
      <c r="R52" s="275">
        <f t="shared" si="14"/>
        <v>0</v>
      </c>
      <c r="T52" s="801"/>
      <c r="U52" s="642" t="s">
        <v>4068</v>
      </c>
      <c r="V52" s="275">
        <v>0</v>
      </c>
      <c r="W52" s="279">
        <v>0.15384615384615385</v>
      </c>
      <c r="X52" s="279">
        <v>0.375</v>
      </c>
      <c r="Y52" s="275">
        <v>0.1111111111111111</v>
      </c>
      <c r="Z52"/>
      <c r="AA52"/>
      <c r="AB52"/>
      <c r="AC52"/>
      <c r="AD52"/>
      <c r="AE52"/>
      <c r="AF52"/>
      <c r="AG52"/>
      <c r="AH52"/>
      <c r="AI52"/>
      <c r="AJ52"/>
      <c r="AK52"/>
    </row>
    <row r="53" spans="2:37" ht="15" thickBot="1" x14ac:dyDescent="0.35">
      <c r="B53" s="642" t="s">
        <v>83</v>
      </c>
      <c r="C53" s="412">
        <v>10</v>
      </c>
      <c r="D53" s="412">
        <v>0</v>
      </c>
      <c r="E53" s="412">
        <v>0</v>
      </c>
      <c r="F53" s="275">
        <f t="shared" si="0"/>
        <v>0</v>
      </c>
      <c r="G53" s="277">
        <v>12</v>
      </c>
      <c r="H53" s="278">
        <v>1</v>
      </c>
      <c r="I53" s="278">
        <v>1</v>
      </c>
      <c r="J53" s="279">
        <f t="shared" si="6"/>
        <v>0.16666666666666666</v>
      </c>
      <c r="K53" s="647">
        <v>11</v>
      </c>
      <c r="L53" s="558">
        <v>0</v>
      </c>
      <c r="M53" s="558">
        <v>3</v>
      </c>
      <c r="N53" s="279">
        <f t="shared" si="12"/>
        <v>0.27272727272727271</v>
      </c>
      <c r="O53" s="277">
        <f t="shared" si="3"/>
        <v>13</v>
      </c>
      <c r="P53" s="278">
        <f t="shared" ref="P53:Q53" si="17">BL15-AS15</f>
        <v>0</v>
      </c>
      <c r="Q53" s="278">
        <f t="shared" si="17"/>
        <v>1</v>
      </c>
      <c r="R53" s="275">
        <f t="shared" si="14"/>
        <v>7.6923076923076927E-2</v>
      </c>
      <c r="T53" s="802"/>
      <c r="U53" s="642" t="s">
        <v>5078</v>
      </c>
      <c r="V53" s="275">
        <v>0</v>
      </c>
      <c r="W53" s="279">
        <v>0.14285714285714285</v>
      </c>
      <c r="X53" s="279">
        <v>0</v>
      </c>
      <c r="Y53" s="275">
        <v>0.1</v>
      </c>
      <c r="Z53"/>
      <c r="AA53"/>
      <c r="AB53"/>
      <c r="AC53"/>
      <c r="AD53"/>
      <c r="AE53"/>
      <c r="AF53"/>
      <c r="AG53"/>
      <c r="AH53"/>
      <c r="AI53"/>
      <c r="AJ53"/>
      <c r="AK53"/>
    </row>
    <row r="54" spans="2:37" x14ac:dyDescent="0.3">
      <c r="B54" s="642" t="s">
        <v>4398</v>
      </c>
      <c r="C54" s="412">
        <v>3</v>
      </c>
      <c r="D54" s="412">
        <v>0</v>
      </c>
      <c r="E54" s="412">
        <v>0</v>
      </c>
      <c r="F54" s="275">
        <f t="shared" si="0"/>
        <v>0</v>
      </c>
      <c r="G54" s="277">
        <v>1</v>
      </c>
      <c r="H54" s="278">
        <v>0</v>
      </c>
      <c r="I54" s="278">
        <v>0</v>
      </c>
      <c r="J54" s="279">
        <f t="shared" si="6"/>
        <v>0</v>
      </c>
      <c r="K54" s="647">
        <v>5</v>
      </c>
      <c r="L54" s="558">
        <v>1</v>
      </c>
      <c r="M54" s="558">
        <v>0</v>
      </c>
      <c r="N54" s="279">
        <f t="shared" si="12"/>
        <v>0.2</v>
      </c>
      <c r="O54" s="277"/>
      <c r="P54" s="278"/>
      <c r="Q54" s="278"/>
      <c r="R54" s="275"/>
      <c r="T54" s="801"/>
      <c r="U54" s="642" t="s">
        <v>83</v>
      </c>
      <c r="V54" s="275">
        <v>0</v>
      </c>
      <c r="W54" s="279">
        <v>0.16666666666666666</v>
      </c>
      <c r="X54" s="279">
        <v>0.27272727272727271</v>
      </c>
      <c r="Y54" s="275">
        <v>7.6923076923076927E-2</v>
      </c>
      <c r="Z54"/>
      <c r="AA54"/>
      <c r="AB54"/>
      <c r="AC54"/>
      <c r="AD54"/>
      <c r="AE54"/>
      <c r="AF54"/>
      <c r="AG54"/>
      <c r="AH54"/>
      <c r="AI54"/>
      <c r="AJ54"/>
      <c r="AK54"/>
    </row>
    <row r="55" spans="2:37" ht="15" thickBot="1" x14ac:dyDescent="0.35">
      <c r="B55" s="642" t="s">
        <v>4173</v>
      </c>
      <c r="C55" s="412">
        <v>13</v>
      </c>
      <c r="D55" s="412">
        <v>3</v>
      </c>
      <c r="E55" s="412">
        <v>3</v>
      </c>
      <c r="F55" s="275">
        <f t="shared" si="0"/>
        <v>0.46153846153846156</v>
      </c>
      <c r="G55" s="277">
        <v>13</v>
      </c>
      <c r="H55" s="278">
        <v>3</v>
      </c>
      <c r="I55" s="278">
        <v>5</v>
      </c>
      <c r="J55" s="279">
        <f t="shared" si="6"/>
        <v>0.61538461538461542</v>
      </c>
      <c r="K55" s="647">
        <v>13</v>
      </c>
      <c r="L55" s="558">
        <v>3</v>
      </c>
      <c r="M55" s="558">
        <v>3</v>
      </c>
      <c r="N55" s="279">
        <f t="shared" si="12"/>
        <v>0.46153846153846156</v>
      </c>
      <c r="O55" s="277">
        <f t="shared" si="3"/>
        <v>13</v>
      </c>
      <c r="P55" s="278">
        <f t="shared" ref="P55:Q55" si="18">BL17-AS17</f>
        <v>0</v>
      </c>
      <c r="Q55" s="278">
        <f t="shared" si="18"/>
        <v>7</v>
      </c>
      <c r="R55" s="275">
        <f t="shared" si="14"/>
        <v>0.53846153846153844</v>
      </c>
      <c r="T55" s="802"/>
      <c r="U55" s="642" t="s">
        <v>4039</v>
      </c>
      <c r="V55" s="275">
        <v>0.125</v>
      </c>
      <c r="W55" s="279">
        <v>7.6923076923076927E-2</v>
      </c>
      <c r="X55" s="279">
        <v>0.53846153846153844</v>
      </c>
      <c r="Y55" s="275">
        <v>0</v>
      </c>
      <c r="Z55"/>
      <c r="AA55"/>
      <c r="AB55"/>
      <c r="AC55"/>
      <c r="AD55"/>
      <c r="AE55"/>
      <c r="AF55"/>
      <c r="AG55"/>
      <c r="AH55"/>
      <c r="AI55"/>
      <c r="AJ55"/>
      <c r="AK55"/>
    </row>
    <row r="56" spans="2:37" x14ac:dyDescent="0.3">
      <c r="B56" s="642" t="s">
        <v>5070</v>
      </c>
      <c r="C56" s="412">
        <v>8</v>
      </c>
      <c r="D56" s="412">
        <v>3</v>
      </c>
      <c r="E56" s="412">
        <v>1</v>
      </c>
      <c r="F56" s="275">
        <f t="shared" si="0"/>
        <v>0.5</v>
      </c>
      <c r="G56" s="277">
        <v>12</v>
      </c>
      <c r="H56" s="278">
        <v>1</v>
      </c>
      <c r="I56" s="278">
        <v>0</v>
      </c>
      <c r="J56" s="279">
        <f t="shared" ref="J56:J65" si="19">(H56+I56)/G56</f>
        <v>8.3333333333333329E-2</v>
      </c>
      <c r="K56" s="647">
        <v>12</v>
      </c>
      <c r="L56" s="558">
        <v>0</v>
      </c>
      <c r="M56" s="558">
        <v>1</v>
      </c>
      <c r="N56" s="279">
        <f t="shared" si="12"/>
        <v>8.3333333333333329E-2</v>
      </c>
      <c r="O56" s="277">
        <f t="shared" si="3"/>
        <v>9</v>
      </c>
      <c r="P56" s="278">
        <f t="shared" ref="P56:Q56" si="20">BL18-AS18</f>
        <v>0</v>
      </c>
      <c r="Q56" s="278">
        <f t="shared" si="20"/>
        <v>1</v>
      </c>
      <c r="R56" s="275">
        <f t="shared" si="14"/>
        <v>0.1111111111111111</v>
      </c>
      <c r="T56" s="801"/>
      <c r="U56" s="642" t="s">
        <v>97</v>
      </c>
      <c r="V56" s="275">
        <v>8.3333333333333329E-2</v>
      </c>
      <c r="W56" s="279">
        <v>0.5</v>
      </c>
      <c r="X56" s="279"/>
      <c r="Y56" s="275">
        <v>0</v>
      </c>
      <c r="Z56"/>
      <c r="AA56"/>
      <c r="AB56"/>
      <c r="AC56"/>
      <c r="AD56"/>
      <c r="AE56"/>
      <c r="AF56"/>
      <c r="AG56"/>
      <c r="AH56"/>
      <c r="AI56"/>
      <c r="AJ56"/>
      <c r="AK56"/>
    </row>
    <row r="57" spans="2:37" ht="15" thickBot="1" x14ac:dyDescent="0.35">
      <c r="B57" s="642" t="s">
        <v>5069</v>
      </c>
      <c r="C57" s="412">
        <v>13</v>
      </c>
      <c r="D57" s="412">
        <v>3</v>
      </c>
      <c r="E57" s="412">
        <v>4</v>
      </c>
      <c r="F57" s="275">
        <f t="shared" si="0"/>
        <v>0.53846153846153844</v>
      </c>
      <c r="G57" s="277">
        <v>13</v>
      </c>
      <c r="H57" s="278">
        <v>2</v>
      </c>
      <c r="I57" s="278">
        <v>4</v>
      </c>
      <c r="J57" s="279">
        <f t="shared" si="19"/>
        <v>0.46153846153846156</v>
      </c>
      <c r="K57" s="647">
        <v>11</v>
      </c>
      <c r="L57" s="558">
        <v>5</v>
      </c>
      <c r="M57" s="558">
        <v>1</v>
      </c>
      <c r="N57" s="279">
        <f t="shared" si="12"/>
        <v>0.54545454545454541</v>
      </c>
      <c r="O57" s="277">
        <f t="shared" si="3"/>
        <v>13</v>
      </c>
      <c r="P57" s="278">
        <f t="shared" ref="P57:Q57" si="21">BL19-AS19</f>
        <v>5</v>
      </c>
      <c r="Q57" s="278">
        <f t="shared" si="21"/>
        <v>2</v>
      </c>
      <c r="R57" s="275">
        <f t="shared" si="14"/>
        <v>0.53846153846153844</v>
      </c>
      <c r="T57" s="802"/>
      <c r="U57" s="642" t="s">
        <v>1173</v>
      </c>
      <c r="V57" s="275">
        <v>0</v>
      </c>
      <c r="W57" s="279">
        <v>0.16666666666666666</v>
      </c>
      <c r="X57" s="279">
        <v>0.1</v>
      </c>
      <c r="Y57" s="275">
        <v>0</v>
      </c>
      <c r="Z57"/>
      <c r="AA57"/>
      <c r="AB57"/>
      <c r="AC57"/>
      <c r="AD57"/>
      <c r="AE57"/>
      <c r="AF57"/>
      <c r="AG57"/>
      <c r="AH57"/>
      <c r="AI57"/>
      <c r="AJ57"/>
      <c r="AK57"/>
    </row>
    <row r="58" spans="2:37" x14ac:dyDescent="0.3">
      <c r="B58" s="642" t="s">
        <v>4034</v>
      </c>
      <c r="C58" s="412">
        <v>13</v>
      </c>
      <c r="D58" s="412">
        <v>1</v>
      </c>
      <c r="E58" s="412">
        <v>1</v>
      </c>
      <c r="F58" s="275">
        <f t="shared" si="0"/>
        <v>0.15384615384615385</v>
      </c>
      <c r="G58" s="277">
        <v>13</v>
      </c>
      <c r="H58" s="278">
        <v>0</v>
      </c>
      <c r="I58" s="278">
        <v>3</v>
      </c>
      <c r="J58" s="279">
        <f t="shared" si="19"/>
        <v>0.23076923076923078</v>
      </c>
      <c r="K58" s="647">
        <v>13</v>
      </c>
      <c r="L58" s="558">
        <v>2</v>
      </c>
      <c r="M58" s="558">
        <v>2</v>
      </c>
      <c r="N58" s="279">
        <f t="shared" si="12"/>
        <v>0.30769230769230771</v>
      </c>
      <c r="O58" s="277">
        <f t="shared" si="3"/>
        <v>13</v>
      </c>
      <c r="P58" s="278">
        <f t="shared" ref="P58:Q58" si="22">BL20-AS20</f>
        <v>1</v>
      </c>
      <c r="Q58" s="278">
        <f t="shared" si="22"/>
        <v>2</v>
      </c>
      <c r="R58" s="275">
        <f t="shared" si="14"/>
        <v>0.23076923076923078</v>
      </c>
      <c r="T58" s="797"/>
      <c r="U58" s="642" t="s">
        <v>4037</v>
      </c>
      <c r="V58" s="275">
        <v>0</v>
      </c>
      <c r="W58" s="279"/>
      <c r="X58" s="279">
        <v>0.25</v>
      </c>
      <c r="Y58" s="275">
        <v>0</v>
      </c>
      <c r="Z58"/>
      <c r="AA58"/>
      <c r="AB58"/>
      <c r="AC58"/>
      <c r="AD58"/>
      <c r="AE58"/>
      <c r="AF58"/>
      <c r="AG58"/>
      <c r="AH58"/>
      <c r="AI58"/>
      <c r="AJ58"/>
      <c r="AK58"/>
    </row>
    <row r="59" spans="2:37" ht="15" customHeight="1" x14ac:dyDescent="0.3">
      <c r="B59" s="642" t="s">
        <v>4031</v>
      </c>
      <c r="C59" s="412">
        <v>13</v>
      </c>
      <c r="D59" s="412">
        <v>4</v>
      </c>
      <c r="E59" s="412">
        <v>5</v>
      </c>
      <c r="F59" s="275">
        <f t="shared" si="0"/>
        <v>0.69230769230769229</v>
      </c>
      <c r="G59" s="277">
        <v>13</v>
      </c>
      <c r="H59" s="278">
        <v>4</v>
      </c>
      <c r="I59" s="278">
        <v>3</v>
      </c>
      <c r="J59" s="279">
        <f t="shared" si="19"/>
        <v>0.53846153846153844</v>
      </c>
      <c r="K59" s="647">
        <v>13</v>
      </c>
      <c r="L59" s="558">
        <v>4</v>
      </c>
      <c r="M59" s="558">
        <v>5</v>
      </c>
      <c r="N59" s="279">
        <f t="shared" si="12"/>
        <v>0.69230769230769229</v>
      </c>
      <c r="O59" s="277">
        <f t="shared" si="3"/>
        <v>13</v>
      </c>
      <c r="P59" s="278">
        <f t="shared" ref="P59:Q59" si="23">BL21-AS21</f>
        <v>4</v>
      </c>
      <c r="Q59" s="278">
        <f t="shared" si="23"/>
        <v>4</v>
      </c>
      <c r="R59" s="275">
        <f t="shared" si="14"/>
        <v>0.61538461538461542</v>
      </c>
      <c r="T59" s="800"/>
      <c r="U59" s="642" t="s">
        <v>5075</v>
      </c>
      <c r="V59" s="275">
        <v>0.125</v>
      </c>
      <c r="W59" s="279">
        <v>0.16666666666666666</v>
      </c>
      <c r="X59" s="279">
        <v>0</v>
      </c>
      <c r="Y59" s="275">
        <v>0</v>
      </c>
      <c r="Z59"/>
      <c r="AA59"/>
      <c r="AB59"/>
      <c r="AC59"/>
      <c r="AD59"/>
      <c r="AE59"/>
      <c r="AF59"/>
      <c r="AG59"/>
      <c r="AH59"/>
      <c r="AI59"/>
      <c r="AJ59"/>
      <c r="AK59"/>
    </row>
    <row r="60" spans="2:37" x14ac:dyDescent="0.3">
      <c r="B60" s="642" t="s">
        <v>3622</v>
      </c>
      <c r="C60" s="412">
        <v>10</v>
      </c>
      <c r="D60" s="412">
        <v>0</v>
      </c>
      <c r="E60" s="412">
        <v>0</v>
      </c>
      <c r="F60" s="275">
        <f t="shared" ref="F60:F63" si="24">(D60+E60)/C60</f>
        <v>0</v>
      </c>
      <c r="G60" s="277">
        <v>13</v>
      </c>
      <c r="H60" s="278">
        <v>2</v>
      </c>
      <c r="I60" s="278">
        <v>1</v>
      </c>
      <c r="J60" s="279">
        <f t="shared" si="19"/>
        <v>0.23076923076923078</v>
      </c>
      <c r="K60" s="647">
        <v>7</v>
      </c>
      <c r="L60" s="558">
        <v>4</v>
      </c>
      <c r="M60" s="558">
        <v>3</v>
      </c>
      <c r="N60" s="279">
        <f t="shared" si="12"/>
        <v>1</v>
      </c>
      <c r="O60" s="277">
        <f t="shared" si="3"/>
        <v>6</v>
      </c>
      <c r="P60" s="278">
        <f t="shared" ref="P60:Q60" si="25">BL22-AS22</f>
        <v>0</v>
      </c>
      <c r="Q60" s="278">
        <f t="shared" si="25"/>
        <v>0</v>
      </c>
      <c r="R60" s="275">
        <f t="shared" si="14"/>
        <v>0</v>
      </c>
      <c r="T60" s="797"/>
      <c r="U60" s="642" t="s">
        <v>1227</v>
      </c>
      <c r="V60" s="275">
        <v>0.27272727272727271</v>
      </c>
      <c r="W60" s="279">
        <v>0</v>
      </c>
      <c r="X60" s="279">
        <v>0</v>
      </c>
      <c r="Y60" s="275">
        <v>0</v>
      </c>
      <c r="Z60"/>
      <c r="AA60"/>
      <c r="AB60"/>
      <c r="AC60"/>
      <c r="AD60"/>
      <c r="AE60"/>
      <c r="AF60"/>
      <c r="AG60"/>
      <c r="AH60"/>
      <c r="AI60"/>
      <c r="AJ60"/>
      <c r="AK60"/>
    </row>
    <row r="61" spans="2:37" x14ac:dyDescent="0.3">
      <c r="B61" s="642" t="s">
        <v>4068</v>
      </c>
      <c r="C61" s="412">
        <v>13</v>
      </c>
      <c r="D61" s="412">
        <v>0</v>
      </c>
      <c r="E61" s="412">
        <v>0</v>
      </c>
      <c r="F61" s="275">
        <f t="shared" si="24"/>
        <v>0</v>
      </c>
      <c r="G61" s="277">
        <v>13</v>
      </c>
      <c r="H61" s="278">
        <v>2</v>
      </c>
      <c r="I61" s="278">
        <v>0</v>
      </c>
      <c r="J61" s="279">
        <f t="shared" si="19"/>
        <v>0.15384615384615385</v>
      </c>
      <c r="K61" s="647">
        <v>8</v>
      </c>
      <c r="L61" s="558">
        <v>0</v>
      </c>
      <c r="M61" s="558">
        <v>3</v>
      </c>
      <c r="N61" s="279">
        <f t="shared" ref="N61:N66" si="26">(L61+M61)/K61</f>
        <v>0.375</v>
      </c>
      <c r="O61" s="277">
        <f t="shared" si="3"/>
        <v>9</v>
      </c>
      <c r="P61" s="278">
        <f t="shared" ref="P61:Q61" si="27">BL23-AS23</f>
        <v>0</v>
      </c>
      <c r="Q61" s="278">
        <f t="shared" si="27"/>
        <v>1</v>
      </c>
      <c r="R61" s="275">
        <f>(P61+Q61)/O61</f>
        <v>0.1111111111111111</v>
      </c>
      <c r="T61" s="801"/>
      <c r="U61" s="642" t="s">
        <v>3622</v>
      </c>
      <c r="V61" s="275">
        <v>0</v>
      </c>
      <c r="W61" s="279">
        <v>0.23076923076923078</v>
      </c>
      <c r="X61" s="279">
        <v>1</v>
      </c>
      <c r="Y61" s="275">
        <v>0</v>
      </c>
      <c r="Z61"/>
      <c r="AA61"/>
      <c r="AB61"/>
      <c r="AC61"/>
      <c r="AD61"/>
      <c r="AE61"/>
      <c r="AF61"/>
      <c r="AG61"/>
      <c r="AH61"/>
      <c r="AI61"/>
      <c r="AJ61"/>
      <c r="AK61"/>
    </row>
    <row r="62" spans="2:37" ht="15" thickBot="1" x14ac:dyDescent="0.35">
      <c r="B62" s="642" t="s">
        <v>5078</v>
      </c>
      <c r="C62" s="412">
        <v>10</v>
      </c>
      <c r="D62" s="412">
        <v>0</v>
      </c>
      <c r="E62" s="412">
        <v>0</v>
      </c>
      <c r="F62" s="275">
        <f t="shared" si="24"/>
        <v>0</v>
      </c>
      <c r="G62" s="277">
        <v>7</v>
      </c>
      <c r="H62" s="278">
        <v>1</v>
      </c>
      <c r="I62" s="278">
        <v>0</v>
      </c>
      <c r="J62" s="279">
        <f t="shared" si="19"/>
        <v>0.14285714285714285</v>
      </c>
      <c r="K62" s="647">
        <v>13</v>
      </c>
      <c r="L62" s="558">
        <v>0</v>
      </c>
      <c r="M62" s="558">
        <v>0</v>
      </c>
      <c r="N62" s="279">
        <f t="shared" si="26"/>
        <v>0</v>
      </c>
      <c r="O62" s="277">
        <f t="shared" si="3"/>
        <v>10</v>
      </c>
      <c r="P62" s="278">
        <f t="shared" ref="P62:Q62" si="28">BL24-AS24</f>
        <v>0</v>
      </c>
      <c r="Q62" s="278">
        <f t="shared" si="28"/>
        <v>1</v>
      </c>
      <c r="R62" s="275">
        <f>(P62+Q62)/O62</f>
        <v>0.1</v>
      </c>
      <c r="T62" s="802"/>
      <c r="U62" s="642" t="s">
        <v>115</v>
      </c>
      <c r="V62" s="275"/>
      <c r="W62" s="279">
        <v>0.5</v>
      </c>
      <c r="X62" s="279">
        <v>0.41666666666666669</v>
      </c>
      <c r="Y62" s="275">
        <v>0</v>
      </c>
      <c r="Z62"/>
      <c r="AA62"/>
      <c r="AB62"/>
      <c r="AC62"/>
      <c r="AD62"/>
      <c r="AE62"/>
      <c r="AF62"/>
      <c r="AG62"/>
      <c r="AH62"/>
      <c r="AI62"/>
      <c r="AJ62"/>
      <c r="AK62"/>
    </row>
    <row r="63" spans="2:37" x14ac:dyDescent="0.3">
      <c r="B63" s="642" t="s">
        <v>5077</v>
      </c>
      <c r="C63" s="183">
        <v>9</v>
      </c>
      <c r="D63" s="183">
        <v>0</v>
      </c>
      <c r="E63" s="183">
        <v>1</v>
      </c>
      <c r="F63" s="275">
        <f t="shared" si="24"/>
        <v>0.1111111111111111</v>
      </c>
      <c r="G63" s="277">
        <v>8</v>
      </c>
      <c r="H63" s="278">
        <v>1</v>
      </c>
      <c r="I63" s="278">
        <v>3</v>
      </c>
      <c r="J63" s="279">
        <f t="shared" si="19"/>
        <v>0.5</v>
      </c>
      <c r="K63" s="647">
        <v>13</v>
      </c>
      <c r="L63" s="558">
        <v>0</v>
      </c>
      <c r="M63" s="558">
        <v>6</v>
      </c>
      <c r="N63" s="279">
        <f t="shared" si="26"/>
        <v>0.46153846153846156</v>
      </c>
      <c r="O63" s="277">
        <f t="shared" si="3"/>
        <v>13</v>
      </c>
      <c r="P63" s="278">
        <f t="shared" ref="P63:Q63" si="29">BL25-AS25</f>
        <v>1</v>
      </c>
      <c r="Q63" s="278">
        <f t="shared" si="29"/>
        <v>2</v>
      </c>
      <c r="R63" s="275">
        <f>(P63+Q63)/O63</f>
        <v>0.23076923076923078</v>
      </c>
      <c r="T63" s="801"/>
      <c r="U63" s="642" t="s">
        <v>5167</v>
      </c>
      <c r="V63" s="275"/>
      <c r="W63" s="279"/>
      <c r="X63" s="279">
        <v>0.5</v>
      </c>
      <c r="Y63" s="275">
        <v>0</v>
      </c>
      <c r="Z63"/>
      <c r="AA63"/>
      <c r="AB63"/>
      <c r="AC63"/>
      <c r="AD63"/>
      <c r="AE63"/>
      <c r="AF63"/>
      <c r="AG63"/>
      <c r="AH63"/>
      <c r="AI63"/>
      <c r="AJ63"/>
      <c r="AK63"/>
    </row>
    <row r="64" spans="2:37" ht="15" thickBot="1" x14ac:dyDescent="0.35">
      <c r="B64" s="642" t="s">
        <v>5068</v>
      </c>
      <c r="C64" s="412">
        <v>13</v>
      </c>
      <c r="D64" s="412">
        <v>4</v>
      </c>
      <c r="E64" s="412">
        <v>5</v>
      </c>
      <c r="F64" s="275">
        <f>(D64+E64)/C64</f>
        <v>0.69230769230769229</v>
      </c>
      <c r="G64" s="277">
        <v>13</v>
      </c>
      <c r="H64" s="278">
        <v>3</v>
      </c>
      <c r="I64" s="278">
        <v>9</v>
      </c>
      <c r="J64" s="279">
        <f t="shared" si="19"/>
        <v>0.92307692307692313</v>
      </c>
      <c r="K64" s="647">
        <v>13</v>
      </c>
      <c r="L64" s="558">
        <v>0</v>
      </c>
      <c r="M64" s="558">
        <v>11</v>
      </c>
      <c r="N64" s="279">
        <f t="shared" si="26"/>
        <v>0.84615384615384615</v>
      </c>
      <c r="O64" s="277">
        <f t="shared" si="3"/>
        <v>7</v>
      </c>
      <c r="P64" s="278">
        <f t="shared" ref="P64:Q64" si="30">BL26-AS26</f>
        <v>2</v>
      </c>
      <c r="Q64" s="278">
        <f t="shared" si="30"/>
        <v>6</v>
      </c>
      <c r="R64" s="275">
        <f>(P64+Q64)/O64</f>
        <v>1.1428571428571428</v>
      </c>
      <c r="T64" s="802"/>
      <c r="U64" s="642" t="s">
        <v>1226</v>
      </c>
      <c r="V64" s="275"/>
      <c r="W64" s="279"/>
      <c r="X64" s="279">
        <v>0</v>
      </c>
      <c r="Y64" s="275">
        <v>0</v>
      </c>
      <c r="Z64"/>
      <c r="AA64"/>
      <c r="AB64"/>
      <c r="AC64"/>
      <c r="AD64"/>
      <c r="AE64"/>
      <c r="AF64"/>
      <c r="AG64"/>
      <c r="AH64"/>
      <c r="AI64"/>
      <c r="AJ64"/>
      <c r="AK64"/>
    </row>
    <row r="65" spans="2:37" x14ac:dyDescent="0.3">
      <c r="B65" s="642" t="s">
        <v>115</v>
      </c>
      <c r="C65" s="412">
        <v>0</v>
      </c>
      <c r="D65" s="412"/>
      <c r="E65" s="412"/>
      <c r="F65" s="275"/>
      <c r="G65" s="198">
        <v>2</v>
      </c>
      <c r="H65" s="183">
        <v>0</v>
      </c>
      <c r="I65" s="183">
        <v>1</v>
      </c>
      <c r="J65" s="279">
        <f t="shared" si="19"/>
        <v>0.5</v>
      </c>
      <c r="K65" s="648">
        <v>12</v>
      </c>
      <c r="L65" s="412">
        <v>1</v>
      </c>
      <c r="M65" s="412">
        <v>4</v>
      </c>
      <c r="N65" s="279">
        <f t="shared" si="26"/>
        <v>0.41666666666666669</v>
      </c>
      <c r="O65" s="198">
        <f>BJ28-AQ28</f>
        <v>12</v>
      </c>
      <c r="P65" s="183">
        <v>0</v>
      </c>
      <c r="Q65" s="183">
        <v>0</v>
      </c>
      <c r="R65" s="275">
        <f>(P65+Q65)/O65</f>
        <v>0</v>
      </c>
      <c r="T65" s="801"/>
      <c r="U65" s="642" t="s">
        <v>112</v>
      </c>
      <c r="V65" s="275"/>
      <c r="W65" s="279"/>
      <c r="X65" s="279">
        <v>0.5</v>
      </c>
      <c r="Y65" s="275">
        <v>0</v>
      </c>
      <c r="Z65"/>
      <c r="AA65"/>
      <c r="AB65"/>
      <c r="AC65"/>
      <c r="AD65"/>
      <c r="AE65"/>
      <c r="AF65"/>
      <c r="AG65"/>
      <c r="AH65"/>
      <c r="AI65"/>
      <c r="AJ65"/>
      <c r="AK65"/>
    </row>
    <row r="66" spans="2:37" ht="15" thickBot="1" x14ac:dyDescent="0.35">
      <c r="B66" s="642" t="s">
        <v>5167</v>
      </c>
      <c r="C66" s="412">
        <v>0</v>
      </c>
      <c r="D66" s="412"/>
      <c r="E66" s="412"/>
      <c r="F66" s="275"/>
      <c r="G66" s="198">
        <v>0</v>
      </c>
      <c r="H66" s="183"/>
      <c r="I66" s="183"/>
      <c r="J66" s="279"/>
      <c r="K66" s="648">
        <v>2</v>
      </c>
      <c r="L66" s="412">
        <v>0</v>
      </c>
      <c r="M66" s="412">
        <v>1</v>
      </c>
      <c r="N66" s="279">
        <f t="shared" si="26"/>
        <v>0.5</v>
      </c>
      <c r="O66" s="198">
        <v>4</v>
      </c>
      <c r="P66" s="183">
        <v>0</v>
      </c>
      <c r="Q66" s="183">
        <v>0</v>
      </c>
      <c r="R66" s="275">
        <f t="shared" ref="R66:R69" si="31">(P66+Q66)/O66</f>
        <v>0</v>
      </c>
      <c r="T66" s="802"/>
      <c r="U66" s="642" t="s">
        <v>82</v>
      </c>
      <c r="V66" s="275"/>
      <c r="W66" s="279"/>
      <c r="X66" s="279"/>
      <c r="Y66" s="275">
        <v>0</v>
      </c>
      <c r="Z66"/>
      <c r="AA66"/>
      <c r="AB66"/>
      <c r="AC66"/>
      <c r="AD66"/>
      <c r="AE66"/>
      <c r="AF66"/>
      <c r="AG66"/>
      <c r="AH66"/>
      <c r="AI66"/>
      <c r="AJ66"/>
      <c r="AK66"/>
    </row>
    <row r="67" spans="2:37" ht="16.5" customHeight="1" x14ac:dyDescent="0.3">
      <c r="B67" s="642" t="s">
        <v>1226</v>
      </c>
      <c r="C67" s="412">
        <v>0</v>
      </c>
      <c r="D67" s="412"/>
      <c r="E67" s="412"/>
      <c r="F67" s="275"/>
      <c r="G67" s="198">
        <v>0</v>
      </c>
      <c r="H67" s="183"/>
      <c r="I67" s="183"/>
      <c r="J67" s="279"/>
      <c r="K67" s="648">
        <v>2</v>
      </c>
      <c r="L67" s="412">
        <v>0</v>
      </c>
      <c r="M67" s="412">
        <v>0</v>
      </c>
      <c r="N67" s="279">
        <f t="shared" ref="N67:N68" si="32">(L67+M67)/K67</f>
        <v>0</v>
      </c>
      <c r="O67" s="198">
        <v>1</v>
      </c>
      <c r="P67" s="183">
        <v>0</v>
      </c>
      <c r="Q67" s="183">
        <v>0</v>
      </c>
      <c r="R67" s="275">
        <f t="shared" si="31"/>
        <v>0</v>
      </c>
      <c r="T67" s="801"/>
      <c r="U67" s="642" t="s">
        <v>4041</v>
      </c>
      <c r="V67" s="275">
        <v>0</v>
      </c>
      <c r="W67" s="279">
        <v>0</v>
      </c>
      <c r="X67" s="279">
        <v>0</v>
      </c>
      <c r="Y67" s="275"/>
      <c r="Z67"/>
      <c r="AA67"/>
      <c r="AB67"/>
      <c r="AC67"/>
      <c r="AD67"/>
      <c r="AE67"/>
      <c r="AF67"/>
      <c r="AG67"/>
      <c r="AH67"/>
      <c r="AI67"/>
      <c r="AJ67"/>
      <c r="AK67"/>
    </row>
    <row r="68" spans="2:37" ht="17.25" customHeight="1" thickBot="1" x14ac:dyDescent="0.35">
      <c r="B68" s="642" t="s">
        <v>112</v>
      </c>
      <c r="C68" s="412">
        <v>0</v>
      </c>
      <c r="D68" s="412"/>
      <c r="E68" s="412"/>
      <c r="F68" s="275"/>
      <c r="G68" s="198">
        <v>0</v>
      </c>
      <c r="H68" s="183"/>
      <c r="I68" s="183"/>
      <c r="J68" s="279"/>
      <c r="K68" s="648">
        <v>2</v>
      </c>
      <c r="L68" s="412">
        <v>1</v>
      </c>
      <c r="M68" s="412">
        <v>0</v>
      </c>
      <c r="N68" s="279">
        <f t="shared" si="32"/>
        <v>0.5</v>
      </c>
      <c r="O68" s="198">
        <v>1</v>
      </c>
      <c r="P68" s="183">
        <v>0</v>
      </c>
      <c r="Q68" s="183">
        <v>0</v>
      </c>
      <c r="R68" s="275">
        <f t="shared" si="31"/>
        <v>0</v>
      </c>
      <c r="T68" s="802"/>
      <c r="U68" s="642" t="s">
        <v>4398</v>
      </c>
      <c r="V68" s="275">
        <v>0</v>
      </c>
      <c r="W68" s="279">
        <v>0</v>
      </c>
      <c r="X68" s="279">
        <v>0.2</v>
      </c>
      <c r="Y68" s="275"/>
      <c r="Z68"/>
      <c r="AA68"/>
      <c r="AB68"/>
      <c r="AC68"/>
      <c r="AD68"/>
      <c r="AE68"/>
      <c r="AF68"/>
      <c r="AG68"/>
      <c r="AH68"/>
      <c r="AI68"/>
      <c r="AJ68"/>
      <c r="AK68"/>
    </row>
    <row r="69" spans="2:37" ht="17.25" customHeight="1" x14ac:dyDescent="0.3">
      <c r="B69" s="642" t="s">
        <v>82</v>
      </c>
      <c r="C69" s="412">
        <v>0</v>
      </c>
      <c r="D69" s="412"/>
      <c r="E69" s="412"/>
      <c r="F69" s="275"/>
      <c r="G69" s="198">
        <v>0</v>
      </c>
      <c r="H69" s="183"/>
      <c r="I69" s="183"/>
      <c r="J69" s="279"/>
      <c r="K69" s="648">
        <v>0</v>
      </c>
      <c r="L69" s="412"/>
      <c r="M69" s="412"/>
      <c r="N69" s="279"/>
      <c r="O69" s="198">
        <v>2</v>
      </c>
      <c r="P69" s="183">
        <v>0</v>
      </c>
      <c r="Q69" s="183">
        <v>0</v>
      </c>
      <c r="R69" s="275">
        <f t="shared" si="31"/>
        <v>0</v>
      </c>
      <c r="T69" s="797"/>
      <c r="W69"/>
      <c r="X69"/>
      <c r="Y69"/>
      <c r="Z69"/>
      <c r="AA69"/>
      <c r="AB69"/>
      <c r="AC69"/>
      <c r="AD69"/>
      <c r="AE69"/>
      <c r="AF69"/>
      <c r="AG69"/>
      <c r="AH69"/>
      <c r="AI69"/>
      <c r="AJ69"/>
      <c r="AK69"/>
    </row>
    <row r="70" spans="2:37" ht="19.2" x14ac:dyDescent="0.3">
      <c r="B70" s="642"/>
      <c r="C70" s="557"/>
      <c r="D70" s="557"/>
      <c r="E70" s="557"/>
      <c r="F70" s="643"/>
      <c r="G70" s="642"/>
      <c r="H70" s="557"/>
      <c r="I70" s="557"/>
      <c r="J70" s="643"/>
      <c r="K70" s="648"/>
      <c r="L70" s="412"/>
      <c r="M70" s="412"/>
      <c r="N70" s="275"/>
      <c r="O70" s="198"/>
      <c r="P70" s="183"/>
      <c r="Q70" s="183"/>
      <c r="R70" s="275"/>
      <c r="T70" s="800"/>
      <c r="W70"/>
      <c r="X70"/>
      <c r="Y70"/>
      <c r="Z70"/>
      <c r="AA70"/>
      <c r="AB70"/>
      <c r="AC70"/>
      <c r="AD70"/>
      <c r="AE70"/>
      <c r="AF70"/>
      <c r="AG70"/>
      <c r="AH70"/>
      <c r="AI70"/>
      <c r="AJ70"/>
      <c r="AK70"/>
    </row>
    <row r="71" spans="2:37" x14ac:dyDescent="0.3">
      <c r="B71" s="642"/>
      <c r="C71" s="557"/>
      <c r="D71" s="557"/>
      <c r="E71" s="557"/>
      <c r="F71" s="643"/>
      <c r="G71" s="642"/>
      <c r="H71" s="557"/>
      <c r="I71" s="557"/>
      <c r="J71" s="643"/>
      <c r="K71" s="648"/>
      <c r="L71" s="412"/>
      <c r="M71" s="412"/>
      <c r="N71" s="275"/>
      <c r="O71" s="642"/>
      <c r="P71" s="557"/>
      <c r="Q71" s="557"/>
      <c r="R71" s="275"/>
      <c r="T71" s="799"/>
      <c r="W71"/>
      <c r="X71"/>
      <c r="Y71"/>
      <c r="Z71"/>
      <c r="AA71"/>
      <c r="AB71"/>
      <c r="AC71"/>
      <c r="AD71"/>
      <c r="AE71"/>
      <c r="AF71"/>
      <c r="AG71"/>
      <c r="AH71"/>
      <c r="AI71"/>
      <c r="AJ71"/>
      <c r="AK71"/>
    </row>
    <row r="72" spans="2:37" ht="15" thickBot="1" x14ac:dyDescent="0.35">
      <c r="B72" s="644"/>
      <c r="C72" s="645"/>
      <c r="D72" s="645"/>
      <c r="E72" s="645"/>
      <c r="F72" s="646"/>
      <c r="G72" s="644"/>
      <c r="H72" s="645"/>
      <c r="I72" s="645"/>
      <c r="J72" s="646"/>
      <c r="K72" s="649"/>
      <c r="L72" s="650"/>
      <c r="M72" s="650"/>
      <c r="N72" s="276"/>
      <c r="O72" s="199"/>
      <c r="P72" s="200"/>
      <c r="Q72" s="200"/>
      <c r="R72" s="276"/>
      <c r="T72" s="797"/>
      <c r="W72"/>
      <c r="X72"/>
      <c r="Y72"/>
      <c r="Z72"/>
      <c r="AA72"/>
      <c r="AB72"/>
      <c r="AC72"/>
      <c r="AD72"/>
      <c r="AE72"/>
      <c r="AF72"/>
      <c r="AG72"/>
      <c r="AH72"/>
      <c r="AI72"/>
      <c r="AJ72"/>
      <c r="AK72"/>
    </row>
    <row r="73" spans="2:37" ht="8.25" customHeight="1" x14ac:dyDescent="0.3">
      <c r="T73" s="801"/>
      <c r="W73"/>
      <c r="X73"/>
      <c r="Y73"/>
      <c r="Z73"/>
      <c r="AA73"/>
      <c r="AB73"/>
      <c r="AC73"/>
      <c r="AD73"/>
      <c r="AE73"/>
      <c r="AF73"/>
      <c r="AG73"/>
      <c r="AH73"/>
      <c r="AI73"/>
      <c r="AJ73"/>
      <c r="AK73"/>
    </row>
    <row r="74" spans="2:37" ht="15" thickBot="1" x14ac:dyDescent="0.35">
      <c r="T74" s="802"/>
      <c r="W74"/>
      <c r="X74"/>
      <c r="Y74"/>
      <c r="Z74"/>
      <c r="AA74"/>
      <c r="AB74"/>
      <c r="AC74"/>
      <c r="AD74"/>
      <c r="AE74"/>
      <c r="AF74"/>
      <c r="AG74"/>
      <c r="AH74"/>
      <c r="AI74"/>
      <c r="AJ74"/>
      <c r="AK74"/>
    </row>
    <row r="75" spans="2:37" x14ac:dyDescent="0.3">
      <c r="K75" s="2"/>
      <c r="T75" s="801"/>
      <c r="W75"/>
      <c r="X75"/>
      <c r="Y75"/>
      <c r="Z75"/>
      <c r="AA75"/>
      <c r="AB75"/>
      <c r="AC75"/>
      <c r="AD75"/>
      <c r="AE75"/>
      <c r="AF75"/>
      <c r="AG75"/>
      <c r="AH75"/>
      <c r="AI75"/>
      <c r="AJ75"/>
      <c r="AK75"/>
    </row>
    <row r="76" spans="2:37" ht="15" thickBot="1" x14ac:dyDescent="0.35">
      <c r="K76" s="597"/>
      <c r="L76" s="496"/>
      <c r="T76" s="802"/>
      <c r="W76"/>
      <c r="X76"/>
      <c r="Y76"/>
      <c r="Z76"/>
      <c r="AA76"/>
      <c r="AB76"/>
      <c r="AC76"/>
      <c r="AD76"/>
      <c r="AE76"/>
      <c r="AF76"/>
      <c r="AG76"/>
      <c r="AH76"/>
      <c r="AI76"/>
      <c r="AJ76"/>
      <c r="AK76"/>
    </row>
    <row r="77" spans="2:37" x14ac:dyDescent="0.3">
      <c r="K77" s="597"/>
      <c r="L77" s="496"/>
      <c r="T77" s="801"/>
      <c r="W77"/>
      <c r="X77"/>
      <c r="Y77"/>
      <c r="Z77"/>
      <c r="AA77"/>
      <c r="AB77"/>
      <c r="AC77"/>
      <c r="AD77"/>
      <c r="AE77"/>
      <c r="AF77"/>
      <c r="AG77"/>
      <c r="AH77"/>
      <c r="AI77"/>
      <c r="AJ77"/>
      <c r="AK77"/>
    </row>
    <row r="78" spans="2:37" ht="15" thickBot="1" x14ac:dyDescent="0.35">
      <c r="L78" s="496"/>
      <c r="T78" s="802"/>
      <c r="W78"/>
      <c r="X78"/>
      <c r="Y78"/>
      <c r="Z78"/>
      <c r="AA78"/>
      <c r="AB78"/>
      <c r="AC78"/>
      <c r="AD78"/>
      <c r="AE78"/>
      <c r="AF78"/>
      <c r="AG78"/>
      <c r="AH78"/>
      <c r="AI78"/>
      <c r="AJ78"/>
      <c r="AK78"/>
    </row>
    <row r="79" spans="2:37" x14ac:dyDescent="0.3">
      <c r="B79" s="848" t="s">
        <v>1227</v>
      </c>
      <c r="C79" s="659"/>
      <c r="D79" s="659"/>
      <c r="E79" s="491" t="s">
        <v>213</v>
      </c>
      <c r="F79" s="491" t="s">
        <v>4051</v>
      </c>
      <c r="G79" s="491" t="s">
        <v>4052</v>
      </c>
      <c r="H79" s="491" t="s">
        <v>4053</v>
      </c>
      <c r="I79" s="491" t="s">
        <v>4054</v>
      </c>
      <c r="J79" s="491" t="s">
        <v>4055</v>
      </c>
      <c r="K79" s="659"/>
      <c r="L79" s="659"/>
      <c r="M79" s="659"/>
      <c r="N79" s="659"/>
      <c r="O79" s="659"/>
      <c r="P79" s="659"/>
      <c r="Q79" s="659"/>
      <c r="R79" s="690"/>
      <c r="T79" s="801"/>
      <c r="W79"/>
      <c r="X79"/>
      <c r="Y79"/>
      <c r="Z79"/>
      <c r="AA79"/>
      <c r="AB79"/>
      <c r="AC79"/>
      <c r="AD79"/>
      <c r="AE79"/>
      <c r="AF79"/>
      <c r="AG79"/>
      <c r="AH79"/>
      <c r="AI79"/>
      <c r="AJ79"/>
      <c r="AK79"/>
    </row>
    <row r="80" spans="2:37" ht="15" thickBot="1" x14ac:dyDescent="0.35">
      <c r="B80" s="849" t="s">
        <v>4081</v>
      </c>
      <c r="C80" s="661" t="s">
        <v>5220</v>
      </c>
      <c r="D80" s="527" t="s">
        <v>5221</v>
      </c>
      <c r="E80" s="857">
        <v>8</v>
      </c>
      <c r="F80" s="857">
        <v>3</v>
      </c>
      <c r="G80" s="857">
        <v>4</v>
      </c>
      <c r="H80" s="858">
        <v>7</v>
      </c>
      <c r="I80" s="857">
        <v>0</v>
      </c>
      <c r="J80" s="857">
        <v>3</v>
      </c>
      <c r="K80" s="859" t="s">
        <v>4046</v>
      </c>
      <c r="L80" s="859"/>
      <c r="M80" s="857"/>
      <c r="N80" s="857"/>
      <c r="O80" s="857"/>
      <c r="P80" s="858"/>
      <c r="Q80" s="857"/>
      <c r="R80" s="860"/>
      <c r="T80" s="802"/>
      <c r="W80"/>
      <c r="X80"/>
      <c r="Y80"/>
      <c r="Z80"/>
      <c r="AA80"/>
      <c r="AB80"/>
      <c r="AC80"/>
      <c r="AD80"/>
      <c r="AE80"/>
      <c r="AF80"/>
      <c r="AG80"/>
      <c r="AH80"/>
      <c r="AI80"/>
      <c r="AJ80"/>
      <c r="AK80"/>
    </row>
    <row r="81" spans="2:37" ht="28.8" x14ac:dyDescent="0.3">
      <c r="B81" s="850"/>
      <c r="C81" s="678" t="s">
        <v>4675</v>
      </c>
      <c r="D81" s="522" t="s">
        <v>4595</v>
      </c>
      <c r="E81" s="861">
        <v>17</v>
      </c>
      <c r="F81" s="861">
        <v>5</v>
      </c>
      <c r="G81" s="861">
        <v>2</v>
      </c>
      <c r="H81" s="862">
        <v>7</v>
      </c>
      <c r="I81" s="861">
        <v>2</v>
      </c>
      <c r="J81" s="861">
        <v>1</v>
      </c>
      <c r="K81" s="863" t="s">
        <v>4046</v>
      </c>
      <c r="L81" s="522" t="s">
        <v>4095</v>
      </c>
      <c r="M81" s="861">
        <v>12</v>
      </c>
      <c r="N81" s="861">
        <v>1</v>
      </c>
      <c r="O81" s="861">
        <v>0</v>
      </c>
      <c r="P81" s="862">
        <v>1</v>
      </c>
      <c r="Q81" s="861">
        <v>2</v>
      </c>
      <c r="R81" s="864">
        <v>-1</v>
      </c>
      <c r="T81" s="801"/>
      <c r="W81"/>
      <c r="X81"/>
      <c r="Y81"/>
      <c r="Z81"/>
      <c r="AA81"/>
      <c r="AB81"/>
      <c r="AC81"/>
      <c r="AD81"/>
      <c r="AE81"/>
      <c r="AF81"/>
      <c r="AG81"/>
      <c r="AH81"/>
      <c r="AI81"/>
      <c r="AJ81"/>
      <c r="AK81"/>
    </row>
    <row r="82" spans="2:37" ht="15" thickBot="1" x14ac:dyDescent="0.35">
      <c r="B82" s="849" t="s">
        <v>4589</v>
      </c>
      <c r="C82" s="661" t="s">
        <v>4685</v>
      </c>
      <c r="D82" s="527" t="s">
        <v>4591</v>
      </c>
      <c r="E82" s="857">
        <v>1</v>
      </c>
      <c r="F82" s="857">
        <v>0</v>
      </c>
      <c r="G82" s="857">
        <v>2</v>
      </c>
      <c r="H82" s="858">
        <v>2</v>
      </c>
      <c r="I82" s="857">
        <v>0</v>
      </c>
      <c r="J82" s="857">
        <v>3</v>
      </c>
      <c r="K82" s="859" t="s">
        <v>4046</v>
      </c>
      <c r="L82" s="527"/>
      <c r="M82" s="857"/>
      <c r="N82" s="857"/>
      <c r="O82" s="857"/>
      <c r="P82" s="858"/>
      <c r="Q82" s="857"/>
      <c r="R82" s="860"/>
      <c r="T82" s="802"/>
      <c r="W82"/>
      <c r="X82"/>
      <c r="Y82"/>
      <c r="Z82"/>
      <c r="AA82"/>
      <c r="AB82"/>
      <c r="AC82"/>
      <c r="AD82"/>
      <c r="AE82"/>
      <c r="AF82"/>
      <c r="AG82"/>
      <c r="AH82"/>
      <c r="AI82"/>
      <c r="AJ82"/>
      <c r="AK82"/>
    </row>
    <row r="83" spans="2:37" ht="28.8" x14ac:dyDescent="0.3">
      <c r="B83" s="850"/>
      <c r="C83" s="678" t="s">
        <v>4675</v>
      </c>
      <c r="D83" s="522" t="s">
        <v>4595</v>
      </c>
      <c r="E83" s="861">
        <v>40</v>
      </c>
      <c r="F83" s="861">
        <v>9</v>
      </c>
      <c r="G83" s="861">
        <v>5</v>
      </c>
      <c r="H83" s="862">
        <v>14</v>
      </c>
      <c r="I83" s="861">
        <v>10</v>
      </c>
      <c r="J83" s="861">
        <v>3</v>
      </c>
      <c r="K83" s="863" t="s">
        <v>4046</v>
      </c>
      <c r="L83" s="522" t="s">
        <v>4095</v>
      </c>
      <c r="M83" s="861">
        <v>4</v>
      </c>
      <c r="N83" s="861">
        <v>1</v>
      </c>
      <c r="O83" s="861">
        <v>0</v>
      </c>
      <c r="P83" s="862">
        <v>1</v>
      </c>
      <c r="Q83" s="861">
        <v>2</v>
      </c>
      <c r="R83" s="864">
        <v>-1</v>
      </c>
      <c r="T83" s="801"/>
      <c r="W83"/>
      <c r="X83"/>
      <c r="Y83"/>
      <c r="Z83"/>
      <c r="AA83"/>
      <c r="AB83"/>
      <c r="AC83"/>
      <c r="AD83"/>
      <c r="AE83"/>
      <c r="AF83"/>
      <c r="AG83"/>
      <c r="AH83"/>
      <c r="AI83"/>
      <c r="AJ83"/>
      <c r="AK83"/>
    </row>
    <row r="84" spans="2:37" ht="15" thickBot="1" x14ac:dyDescent="0.35">
      <c r="B84" s="849"/>
      <c r="C84" s="661" t="s">
        <v>5222</v>
      </c>
      <c r="D84" s="527" t="s">
        <v>5223</v>
      </c>
      <c r="E84" s="857">
        <v>1</v>
      </c>
      <c r="F84" s="857">
        <v>0</v>
      </c>
      <c r="G84" s="857">
        <v>0</v>
      </c>
      <c r="H84" s="858">
        <v>0</v>
      </c>
      <c r="I84" s="857">
        <v>2</v>
      </c>
      <c r="J84" s="857">
        <v>0</v>
      </c>
      <c r="K84" s="859" t="s">
        <v>4046</v>
      </c>
      <c r="L84" s="527"/>
      <c r="M84" s="857"/>
      <c r="N84" s="857"/>
      <c r="O84" s="857"/>
      <c r="P84" s="858"/>
      <c r="Q84" s="857"/>
      <c r="R84" s="860"/>
      <c r="T84" s="802"/>
      <c r="W84"/>
      <c r="X84"/>
      <c r="Y84"/>
      <c r="Z84"/>
      <c r="AA84"/>
      <c r="AB84"/>
      <c r="AC84"/>
      <c r="AD84"/>
      <c r="AE84"/>
      <c r="AF84"/>
      <c r="AG84"/>
      <c r="AH84"/>
      <c r="AI84"/>
      <c r="AJ84"/>
      <c r="AK84"/>
    </row>
    <row r="85" spans="2:37" x14ac:dyDescent="0.3">
      <c r="B85" s="850" t="s">
        <v>5224</v>
      </c>
      <c r="C85" s="678" t="s">
        <v>4685</v>
      </c>
      <c r="D85" s="522" t="s">
        <v>4591</v>
      </c>
      <c r="E85" s="861">
        <v>20</v>
      </c>
      <c r="F85" s="861">
        <v>0</v>
      </c>
      <c r="G85" s="861">
        <v>3</v>
      </c>
      <c r="H85" s="862">
        <v>3</v>
      </c>
      <c r="I85" s="861">
        <v>6</v>
      </c>
      <c r="J85" s="861">
        <v>-5</v>
      </c>
      <c r="K85" s="863" t="s">
        <v>4046</v>
      </c>
      <c r="L85" s="863"/>
      <c r="M85" s="861"/>
      <c r="N85" s="861"/>
      <c r="O85" s="861"/>
      <c r="P85" s="862"/>
      <c r="Q85" s="861"/>
      <c r="R85" s="864"/>
      <c r="T85" s="801"/>
      <c r="W85"/>
      <c r="X85"/>
      <c r="Y85"/>
      <c r="Z85"/>
      <c r="AA85"/>
      <c r="AB85"/>
      <c r="AC85"/>
      <c r="AD85"/>
      <c r="AE85"/>
      <c r="AF85"/>
      <c r="AG85"/>
      <c r="AH85"/>
      <c r="AI85"/>
      <c r="AJ85"/>
      <c r="AK85"/>
    </row>
    <row r="86" spans="2:37" ht="15" thickBot="1" x14ac:dyDescent="0.35">
      <c r="B86" s="849"/>
      <c r="C86" s="661" t="s">
        <v>5225</v>
      </c>
      <c r="D86" s="527" t="s">
        <v>4595</v>
      </c>
      <c r="E86" s="857">
        <v>22</v>
      </c>
      <c r="F86" s="857">
        <v>1</v>
      </c>
      <c r="G86" s="857">
        <v>4</v>
      </c>
      <c r="H86" s="858">
        <v>5</v>
      </c>
      <c r="I86" s="857">
        <v>1</v>
      </c>
      <c r="J86" s="857">
        <v>-2</v>
      </c>
      <c r="K86" s="859" t="s">
        <v>4046</v>
      </c>
      <c r="L86" s="527"/>
      <c r="M86" s="857"/>
      <c r="N86" s="857"/>
      <c r="O86" s="857"/>
      <c r="P86" s="858"/>
      <c r="Q86" s="857"/>
      <c r="R86" s="860"/>
      <c r="T86" s="802"/>
      <c r="W86"/>
      <c r="X86"/>
      <c r="Y86"/>
      <c r="Z86"/>
      <c r="AA86"/>
      <c r="AB86"/>
      <c r="AC86"/>
      <c r="AD86"/>
      <c r="AE86"/>
      <c r="AF86"/>
      <c r="AG86"/>
      <c r="AH86"/>
      <c r="AI86"/>
      <c r="AJ86"/>
      <c r="AK86"/>
    </row>
    <row r="87" spans="2:37" ht="15" customHeight="1" thickBot="1" x14ac:dyDescent="0.35">
      <c r="B87" s="851"/>
      <c r="C87" s="852" t="s">
        <v>4675</v>
      </c>
      <c r="D87" s="532" t="s">
        <v>4595</v>
      </c>
      <c r="E87" s="865">
        <v>8</v>
      </c>
      <c r="F87" s="865">
        <v>1</v>
      </c>
      <c r="G87" s="865">
        <v>5</v>
      </c>
      <c r="H87" s="866">
        <v>6</v>
      </c>
      <c r="I87" s="865">
        <v>0</v>
      </c>
      <c r="J87" s="865">
        <v>8</v>
      </c>
      <c r="K87" s="867" t="s">
        <v>4046</v>
      </c>
      <c r="L87" s="867"/>
      <c r="M87" s="865"/>
      <c r="N87" s="865"/>
      <c r="O87" s="743"/>
      <c r="P87" s="743"/>
      <c r="Q87" s="743"/>
      <c r="R87" s="545"/>
      <c r="T87" s="801"/>
      <c r="W87"/>
      <c r="X87"/>
      <c r="Y87"/>
      <c r="Z87"/>
      <c r="AA87"/>
      <c r="AB87"/>
      <c r="AC87"/>
      <c r="AD87"/>
      <c r="AE87"/>
      <c r="AF87"/>
      <c r="AG87"/>
      <c r="AH87"/>
      <c r="AI87"/>
      <c r="AJ87"/>
      <c r="AK87"/>
    </row>
    <row r="88" spans="2:37" ht="16.5" customHeight="1" thickBot="1" x14ac:dyDescent="0.35">
      <c r="D88" s="2"/>
      <c r="E88" s="2"/>
      <c r="F88" s="2"/>
      <c r="G88" s="2"/>
      <c r="H88" s="2"/>
      <c r="I88" s="2"/>
      <c r="J88" s="2"/>
      <c r="K88" s="597"/>
      <c r="L88" s="496"/>
      <c r="M88" s="2"/>
      <c r="N88" s="2"/>
      <c r="O88" s="2"/>
      <c r="P88" s="2"/>
      <c r="Q88" s="2"/>
      <c r="R88" s="2"/>
      <c r="T88" s="802"/>
      <c r="W88"/>
      <c r="X88"/>
      <c r="Y88"/>
      <c r="Z88"/>
      <c r="AA88"/>
      <c r="AB88"/>
      <c r="AC88"/>
      <c r="AD88"/>
      <c r="AE88"/>
      <c r="AF88"/>
      <c r="AG88"/>
      <c r="AH88"/>
      <c r="AI88"/>
      <c r="AJ88"/>
      <c r="AK88"/>
    </row>
    <row r="89" spans="2:37" x14ac:dyDescent="0.3">
      <c r="D89" s="2"/>
      <c r="E89" s="2"/>
      <c r="F89" s="2"/>
      <c r="G89" s="2"/>
      <c r="H89" s="2"/>
      <c r="I89" s="2"/>
      <c r="J89" s="2"/>
      <c r="K89" s="597"/>
      <c r="L89" s="496"/>
      <c r="M89" s="2"/>
      <c r="N89" s="2"/>
      <c r="O89" s="2"/>
      <c r="P89" s="2"/>
      <c r="Q89" s="2"/>
      <c r="R89" s="2"/>
      <c r="T89" s="801"/>
      <c r="W89"/>
      <c r="X89"/>
      <c r="Y89"/>
      <c r="Z89"/>
      <c r="AA89"/>
      <c r="AB89"/>
      <c r="AC89"/>
      <c r="AD89"/>
      <c r="AE89"/>
      <c r="AF89"/>
      <c r="AG89"/>
      <c r="AH89"/>
      <c r="AI89"/>
      <c r="AJ89"/>
      <c r="AK89"/>
    </row>
    <row r="90" spans="2:37" ht="15" thickBot="1" x14ac:dyDescent="0.35">
      <c r="B90" s="848" t="s">
        <v>1226</v>
      </c>
      <c r="C90" s="659"/>
      <c r="D90" s="703"/>
      <c r="E90" s="491" t="s">
        <v>213</v>
      </c>
      <c r="F90" s="491" t="s">
        <v>4051</v>
      </c>
      <c r="G90" s="491" t="s">
        <v>4052</v>
      </c>
      <c r="H90" s="491" t="s">
        <v>4053</v>
      </c>
      <c r="I90" s="491" t="s">
        <v>4054</v>
      </c>
      <c r="J90" s="491" t="s">
        <v>4055</v>
      </c>
      <c r="K90" s="703"/>
      <c r="L90" s="703"/>
      <c r="M90" s="703"/>
      <c r="N90" s="703"/>
      <c r="O90" s="703"/>
      <c r="P90" s="703"/>
      <c r="Q90" s="703"/>
      <c r="R90" s="775"/>
      <c r="T90" s="802"/>
      <c r="W90"/>
      <c r="X90"/>
      <c r="Y90"/>
      <c r="Z90"/>
      <c r="AA90"/>
      <c r="AB90"/>
      <c r="AC90"/>
      <c r="AD90"/>
      <c r="AE90"/>
      <c r="AF90"/>
      <c r="AG90"/>
      <c r="AH90"/>
      <c r="AI90"/>
      <c r="AJ90"/>
      <c r="AK90"/>
    </row>
    <row r="91" spans="2:37" x14ac:dyDescent="0.3">
      <c r="B91" s="849" t="s">
        <v>4081</v>
      </c>
      <c r="C91" s="661" t="s">
        <v>5220</v>
      </c>
      <c r="D91" s="527" t="s">
        <v>5221</v>
      </c>
      <c r="E91" s="857">
        <v>8</v>
      </c>
      <c r="F91" s="857">
        <v>1</v>
      </c>
      <c r="G91" s="857">
        <v>7</v>
      </c>
      <c r="H91" s="858">
        <v>8</v>
      </c>
      <c r="I91" s="857">
        <v>20</v>
      </c>
      <c r="J91" s="857">
        <v>-1</v>
      </c>
      <c r="K91" s="859" t="s">
        <v>4046</v>
      </c>
      <c r="L91" s="527"/>
      <c r="M91" s="857"/>
      <c r="N91" s="857"/>
      <c r="O91" s="857"/>
      <c r="P91" s="858"/>
      <c r="Q91" s="857"/>
      <c r="R91" s="860"/>
      <c r="T91" s="801"/>
      <c r="W91"/>
      <c r="X91"/>
      <c r="Y91"/>
      <c r="Z91"/>
      <c r="AA91"/>
      <c r="AB91"/>
      <c r="AC91"/>
      <c r="AD91"/>
      <c r="AE91"/>
      <c r="AF91"/>
      <c r="AG91"/>
      <c r="AH91"/>
      <c r="AI91"/>
      <c r="AJ91"/>
      <c r="AK91"/>
    </row>
    <row r="92" spans="2:37" ht="15" thickBot="1" x14ac:dyDescent="0.35">
      <c r="B92" s="850"/>
      <c r="C92" s="678" t="s">
        <v>4685</v>
      </c>
      <c r="D92" s="522" t="s">
        <v>4591</v>
      </c>
      <c r="E92" s="861">
        <v>9</v>
      </c>
      <c r="F92" s="861">
        <v>0</v>
      </c>
      <c r="G92" s="861">
        <v>1</v>
      </c>
      <c r="H92" s="862">
        <v>1</v>
      </c>
      <c r="I92" s="861">
        <v>0</v>
      </c>
      <c r="J92" s="861">
        <v>-1</v>
      </c>
      <c r="K92" s="863" t="s">
        <v>4046</v>
      </c>
      <c r="L92" s="522"/>
      <c r="M92" s="861"/>
      <c r="N92" s="861"/>
      <c r="O92" s="861"/>
      <c r="P92" s="862"/>
      <c r="Q92" s="861"/>
      <c r="R92" s="864"/>
      <c r="T92" s="802"/>
      <c r="W92"/>
      <c r="X92"/>
      <c r="Y92"/>
      <c r="Z92"/>
      <c r="AA92"/>
      <c r="AB92"/>
      <c r="AC92"/>
      <c r="AD92"/>
      <c r="AE92"/>
      <c r="AF92"/>
      <c r="AG92"/>
      <c r="AH92"/>
      <c r="AI92"/>
      <c r="AJ92"/>
      <c r="AK92"/>
    </row>
    <row r="93" spans="2:37" ht="28.8" x14ac:dyDescent="0.3">
      <c r="B93" s="849"/>
      <c r="C93" s="661" t="s">
        <v>4675</v>
      </c>
      <c r="D93" s="527" t="s">
        <v>4595</v>
      </c>
      <c r="E93" s="857">
        <v>18</v>
      </c>
      <c r="F93" s="857">
        <v>5</v>
      </c>
      <c r="G93" s="857">
        <v>2</v>
      </c>
      <c r="H93" s="858">
        <v>7</v>
      </c>
      <c r="I93" s="857">
        <v>10</v>
      </c>
      <c r="J93" s="857">
        <v>3</v>
      </c>
      <c r="K93" s="859" t="s">
        <v>4046</v>
      </c>
      <c r="L93" s="527" t="s">
        <v>4095</v>
      </c>
      <c r="M93" s="857">
        <v>12</v>
      </c>
      <c r="N93" s="857">
        <v>3</v>
      </c>
      <c r="O93" s="857">
        <v>4</v>
      </c>
      <c r="P93" s="858">
        <v>7</v>
      </c>
      <c r="Q93" s="857">
        <v>6</v>
      </c>
      <c r="R93" s="860">
        <v>3</v>
      </c>
      <c r="T93" s="801"/>
      <c r="W93"/>
      <c r="X93"/>
      <c r="Y93"/>
      <c r="Z93"/>
      <c r="AA93"/>
      <c r="AB93"/>
      <c r="AC93"/>
      <c r="AD93"/>
      <c r="AE93"/>
      <c r="AF93"/>
      <c r="AG93"/>
      <c r="AH93"/>
      <c r="AI93"/>
      <c r="AJ93"/>
      <c r="AK93"/>
    </row>
    <row r="94" spans="2:37" ht="15" thickBot="1" x14ac:dyDescent="0.35">
      <c r="B94" s="853"/>
      <c r="C94" s="678" t="s">
        <v>4673</v>
      </c>
      <c r="D94" s="522" t="s">
        <v>4674</v>
      </c>
      <c r="E94" s="868">
        <v>2</v>
      </c>
      <c r="F94" s="868">
        <v>0</v>
      </c>
      <c r="G94" s="868">
        <v>1</v>
      </c>
      <c r="H94" s="869">
        <v>1</v>
      </c>
      <c r="I94" s="868">
        <v>0</v>
      </c>
      <c r="J94" s="868">
        <v>0</v>
      </c>
      <c r="K94" s="870" t="s">
        <v>4046</v>
      </c>
      <c r="L94" s="870"/>
      <c r="M94" s="868"/>
      <c r="N94" s="868"/>
      <c r="O94" s="868"/>
      <c r="P94" s="869"/>
      <c r="Q94" s="868"/>
      <c r="R94" s="871"/>
      <c r="T94" s="802"/>
      <c r="W94"/>
      <c r="X94"/>
      <c r="Y94"/>
      <c r="Z94"/>
      <c r="AA94"/>
      <c r="AB94"/>
      <c r="AC94"/>
      <c r="AD94"/>
      <c r="AE94"/>
      <c r="AF94"/>
      <c r="AG94"/>
      <c r="AH94"/>
      <c r="AI94"/>
      <c r="AJ94"/>
      <c r="AK94"/>
    </row>
    <row r="95" spans="2:37" x14ac:dyDescent="0.3">
      <c r="B95" s="849" t="s">
        <v>4589</v>
      </c>
      <c r="C95" s="661" t="s">
        <v>5220</v>
      </c>
      <c r="D95" s="527" t="s">
        <v>5221</v>
      </c>
      <c r="E95" s="857">
        <v>42</v>
      </c>
      <c r="F95" s="857">
        <v>16</v>
      </c>
      <c r="G95" s="857">
        <v>30</v>
      </c>
      <c r="H95" s="858">
        <v>46</v>
      </c>
      <c r="I95" s="857">
        <v>16</v>
      </c>
      <c r="J95" s="857">
        <v>14</v>
      </c>
      <c r="K95" s="859" t="s">
        <v>4046</v>
      </c>
      <c r="L95" s="527" t="s">
        <v>4599</v>
      </c>
      <c r="M95" s="857">
        <v>3</v>
      </c>
      <c r="N95" s="857">
        <v>1</v>
      </c>
      <c r="O95" s="857">
        <v>4</v>
      </c>
      <c r="P95" s="858">
        <v>5</v>
      </c>
      <c r="Q95" s="857">
        <v>4</v>
      </c>
      <c r="R95" s="860">
        <v>3</v>
      </c>
      <c r="T95" s="797"/>
      <c r="W95"/>
      <c r="X95"/>
      <c r="Y95"/>
      <c r="Z95"/>
      <c r="AA95"/>
      <c r="AB95"/>
      <c r="AC95"/>
      <c r="AD95"/>
      <c r="AE95"/>
      <c r="AF95"/>
      <c r="AG95"/>
      <c r="AH95"/>
      <c r="AI95"/>
      <c r="AJ95"/>
      <c r="AK95"/>
    </row>
    <row r="96" spans="2:37" ht="19.2" x14ac:dyDescent="0.3">
      <c r="B96" s="850"/>
      <c r="C96" s="678" t="s">
        <v>4685</v>
      </c>
      <c r="D96" s="522" t="s">
        <v>4591</v>
      </c>
      <c r="E96" s="861">
        <v>14</v>
      </c>
      <c r="F96" s="861">
        <v>1</v>
      </c>
      <c r="G96" s="861">
        <v>2</v>
      </c>
      <c r="H96" s="862">
        <v>3</v>
      </c>
      <c r="I96" s="861">
        <v>0</v>
      </c>
      <c r="J96" s="861">
        <v>0</v>
      </c>
      <c r="K96" s="863" t="s">
        <v>4046</v>
      </c>
      <c r="L96" s="522"/>
      <c r="M96" s="861"/>
      <c r="N96" s="861"/>
      <c r="O96" s="861"/>
      <c r="P96" s="862"/>
      <c r="Q96" s="861"/>
      <c r="R96" s="864"/>
      <c r="T96" s="800"/>
      <c r="W96"/>
      <c r="X96"/>
      <c r="Y96"/>
      <c r="Z96"/>
      <c r="AA96"/>
      <c r="AB96"/>
      <c r="AC96"/>
      <c r="AD96"/>
      <c r="AE96"/>
      <c r="AF96"/>
      <c r="AG96"/>
      <c r="AH96"/>
      <c r="AI96"/>
      <c r="AJ96"/>
      <c r="AK96"/>
    </row>
    <row r="97" spans="2:37" ht="28.8" x14ac:dyDescent="0.3">
      <c r="B97" s="849"/>
      <c r="C97" s="661" t="s">
        <v>4675</v>
      </c>
      <c r="D97" s="527" t="s">
        <v>4595</v>
      </c>
      <c r="E97" s="857">
        <v>4</v>
      </c>
      <c r="F97" s="857">
        <v>0</v>
      </c>
      <c r="G97" s="857">
        <v>1</v>
      </c>
      <c r="H97" s="858">
        <v>1</v>
      </c>
      <c r="I97" s="857">
        <v>4</v>
      </c>
      <c r="J97" s="857">
        <v>2</v>
      </c>
      <c r="K97" s="859" t="s">
        <v>4046</v>
      </c>
      <c r="L97" s="859"/>
      <c r="M97" s="857"/>
      <c r="N97" s="857"/>
      <c r="O97" s="857"/>
      <c r="P97" s="858"/>
      <c r="Q97" s="857"/>
      <c r="R97" s="860"/>
      <c r="T97" s="799"/>
      <c r="W97"/>
      <c r="X97"/>
      <c r="Y97"/>
      <c r="Z97"/>
      <c r="AA97"/>
      <c r="AB97"/>
      <c r="AC97"/>
      <c r="AD97"/>
      <c r="AE97"/>
      <c r="AF97"/>
      <c r="AG97"/>
      <c r="AH97"/>
      <c r="AI97"/>
      <c r="AJ97"/>
      <c r="AK97"/>
    </row>
    <row r="98" spans="2:37" x14ac:dyDescent="0.3">
      <c r="B98" s="853"/>
      <c r="C98" s="678" t="s">
        <v>4673</v>
      </c>
      <c r="D98" s="522" t="s">
        <v>4674</v>
      </c>
      <c r="E98" s="868">
        <v>10</v>
      </c>
      <c r="F98" s="868">
        <v>2</v>
      </c>
      <c r="G98" s="868">
        <v>2</v>
      </c>
      <c r="H98" s="869">
        <v>4</v>
      </c>
      <c r="I98" s="868">
        <v>2</v>
      </c>
      <c r="J98" s="868">
        <v>5</v>
      </c>
      <c r="K98" s="870" t="s">
        <v>4046</v>
      </c>
      <c r="L98" s="870"/>
      <c r="M98" s="868"/>
      <c r="N98" s="868"/>
      <c r="O98" s="868"/>
      <c r="P98" s="869"/>
      <c r="Q98" s="868"/>
      <c r="R98" s="871"/>
      <c r="T98" s="797"/>
      <c r="W98"/>
      <c r="X98"/>
      <c r="Y98"/>
      <c r="Z98"/>
      <c r="AA98"/>
      <c r="AB98"/>
      <c r="AC98"/>
      <c r="AD98"/>
      <c r="AE98"/>
      <c r="AF98"/>
      <c r="AG98"/>
      <c r="AH98"/>
      <c r="AI98"/>
      <c r="AJ98"/>
      <c r="AK98"/>
    </row>
    <row r="99" spans="2:37" x14ac:dyDescent="0.3">
      <c r="B99" s="849" t="s">
        <v>5224</v>
      </c>
      <c r="C99" s="661" t="s">
        <v>5225</v>
      </c>
      <c r="D99" s="527" t="s">
        <v>4595</v>
      </c>
      <c r="E99" s="857">
        <v>18</v>
      </c>
      <c r="F99" s="857">
        <v>1</v>
      </c>
      <c r="G99" s="857">
        <v>0</v>
      </c>
      <c r="H99" s="858">
        <v>1</v>
      </c>
      <c r="I99" s="857">
        <v>2</v>
      </c>
      <c r="J99" s="857">
        <v>-4</v>
      </c>
      <c r="K99" s="859" t="s">
        <v>4046</v>
      </c>
      <c r="L99" s="859"/>
      <c r="M99" s="857"/>
      <c r="N99" s="857"/>
      <c r="O99" s="857"/>
      <c r="P99" s="858"/>
      <c r="Q99" s="857"/>
      <c r="R99" s="860"/>
      <c r="T99" s="801"/>
      <c r="W99"/>
      <c r="X99"/>
      <c r="Y99"/>
      <c r="Z99"/>
      <c r="AA99"/>
      <c r="AB99"/>
      <c r="AC99"/>
      <c r="AD99"/>
      <c r="AE99"/>
      <c r="AF99"/>
      <c r="AG99"/>
      <c r="AH99"/>
      <c r="AI99"/>
      <c r="AJ99"/>
      <c r="AK99"/>
    </row>
    <row r="100" spans="2:37" ht="15" thickBot="1" x14ac:dyDescent="0.35">
      <c r="B100" s="850"/>
      <c r="C100" s="678" t="s">
        <v>5226</v>
      </c>
      <c r="D100" s="522" t="s">
        <v>4595</v>
      </c>
      <c r="E100" s="861">
        <v>25</v>
      </c>
      <c r="F100" s="861">
        <v>4</v>
      </c>
      <c r="G100" s="861">
        <v>10</v>
      </c>
      <c r="H100" s="862">
        <v>14</v>
      </c>
      <c r="I100" s="861">
        <v>10</v>
      </c>
      <c r="J100" s="861">
        <v>8</v>
      </c>
      <c r="K100" s="863" t="s">
        <v>4046</v>
      </c>
      <c r="L100" s="863"/>
      <c r="M100" s="861"/>
      <c r="N100" s="861"/>
      <c r="O100" s="861"/>
      <c r="P100" s="862"/>
      <c r="Q100" s="861"/>
      <c r="R100" s="864"/>
      <c r="T100" s="802"/>
      <c r="W100"/>
      <c r="X100"/>
      <c r="Y100"/>
      <c r="Z100"/>
      <c r="AA100"/>
      <c r="AB100"/>
      <c r="AC100"/>
      <c r="AD100"/>
      <c r="AE100"/>
      <c r="AF100"/>
      <c r="AG100"/>
      <c r="AH100"/>
      <c r="AI100"/>
      <c r="AJ100"/>
      <c r="AK100"/>
    </row>
    <row r="101" spans="2:37" ht="15" thickBot="1" x14ac:dyDescent="0.35">
      <c r="B101" s="854"/>
      <c r="C101" s="664" t="s">
        <v>4685</v>
      </c>
      <c r="D101" s="541" t="s">
        <v>4591</v>
      </c>
      <c r="E101" s="872">
        <v>3</v>
      </c>
      <c r="F101" s="872">
        <v>0</v>
      </c>
      <c r="G101" s="872">
        <v>0</v>
      </c>
      <c r="H101" s="873">
        <v>0</v>
      </c>
      <c r="I101" s="872">
        <v>0</v>
      </c>
      <c r="J101" s="872">
        <v>0</v>
      </c>
      <c r="K101" s="874" t="s">
        <v>4046</v>
      </c>
      <c r="L101" s="874"/>
      <c r="M101" s="743"/>
      <c r="N101" s="743"/>
      <c r="O101" s="743"/>
      <c r="P101" s="743"/>
      <c r="Q101" s="743"/>
      <c r="R101" s="545"/>
      <c r="T101" s="801"/>
      <c r="W101"/>
      <c r="X101"/>
      <c r="Y101"/>
      <c r="Z101"/>
      <c r="AA101"/>
      <c r="AB101"/>
      <c r="AC101"/>
      <c r="AD101"/>
      <c r="AE101"/>
      <c r="AF101"/>
      <c r="AG101"/>
      <c r="AH101"/>
      <c r="AI101"/>
      <c r="AJ101"/>
      <c r="AK101"/>
    </row>
    <row r="102" spans="2:37" ht="15" thickBot="1" x14ac:dyDescent="0.35">
      <c r="D102" s="2"/>
      <c r="E102" s="2"/>
      <c r="F102" s="2"/>
      <c r="G102" s="2"/>
      <c r="H102" s="2"/>
      <c r="I102" s="2"/>
      <c r="J102" s="2"/>
      <c r="K102" s="597"/>
      <c r="L102" s="496"/>
      <c r="M102" s="2"/>
      <c r="N102" s="2"/>
      <c r="O102" s="2"/>
      <c r="P102" s="2"/>
      <c r="Q102" s="2"/>
      <c r="R102" s="2"/>
      <c r="T102" s="802"/>
      <c r="W102"/>
      <c r="X102"/>
      <c r="Y102"/>
      <c r="Z102"/>
      <c r="AA102"/>
      <c r="AB102"/>
      <c r="AC102"/>
      <c r="AD102"/>
      <c r="AE102"/>
      <c r="AF102"/>
      <c r="AG102"/>
      <c r="AH102"/>
      <c r="AI102"/>
      <c r="AJ102"/>
      <c r="AK102"/>
    </row>
    <row r="103" spans="2:37" x14ac:dyDescent="0.3">
      <c r="D103" s="2"/>
      <c r="E103" s="2"/>
      <c r="F103" s="2"/>
      <c r="G103" s="2"/>
      <c r="H103" s="2"/>
      <c r="I103" s="2"/>
      <c r="J103" s="2"/>
      <c r="K103" s="597"/>
      <c r="L103" s="496"/>
      <c r="M103" s="2"/>
      <c r="N103" s="2"/>
      <c r="O103" s="2"/>
      <c r="P103" s="2"/>
      <c r="Q103" s="2"/>
      <c r="R103" s="2"/>
      <c r="T103" s="801"/>
      <c r="W103"/>
      <c r="X103"/>
      <c r="Y103"/>
      <c r="Z103"/>
      <c r="AA103"/>
      <c r="AB103"/>
      <c r="AC103"/>
      <c r="AD103"/>
      <c r="AE103"/>
      <c r="AF103"/>
      <c r="AG103"/>
      <c r="AH103"/>
      <c r="AI103"/>
      <c r="AJ103"/>
      <c r="AK103"/>
    </row>
    <row r="104" spans="2:37" ht="15" thickBot="1" x14ac:dyDescent="0.35">
      <c r="B104" s="848" t="s">
        <v>4040</v>
      </c>
      <c r="C104" s="659"/>
      <c r="D104" s="703"/>
      <c r="E104" s="491" t="s">
        <v>213</v>
      </c>
      <c r="F104" s="491" t="s">
        <v>4051</v>
      </c>
      <c r="G104" s="491" t="s">
        <v>4052</v>
      </c>
      <c r="H104" s="491" t="s">
        <v>4053</v>
      </c>
      <c r="I104" s="491" t="s">
        <v>4054</v>
      </c>
      <c r="J104" s="491" t="s">
        <v>4055</v>
      </c>
      <c r="K104" s="703"/>
      <c r="L104" s="703"/>
      <c r="M104" s="703"/>
      <c r="N104" s="703"/>
      <c r="O104" s="703"/>
      <c r="P104" s="703"/>
      <c r="Q104" s="703"/>
      <c r="R104" s="775"/>
      <c r="T104" s="802"/>
      <c r="W104"/>
      <c r="X104"/>
      <c r="Y104"/>
      <c r="Z104"/>
      <c r="AA104"/>
      <c r="AB104"/>
      <c r="AC104"/>
      <c r="AD104"/>
      <c r="AE104"/>
      <c r="AF104"/>
      <c r="AG104"/>
      <c r="AH104"/>
      <c r="AI104"/>
      <c r="AJ104"/>
      <c r="AK104"/>
    </row>
    <row r="105" spans="2:37" x14ac:dyDescent="0.3">
      <c r="B105" s="849" t="s">
        <v>4081</v>
      </c>
      <c r="C105" s="661" t="s">
        <v>5220</v>
      </c>
      <c r="D105" s="527" t="s">
        <v>5221</v>
      </c>
      <c r="E105" s="857">
        <v>8</v>
      </c>
      <c r="F105" s="857">
        <v>3</v>
      </c>
      <c r="G105" s="857">
        <v>3</v>
      </c>
      <c r="H105" s="858">
        <v>6</v>
      </c>
      <c r="I105" s="857">
        <v>6</v>
      </c>
      <c r="J105" s="857">
        <v>1</v>
      </c>
      <c r="K105" s="859" t="s">
        <v>4046</v>
      </c>
      <c r="L105" s="859"/>
      <c r="M105" s="857"/>
      <c r="N105" s="857"/>
      <c r="O105" s="857"/>
      <c r="P105" s="858"/>
      <c r="Q105" s="857"/>
      <c r="R105" s="860"/>
      <c r="T105" s="801"/>
      <c r="W105"/>
      <c r="X105"/>
      <c r="Y105"/>
      <c r="Z105"/>
      <c r="AA105"/>
      <c r="AB105"/>
      <c r="AC105"/>
      <c r="AD105"/>
      <c r="AE105"/>
      <c r="AF105"/>
      <c r="AG105"/>
      <c r="AH105"/>
      <c r="AI105"/>
      <c r="AJ105"/>
      <c r="AK105"/>
    </row>
    <row r="106" spans="2:37" ht="15" thickBot="1" x14ac:dyDescent="0.35">
      <c r="B106" s="850"/>
      <c r="C106" s="678" t="s">
        <v>4685</v>
      </c>
      <c r="D106" s="522" t="s">
        <v>4591</v>
      </c>
      <c r="E106" s="861">
        <v>1</v>
      </c>
      <c r="F106" s="861">
        <v>0</v>
      </c>
      <c r="G106" s="861">
        <v>0</v>
      </c>
      <c r="H106" s="862">
        <v>0</v>
      </c>
      <c r="I106" s="861">
        <v>0</v>
      </c>
      <c r="J106" s="861">
        <v>0</v>
      </c>
      <c r="K106" s="863" t="s">
        <v>4046</v>
      </c>
      <c r="L106" s="522"/>
      <c r="M106" s="861"/>
      <c r="N106" s="861"/>
      <c r="O106" s="861"/>
      <c r="P106" s="862"/>
      <c r="Q106" s="861"/>
      <c r="R106" s="864"/>
      <c r="T106" s="802"/>
      <c r="W106"/>
      <c r="X106"/>
      <c r="Y106"/>
      <c r="Z106"/>
      <c r="AA106"/>
      <c r="AB106"/>
      <c r="AC106"/>
      <c r="AD106"/>
      <c r="AE106"/>
      <c r="AF106"/>
      <c r="AG106"/>
      <c r="AH106"/>
      <c r="AI106"/>
      <c r="AJ106"/>
      <c r="AK106"/>
    </row>
    <row r="107" spans="2:37" x14ac:dyDescent="0.3">
      <c r="B107" s="849" t="s">
        <v>4589</v>
      </c>
      <c r="C107" s="846" t="s">
        <v>5227</v>
      </c>
      <c r="D107" s="527" t="s">
        <v>5221</v>
      </c>
      <c r="E107" s="857">
        <v>46</v>
      </c>
      <c r="F107" s="857">
        <v>18</v>
      </c>
      <c r="G107" s="857">
        <v>33</v>
      </c>
      <c r="H107" s="858">
        <v>51</v>
      </c>
      <c r="I107" s="857">
        <v>48</v>
      </c>
      <c r="J107" s="857">
        <v>10</v>
      </c>
      <c r="K107" s="859" t="s">
        <v>4046</v>
      </c>
      <c r="L107" s="527" t="s">
        <v>4599</v>
      </c>
      <c r="M107" s="857">
        <v>3</v>
      </c>
      <c r="N107" s="857">
        <v>1</v>
      </c>
      <c r="O107" s="857">
        <v>1</v>
      </c>
      <c r="P107" s="858">
        <v>2</v>
      </c>
      <c r="Q107" s="857">
        <v>0</v>
      </c>
      <c r="R107" s="860">
        <v>2</v>
      </c>
      <c r="T107" s="801"/>
      <c r="W107"/>
      <c r="X107"/>
      <c r="Y107"/>
      <c r="Z107"/>
      <c r="AA107"/>
      <c r="AB107"/>
      <c r="AC107"/>
      <c r="AD107"/>
      <c r="AE107"/>
      <c r="AF107"/>
      <c r="AG107"/>
      <c r="AH107"/>
      <c r="AI107"/>
      <c r="AJ107"/>
      <c r="AK107"/>
    </row>
    <row r="108" spans="2:37" ht="15" thickBot="1" x14ac:dyDescent="0.35">
      <c r="B108" s="850"/>
      <c r="C108" s="678" t="s">
        <v>4685</v>
      </c>
      <c r="D108" s="522" t="s">
        <v>4591</v>
      </c>
      <c r="E108" s="861">
        <v>3</v>
      </c>
      <c r="F108" s="861">
        <v>0</v>
      </c>
      <c r="G108" s="861">
        <v>0</v>
      </c>
      <c r="H108" s="862">
        <v>0</v>
      </c>
      <c r="I108" s="861">
        <v>2</v>
      </c>
      <c r="J108" s="861">
        <v>1</v>
      </c>
      <c r="K108" s="863" t="s">
        <v>4046</v>
      </c>
      <c r="L108" s="522"/>
      <c r="M108" s="861"/>
      <c r="N108" s="861"/>
      <c r="O108" s="861"/>
      <c r="P108" s="862"/>
      <c r="Q108" s="861"/>
      <c r="R108" s="864"/>
      <c r="T108" s="802"/>
      <c r="W108"/>
      <c r="X108"/>
      <c r="Y108"/>
      <c r="Z108"/>
      <c r="AA108"/>
      <c r="AB108"/>
      <c r="AC108"/>
      <c r="AD108"/>
      <c r="AE108"/>
      <c r="AF108"/>
      <c r="AG108"/>
      <c r="AH108"/>
      <c r="AI108"/>
      <c r="AJ108"/>
      <c r="AK108"/>
    </row>
    <row r="109" spans="2:37" x14ac:dyDescent="0.3">
      <c r="B109" s="855"/>
      <c r="C109" s="661" t="s">
        <v>5228</v>
      </c>
      <c r="D109" s="527" t="s">
        <v>4674</v>
      </c>
      <c r="E109" s="875">
        <v>6</v>
      </c>
      <c r="F109" s="875">
        <v>0</v>
      </c>
      <c r="G109" s="875">
        <v>0</v>
      </c>
      <c r="H109" s="876">
        <v>0</v>
      </c>
      <c r="I109" s="875">
        <v>4</v>
      </c>
      <c r="J109" s="875">
        <v>0</v>
      </c>
      <c r="K109" s="877" t="s">
        <v>4046</v>
      </c>
      <c r="L109" s="877"/>
      <c r="M109" s="875"/>
      <c r="N109" s="875"/>
      <c r="O109" s="875"/>
      <c r="P109" s="876"/>
      <c r="Q109" s="875"/>
      <c r="R109" s="878"/>
      <c r="T109" s="801"/>
      <c r="W109"/>
      <c r="X109"/>
      <c r="Y109"/>
      <c r="Z109"/>
      <c r="AA109"/>
      <c r="AB109"/>
      <c r="AC109"/>
      <c r="AD109"/>
      <c r="AE109"/>
      <c r="AF109"/>
      <c r="AG109"/>
      <c r="AH109"/>
      <c r="AI109"/>
      <c r="AJ109"/>
      <c r="AK109"/>
    </row>
    <row r="110" spans="2:37" ht="15" thickBot="1" x14ac:dyDescent="0.35">
      <c r="B110" s="850" t="s">
        <v>5224</v>
      </c>
      <c r="C110" s="847" t="s">
        <v>5227</v>
      </c>
      <c r="D110" s="522" t="s">
        <v>5221</v>
      </c>
      <c r="E110" s="861">
        <v>45</v>
      </c>
      <c r="F110" s="861">
        <v>21</v>
      </c>
      <c r="G110" s="861">
        <v>29</v>
      </c>
      <c r="H110" s="862">
        <v>50</v>
      </c>
      <c r="I110" s="861">
        <v>55</v>
      </c>
      <c r="J110" s="861">
        <v>6</v>
      </c>
      <c r="K110" s="863" t="s">
        <v>4046</v>
      </c>
      <c r="L110" s="863"/>
      <c r="M110" s="861"/>
      <c r="N110" s="861"/>
      <c r="O110" s="861"/>
      <c r="P110" s="862"/>
      <c r="Q110" s="861"/>
      <c r="R110" s="864"/>
      <c r="T110" s="802"/>
      <c r="W110"/>
      <c r="X110"/>
      <c r="Y110"/>
      <c r="Z110"/>
      <c r="AA110"/>
      <c r="AB110"/>
      <c r="AC110"/>
      <c r="AD110"/>
      <c r="AE110"/>
      <c r="AF110"/>
      <c r="AG110"/>
      <c r="AH110"/>
      <c r="AI110"/>
      <c r="AJ110"/>
      <c r="AK110"/>
    </row>
    <row r="111" spans="2:37" x14ac:dyDescent="0.3">
      <c r="B111" s="849"/>
      <c r="C111" s="661" t="s">
        <v>5226</v>
      </c>
      <c r="D111" s="527" t="s">
        <v>4595</v>
      </c>
      <c r="E111" s="857">
        <v>2</v>
      </c>
      <c r="F111" s="857">
        <v>0</v>
      </c>
      <c r="G111" s="857">
        <v>0</v>
      </c>
      <c r="H111" s="858">
        <v>0</v>
      </c>
      <c r="I111" s="857">
        <v>0</v>
      </c>
      <c r="J111" s="857">
        <v>0</v>
      </c>
      <c r="K111" s="859" t="s">
        <v>4046</v>
      </c>
      <c r="L111" s="859"/>
      <c r="M111" s="857"/>
      <c r="N111" s="857"/>
      <c r="O111" s="857"/>
      <c r="P111" s="858"/>
      <c r="Q111" s="857"/>
      <c r="R111" s="860"/>
      <c r="T111" s="801"/>
      <c r="W111"/>
      <c r="X111"/>
      <c r="Y111"/>
      <c r="Z111"/>
      <c r="AA111"/>
      <c r="AB111"/>
      <c r="AC111"/>
      <c r="AD111"/>
      <c r="AE111"/>
      <c r="AF111"/>
      <c r="AG111"/>
      <c r="AH111"/>
      <c r="AI111"/>
      <c r="AJ111"/>
      <c r="AK111"/>
    </row>
    <row r="112" spans="2:37" ht="15" thickBot="1" x14ac:dyDescent="0.35">
      <c r="B112" s="850"/>
      <c r="C112" s="678" t="s">
        <v>5229</v>
      </c>
      <c r="D112" s="522" t="s">
        <v>5223</v>
      </c>
      <c r="E112" s="861">
        <v>1</v>
      </c>
      <c r="F112" s="861">
        <v>1</v>
      </c>
      <c r="G112" s="861">
        <v>0</v>
      </c>
      <c r="H112" s="862">
        <v>1</v>
      </c>
      <c r="I112" s="861">
        <v>0</v>
      </c>
      <c r="J112" s="861">
        <v>0</v>
      </c>
      <c r="K112" s="863" t="s">
        <v>4046</v>
      </c>
      <c r="L112" s="863"/>
      <c r="M112" s="861"/>
      <c r="N112" s="861"/>
      <c r="O112" s="861"/>
      <c r="P112" s="862"/>
      <c r="Q112" s="861"/>
      <c r="R112" s="864"/>
      <c r="T112" s="802"/>
      <c r="W112"/>
      <c r="X112"/>
      <c r="Y112"/>
      <c r="Z112"/>
      <c r="AA112"/>
      <c r="AB112"/>
      <c r="AC112"/>
      <c r="AD112"/>
      <c r="AE112"/>
      <c r="AF112"/>
      <c r="AG112"/>
      <c r="AH112"/>
      <c r="AI112"/>
      <c r="AJ112"/>
      <c r="AK112"/>
    </row>
    <row r="113" spans="2:57" ht="15" thickBot="1" x14ac:dyDescent="0.35">
      <c r="B113" s="854"/>
      <c r="C113" s="664" t="s">
        <v>5225</v>
      </c>
      <c r="D113" s="541" t="s">
        <v>4595</v>
      </c>
      <c r="E113" s="872">
        <v>2</v>
      </c>
      <c r="F113" s="872">
        <v>0</v>
      </c>
      <c r="G113" s="872">
        <v>0</v>
      </c>
      <c r="H113" s="873">
        <v>0</v>
      </c>
      <c r="I113" s="872">
        <v>4</v>
      </c>
      <c r="J113" s="872">
        <v>-2</v>
      </c>
      <c r="K113" s="874" t="s">
        <v>4046</v>
      </c>
      <c r="L113" s="874"/>
      <c r="M113" s="872"/>
      <c r="N113" s="743"/>
      <c r="O113" s="743"/>
      <c r="P113" s="743"/>
      <c r="Q113" s="743"/>
      <c r="R113" s="545"/>
      <c r="T113" s="801"/>
      <c r="W113"/>
      <c r="X113"/>
      <c r="Y113"/>
      <c r="Z113"/>
      <c r="AA113"/>
      <c r="AB113"/>
      <c r="AC113"/>
      <c r="AD113"/>
      <c r="AE113"/>
      <c r="AF113"/>
      <c r="AG113"/>
      <c r="AH113"/>
      <c r="AI113"/>
      <c r="AJ113"/>
      <c r="AK113"/>
    </row>
    <row r="114" spans="2:57" ht="15" thickBot="1" x14ac:dyDescent="0.35">
      <c r="D114" s="2"/>
      <c r="E114" s="2"/>
      <c r="F114" s="2"/>
      <c r="G114" s="2"/>
      <c r="H114" s="2"/>
      <c r="I114" s="2"/>
      <c r="J114" s="2"/>
      <c r="K114" s="2"/>
      <c r="L114" s="2"/>
      <c r="M114" s="2"/>
      <c r="N114" s="2"/>
      <c r="O114" s="2"/>
      <c r="P114" s="2"/>
      <c r="Q114" s="2"/>
      <c r="R114" s="2"/>
      <c r="T114" s="802"/>
      <c r="W114"/>
      <c r="X114"/>
      <c r="Y114"/>
      <c r="Z114"/>
      <c r="AA114"/>
      <c r="AB114"/>
      <c r="AC114"/>
      <c r="AD114"/>
      <c r="AE114"/>
      <c r="AF114"/>
      <c r="AG114"/>
      <c r="AH114"/>
      <c r="AI114"/>
      <c r="AJ114"/>
      <c r="AK114"/>
    </row>
    <row r="115" spans="2:57" x14ac:dyDescent="0.3">
      <c r="D115" s="2"/>
      <c r="E115" s="2"/>
      <c r="F115" s="2"/>
      <c r="G115" s="2"/>
      <c r="H115" s="2"/>
      <c r="I115" s="2"/>
      <c r="J115" s="2"/>
      <c r="K115" s="2"/>
      <c r="L115" s="2"/>
      <c r="M115" s="2"/>
      <c r="N115" s="2"/>
      <c r="O115" s="2"/>
      <c r="P115" s="2"/>
      <c r="Q115" s="2"/>
      <c r="R115" s="2"/>
      <c r="T115" s="801"/>
      <c r="W115"/>
      <c r="X115"/>
      <c r="Y115"/>
      <c r="Z115"/>
      <c r="AA115"/>
      <c r="AB115"/>
      <c r="AC115"/>
      <c r="AD115"/>
      <c r="AE115"/>
      <c r="AF115"/>
      <c r="AG115"/>
      <c r="AH115"/>
      <c r="AI115"/>
      <c r="AJ115"/>
      <c r="AK115"/>
    </row>
    <row r="116" spans="2:57" ht="15" thickBot="1" x14ac:dyDescent="0.35">
      <c r="B116" s="848" t="s">
        <v>5233</v>
      </c>
      <c r="C116" s="659"/>
      <c r="D116" s="703"/>
      <c r="E116" s="491" t="s">
        <v>213</v>
      </c>
      <c r="F116" s="491" t="s">
        <v>4051</v>
      </c>
      <c r="G116" s="491" t="s">
        <v>4052</v>
      </c>
      <c r="H116" s="491" t="s">
        <v>4053</v>
      </c>
      <c r="I116" s="491" t="s">
        <v>4054</v>
      </c>
      <c r="J116" s="491" t="s">
        <v>4055</v>
      </c>
      <c r="K116" s="703"/>
      <c r="L116" s="703"/>
      <c r="M116" s="703"/>
      <c r="N116" s="703"/>
      <c r="O116" s="703"/>
      <c r="P116" s="703"/>
      <c r="Q116" s="703"/>
      <c r="R116" s="775"/>
      <c r="T116" s="802"/>
      <c r="W116"/>
      <c r="X116"/>
      <c r="Y116"/>
      <c r="Z116"/>
      <c r="AA116"/>
      <c r="AB116"/>
      <c r="AC116"/>
      <c r="AD116"/>
      <c r="AE116"/>
      <c r="AF116"/>
      <c r="AG116"/>
      <c r="AH116"/>
      <c r="AI116"/>
      <c r="AJ116"/>
      <c r="AK116"/>
    </row>
    <row r="117" spans="2:57" x14ac:dyDescent="0.3">
      <c r="B117" s="849" t="s">
        <v>4081</v>
      </c>
      <c r="C117" s="661" t="s">
        <v>5220</v>
      </c>
      <c r="D117" s="527" t="s">
        <v>5221</v>
      </c>
      <c r="E117" s="857">
        <v>8</v>
      </c>
      <c r="F117" s="857">
        <v>3</v>
      </c>
      <c r="G117" s="857">
        <v>3</v>
      </c>
      <c r="H117" s="858">
        <v>6</v>
      </c>
      <c r="I117" s="857">
        <v>4</v>
      </c>
      <c r="J117" s="857">
        <v>-1</v>
      </c>
      <c r="K117" s="859" t="s">
        <v>4046</v>
      </c>
      <c r="L117" s="859"/>
      <c r="M117" s="857"/>
      <c r="N117" s="857"/>
      <c r="O117" s="857"/>
      <c r="P117" s="858"/>
      <c r="Q117" s="857"/>
      <c r="R117" s="860"/>
      <c r="S117"/>
      <c r="W117"/>
      <c r="X117"/>
      <c r="Y117"/>
      <c r="Z117"/>
      <c r="AA117"/>
      <c r="AB117"/>
      <c r="AC117"/>
      <c r="AD117"/>
      <c r="AE117"/>
      <c r="AF117"/>
      <c r="AG117"/>
      <c r="AH117"/>
      <c r="AI117"/>
      <c r="AJ117"/>
      <c r="AK117"/>
      <c r="AL117"/>
      <c r="BE117"/>
    </row>
    <row r="118" spans="2:57" x14ac:dyDescent="0.3">
      <c r="B118" s="856" t="s">
        <v>4589</v>
      </c>
      <c r="C118" s="678" t="s">
        <v>5230</v>
      </c>
      <c r="D118" s="522" t="s">
        <v>5231</v>
      </c>
      <c r="E118" s="879">
        <v>23</v>
      </c>
      <c r="F118" s="879">
        <v>4</v>
      </c>
      <c r="G118" s="879">
        <v>2</v>
      </c>
      <c r="H118" s="880">
        <v>6</v>
      </c>
      <c r="I118" s="879">
        <v>6</v>
      </c>
      <c r="J118" s="879" t="s">
        <v>558</v>
      </c>
      <c r="K118" s="881" t="s">
        <v>4046</v>
      </c>
      <c r="L118" s="881"/>
      <c r="M118" s="879"/>
      <c r="N118" s="879"/>
      <c r="O118" s="879"/>
      <c r="P118" s="880"/>
      <c r="Q118" s="879"/>
      <c r="R118" s="882"/>
      <c r="S118"/>
      <c r="W118"/>
      <c r="X118"/>
      <c r="Y118"/>
      <c r="Z118"/>
      <c r="AA118"/>
      <c r="AB118"/>
      <c r="AC118"/>
      <c r="AD118"/>
      <c r="AE118"/>
      <c r="AF118"/>
      <c r="AG118"/>
      <c r="AH118"/>
      <c r="AI118"/>
      <c r="AJ118"/>
      <c r="AK118"/>
      <c r="AL118"/>
      <c r="BE118"/>
    </row>
    <row r="119" spans="2:57" ht="17.25" customHeight="1" x14ac:dyDescent="0.3">
      <c r="B119" s="849"/>
      <c r="C119" s="661" t="s">
        <v>5229</v>
      </c>
      <c r="D119" s="527" t="s">
        <v>5223</v>
      </c>
      <c r="E119" s="857">
        <v>10</v>
      </c>
      <c r="F119" s="857">
        <v>6</v>
      </c>
      <c r="G119" s="857">
        <v>4</v>
      </c>
      <c r="H119" s="858">
        <v>10</v>
      </c>
      <c r="I119" s="857">
        <v>8</v>
      </c>
      <c r="J119" s="857">
        <v>0</v>
      </c>
      <c r="K119" s="859" t="s">
        <v>4046</v>
      </c>
      <c r="L119" s="527" t="s">
        <v>4095</v>
      </c>
      <c r="M119" s="857">
        <v>7</v>
      </c>
      <c r="N119" s="857">
        <v>1</v>
      </c>
      <c r="O119" s="857">
        <v>0</v>
      </c>
      <c r="P119" s="858">
        <v>1</v>
      </c>
      <c r="Q119" s="857">
        <v>4</v>
      </c>
      <c r="R119" s="860">
        <v>0</v>
      </c>
      <c r="S119"/>
      <c r="W119"/>
      <c r="X119"/>
      <c r="Y119"/>
      <c r="Z119"/>
      <c r="AA119"/>
      <c r="AB119"/>
      <c r="AC119"/>
      <c r="AD119"/>
      <c r="AE119"/>
      <c r="AF119"/>
      <c r="AG119"/>
      <c r="AH119"/>
      <c r="AI119"/>
      <c r="AJ119"/>
      <c r="AK119"/>
      <c r="AL119"/>
      <c r="BE119"/>
    </row>
    <row r="120" spans="2:57" x14ac:dyDescent="0.3">
      <c r="B120" s="850" t="s">
        <v>5224</v>
      </c>
      <c r="C120" s="678" t="s">
        <v>5229</v>
      </c>
      <c r="D120" s="522" t="s">
        <v>5223</v>
      </c>
      <c r="E120" s="861">
        <v>18</v>
      </c>
      <c r="F120" s="861">
        <v>1</v>
      </c>
      <c r="G120" s="861">
        <v>5</v>
      </c>
      <c r="H120" s="862">
        <v>6</v>
      </c>
      <c r="I120" s="861">
        <v>4</v>
      </c>
      <c r="J120" s="861">
        <v>0</v>
      </c>
      <c r="K120" s="863" t="s">
        <v>4046</v>
      </c>
      <c r="L120" s="522"/>
      <c r="M120" s="861"/>
      <c r="N120" s="861"/>
      <c r="O120" s="861"/>
      <c r="P120" s="862"/>
      <c r="Q120" s="861"/>
      <c r="R120" s="864"/>
      <c r="S120"/>
      <c r="W120"/>
      <c r="X120"/>
      <c r="Y120"/>
      <c r="Z120"/>
      <c r="AA120"/>
      <c r="AB120"/>
      <c r="AC120"/>
      <c r="AD120"/>
      <c r="AE120"/>
      <c r="AF120"/>
      <c r="AG120"/>
      <c r="AH120"/>
      <c r="AI120"/>
      <c r="AJ120"/>
      <c r="AK120"/>
      <c r="AL120"/>
      <c r="BE120"/>
    </row>
    <row r="121" spans="2:57" ht="28.8" x14ac:dyDescent="0.3">
      <c r="B121" s="849"/>
      <c r="C121" s="661" t="s">
        <v>5232</v>
      </c>
      <c r="D121" s="527" t="s">
        <v>4595</v>
      </c>
      <c r="E121" s="857">
        <v>8</v>
      </c>
      <c r="F121" s="857">
        <v>0</v>
      </c>
      <c r="G121" s="857">
        <v>0</v>
      </c>
      <c r="H121" s="858">
        <v>0</v>
      </c>
      <c r="I121" s="857">
        <v>0</v>
      </c>
      <c r="J121" s="857">
        <v>-3</v>
      </c>
      <c r="K121" s="859" t="s">
        <v>4046</v>
      </c>
      <c r="L121" s="527"/>
      <c r="M121" s="857"/>
      <c r="N121" s="857"/>
      <c r="O121" s="857"/>
      <c r="P121" s="858"/>
      <c r="Q121" s="857"/>
      <c r="R121" s="860"/>
      <c r="S121"/>
      <c r="W121"/>
      <c r="X121"/>
      <c r="Y121"/>
      <c r="Z121"/>
      <c r="AA121"/>
      <c r="AB121"/>
      <c r="AC121"/>
      <c r="AD121"/>
      <c r="AE121"/>
      <c r="AF121"/>
      <c r="AG121"/>
      <c r="AH121"/>
      <c r="AI121"/>
      <c r="AJ121"/>
      <c r="AK121"/>
      <c r="AL121"/>
      <c r="BE121"/>
    </row>
    <row r="122" spans="2:57" ht="15" thickBot="1" x14ac:dyDescent="0.35">
      <c r="B122" s="851"/>
      <c r="C122" s="852" t="s">
        <v>5225</v>
      </c>
      <c r="D122" s="532" t="s">
        <v>4595</v>
      </c>
      <c r="E122" s="865">
        <v>23</v>
      </c>
      <c r="F122" s="865">
        <v>1</v>
      </c>
      <c r="G122" s="865">
        <v>3</v>
      </c>
      <c r="H122" s="866">
        <v>4</v>
      </c>
      <c r="I122" s="865">
        <v>2</v>
      </c>
      <c r="J122" s="865">
        <v>-5</v>
      </c>
      <c r="K122" s="867" t="s">
        <v>4046</v>
      </c>
      <c r="L122" s="867"/>
      <c r="M122" s="865"/>
      <c r="N122" s="865"/>
      <c r="O122" s="743"/>
      <c r="P122" s="743"/>
      <c r="Q122" s="743"/>
      <c r="R122" s="545"/>
      <c r="S122"/>
      <c r="W122"/>
      <c r="X122"/>
      <c r="Y122"/>
      <c r="Z122"/>
      <c r="AA122"/>
      <c r="AB122"/>
      <c r="AC122"/>
      <c r="AD122"/>
      <c r="AE122"/>
      <c r="AF122"/>
      <c r="AG122"/>
      <c r="AH122"/>
      <c r="AI122"/>
      <c r="AJ122"/>
      <c r="AK122"/>
      <c r="AL122"/>
      <c r="BE122"/>
    </row>
    <row r="123" spans="2:57" x14ac:dyDescent="0.3">
      <c r="D123" s="2"/>
      <c r="E123" s="2"/>
      <c r="F123" s="2"/>
      <c r="G123" s="2"/>
      <c r="H123" s="2"/>
      <c r="I123" s="2"/>
      <c r="J123" s="2"/>
      <c r="K123" s="2"/>
      <c r="L123" s="2"/>
      <c r="M123" s="2"/>
      <c r="N123" s="2"/>
      <c r="O123" s="2"/>
      <c r="P123" s="2"/>
      <c r="Q123" s="2"/>
      <c r="R123" s="2"/>
      <c r="S123"/>
      <c r="W123"/>
      <c r="X123"/>
      <c r="Y123"/>
      <c r="Z123"/>
      <c r="AA123"/>
      <c r="AB123"/>
      <c r="AC123"/>
      <c r="AD123"/>
      <c r="AE123"/>
      <c r="AF123"/>
      <c r="AG123"/>
      <c r="AH123"/>
      <c r="AI123"/>
      <c r="AJ123"/>
      <c r="AK123"/>
      <c r="AL123"/>
      <c r="BE123"/>
    </row>
    <row r="124" spans="2:57" x14ac:dyDescent="0.3">
      <c r="D124" s="2"/>
      <c r="E124" s="2"/>
      <c r="F124" s="2"/>
      <c r="G124" s="2"/>
      <c r="H124" s="2"/>
      <c r="I124" s="2"/>
      <c r="J124" s="2"/>
      <c r="K124" s="2"/>
      <c r="L124" s="2"/>
      <c r="M124" s="2"/>
      <c r="N124" s="2"/>
      <c r="O124" s="2"/>
      <c r="P124" s="2"/>
      <c r="Q124" s="2"/>
      <c r="R124" s="2"/>
      <c r="S124"/>
      <c r="W124"/>
      <c r="X124"/>
      <c r="Y124"/>
      <c r="Z124"/>
      <c r="AA124"/>
      <c r="AB124"/>
      <c r="AC124"/>
      <c r="AD124"/>
      <c r="AE124"/>
      <c r="AF124"/>
      <c r="AG124"/>
      <c r="AH124"/>
      <c r="AI124"/>
      <c r="AJ124"/>
      <c r="AK124"/>
      <c r="AL124"/>
      <c r="BE124"/>
    </row>
    <row r="125" spans="2:57" x14ac:dyDescent="0.3">
      <c r="B125" s="848" t="s">
        <v>1224</v>
      </c>
      <c r="C125" s="659"/>
      <c r="D125" s="703"/>
      <c r="E125" s="491" t="s">
        <v>213</v>
      </c>
      <c r="F125" s="491" t="s">
        <v>4051</v>
      </c>
      <c r="G125" s="491" t="s">
        <v>4052</v>
      </c>
      <c r="H125" s="491" t="s">
        <v>4053</v>
      </c>
      <c r="I125" s="491" t="s">
        <v>4054</v>
      </c>
      <c r="J125" s="491" t="s">
        <v>4055</v>
      </c>
      <c r="K125" s="703"/>
      <c r="L125" s="703"/>
      <c r="M125" s="703"/>
      <c r="N125" s="703"/>
      <c r="O125" s="703"/>
      <c r="P125" s="703"/>
      <c r="Q125" s="703"/>
      <c r="R125" s="775"/>
      <c r="S125"/>
      <c r="W125"/>
      <c r="X125"/>
      <c r="Y125"/>
      <c r="Z125"/>
      <c r="AA125"/>
      <c r="AB125"/>
      <c r="AC125"/>
      <c r="AD125"/>
      <c r="AE125"/>
      <c r="AF125"/>
      <c r="AG125"/>
      <c r="AH125"/>
      <c r="AI125"/>
      <c r="AJ125"/>
      <c r="AK125"/>
      <c r="AL125"/>
      <c r="BE125"/>
    </row>
    <row r="126" spans="2:57" x14ac:dyDescent="0.3">
      <c r="B126" s="850" t="s">
        <v>4081</v>
      </c>
      <c r="C126" s="678" t="s">
        <v>5220</v>
      </c>
      <c r="D126" s="522" t="s">
        <v>5221</v>
      </c>
      <c r="E126" s="861">
        <v>5</v>
      </c>
      <c r="F126" s="861">
        <v>0</v>
      </c>
      <c r="G126" s="861">
        <v>2</v>
      </c>
      <c r="H126" s="862">
        <v>2</v>
      </c>
      <c r="I126" s="861">
        <v>14</v>
      </c>
      <c r="J126" s="861">
        <v>-3</v>
      </c>
      <c r="K126" s="863" t="s">
        <v>4046</v>
      </c>
      <c r="L126" s="863"/>
      <c r="M126" s="861"/>
      <c r="N126" s="861"/>
      <c r="O126" s="861"/>
      <c r="P126" s="862"/>
      <c r="Q126" s="861"/>
      <c r="R126" s="864"/>
      <c r="S126"/>
      <c r="W126"/>
      <c r="X126"/>
      <c r="Y126"/>
      <c r="Z126"/>
      <c r="AA126"/>
      <c r="AB126"/>
      <c r="AC126"/>
      <c r="AD126"/>
      <c r="AE126"/>
      <c r="AF126"/>
      <c r="AG126"/>
      <c r="AH126"/>
      <c r="AI126"/>
      <c r="AJ126"/>
      <c r="AK126"/>
      <c r="AL126"/>
      <c r="BE126"/>
    </row>
    <row r="127" spans="2:57" ht="28.8" x14ac:dyDescent="0.3">
      <c r="B127" s="849"/>
      <c r="C127" s="661" t="s">
        <v>4675</v>
      </c>
      <c r="D127" s="527" t="s">
        <v>4595</v>
      </c>
      <c r="E127" s="857">
        <v>28</v>
      </c>
      <c r="F127" s="857">
        <v>1</v>
      </c>
      <c r="G127" s="857">
        <v>4</v>
      </c>
      <c r="H127" s="858">
        <v>5</v>
      </c>
      <c r="I127" s="857">
        <v>16</v>
      </c>
      <c r="J127" s="857">
        <v>2</v>
      </c>
      <c r="K127" s="859" t="s">
        <v>4046</v>
      </c>
      <c r="L127" s="527" t="s">
        <v>4095</v>
      </c>
      <c r="M127" s="857">
        <v>12</v>
      </c>
      <c r="N127" s="857">
        <v>0</v>
      </c>
      <c r="O127" s="857">
        <v>2</v>
      </c>
      <c r="P127" s="858">
        <v>2</v>
      </c>
      <c r="Q127" s="857">
        <v>12</v>
      </c>
      <c r="R127" s="860">
        <v>1</v>
      </c>
      <c r="S127"/>
      <c r="W127"/>
      <c r="X127"/>
      <c r="Y127"/>
      <c r="Z127"/>
      <c r="AA127"/>
      <c r="AB127"/>
      <c r="AC127"/>
      <c r="AD127"/>
      <c r="AE127"/>
      <c r="AF127"/>
      <c r="AG127"/>
      <c r="AH127"/>
      <c r="AI127"/>
      <c r="AJ127"/>
      <c r="AK127"/>
      <c r="AL127"/>
      <c r="BE127"/>
    </row>
    <row r="128" spans="2:57" x14ac:dyDescent="0.3">
      <c r="B128" s="853"/>
      <c r="C128" s="678" t="s">
        <v>4673</v>
      </c>
      <c r="D128" s="522" t="s">
        <v>4674</v>
      </c>
      <c r="E128" s="868">
        <v>3</v>
      </c>
      <c r="F128" s="868">
        <v>0</v>
      </c>
      <c r="G128" s="868">
        <v>0</v>
      </c>
      <c r="H128" s="869">
        <v>0</v>
      </c>
      <c r="I128" s="868">
        <v>2</v>
      </c>
      <c r="J128" s="868">
        <v>0</v>
      </c>
      <c r="K128" s="870" t="s">
        <v>4046</v>
      </c>
      <c r="L128" s="870"/>
      <c r="M128" s="868"/>
      <c r="N128" s="868"/>
      <c r="O128" s="868"/>
      <c r="P128" s="869"/>
      <c r="Q128" s="868"/>
      <c r="R128" s="871"/>
      <c r="S128"/>
      <c r="W128"/>
      <c r="X128"/>
      <c r="Y128"/>
      <c r="Z128"/>
      <c r="AA128"/>
      <c r="AB128"/>
      <c r="AC128"/>
      <c r="AD128"/>
      <c r="AE128"/>
      <c r="AF128"/>
      <c r="AG128"/>
      <c r="AH128"/>
      <c r="AI128"/>
      <c r="AJ128"/>
      <c r="AK128"/>
      <c r="AL128"/>
      <c r="BE128"/>
    </row>
    <row r="129" spans="2:57" x14ac:dyDescent="0.3">
      <c r="B129" s="849" t="s">
        <v>4589</v>
      </c>
      <c r="C129" s="661" t="s">
        <v>5220</v>
      </c>
      <c r="D129" s="527" t="s">
        <v>5221</v>
      </c>
      <c r="E129" s="857">
        <v>37</v>
      </c>
      <c r="F129" s="857">
        <v>2</v>
      </c>
      <c r="G129" s="857">
        <v>21</v>
      </c>
      <c r="H129" s="858">
        <v>23</v>
      </c>
      <c r="I129" s="857">
        <v>38</v>
      </c>
      <c r="J129" s="857">
        <v>4</v>
      </c>
      <c r="K129" s="859" t="s">
        <v>4046</v>
      </c>
      <c r="L129" s="527" t="s">
        <v>4599</v>
      </c>
      <c r="M129" s="857">
        <v>3</v>
      </c>
      <c r="N129" s="857">
        <v>0</v>
      </c>
      <c r="O129" s="857">
        <v>1</v>
      </c>
      <c r="P129" s="858">
        <v>1</v>
      </c>
      <c r="Q129" s="857">
        <v>4</v>
      </c>
      <c r="R129" s="860">
        <v>2</v>
      </c>
      <c r="S129"/>
      <c r="W129"/>
      <c r="X129"/>
      <c r="Y129"/>
      <c r="Z129"/>
      <c r="AA129"/>
      <c r="AB129"/>
      <c r="AC129"/>
      <c r="AD129"/>
      <c r="AE129"/>
      <c r="AF129"/>
      <c r="AG129"/>
      <c r="AH129"/>
      <c r="AI129"/>
      <c r="AJ129"/>
      <c r="AK129"/>
      <c r="AL129"/>
      <c r="BE129"/>
    </row>
    <row r="130" spans="2:57" x14ac:dyDescent="0.3">
      <c r="B130" s="850"/>
      <c r="C130" s="678" t="s">
        <v>4685</v>
      </c>
      <c r="D130" s="522" t="s">
        <v>4591</v>
      </c>
      <c r="E130" s="861">
        <v>19</v>
      </c>
      <c r="F130" s="861">
        <v>1</v>
      </c>
      <c r="G130" s="861">
        <v>3</v>
      </c>
      <c r="H130" s="862">
        <v>4</v>
      </c>
      <c r="I130" s="861">
        <v>0</v>
      </c>
      <c r="J130" s="861">
        <v>-1</v>
      </c>
      <c r="K130" s="863" t="s">
        <v>4046</v>
      </c>
      <c r="L130" s="863"/>
      <c r="M130" s="861"/>
      <c r="N130" s="861"/>
      <c r="O130" s="861"/>
      <c r="P130" s="862"/>
      <c r="Q130" s="861"/>
      <c r="R130" s="864"/>
      <c r="S130"/>
      <c r="W130"/>
      <c r="X130"/>
      <c r="Y130"/>
      <c r="Z130"/>
      <c r="AA130"/>
      <c r="AB130"/>
      <c r="AC130"/>
      <c r="AD130"/>
      <c r="AE130"/>
      <c r="AF130"/>
      <c r="AG130"/>
      <c r="AH130"/>
      <c r="AI130"/>
      <c r="AJ130"/>
      <c r="AK130"/>
      <c r="AL130"/>
      <c r="BE130"/>
    </row>
    <row r="131" spans="2:57" ht="28.8" x14ac:dyDescent="0.3">
      <c r="B131" s="849"/>
      <c r="C131" s="661" t="s">
        <v>4675</v>
      </c>
      <c r="D131" s="527" t="s">
        <v>4595</v>
      </c>
      <c r="E131" s="857">
        <v>11</v>
      </c>
      <c r="F131" s="857">
        <v>0</v>
      </c>
      <c r="G131" s="857">
        <v>2</v>
      </c>
      <c r="H131" s="858">
        <v>2</v>
      </c>
      <c r="I131" s="857">
        <v>4</v>
      </c>
      <c r="J131" s="857">
        <v>-3</v>
      </c>
      <c r="K131" s="859" t="s">
        <v>4046</v>
      </c>
      <c r="L131" s="859"/>
      <c r="M131" s="857"/>
      <c r="N131" s="857"/>
      <c r="O131" s="857"/>
      <c r="P131" s="858"/>
      <c r="Q131" s="857"/>
      <c r="R131" s="860"/>
      <c r="S131"/>
      <c r="W131"/>
      <c r="X131"/>
      <c r="Y131"/>
      <c r="Z131"/>
      <c r="AA131"/>
      <c r="AB131"/>
      <c r="AC131"/>
      <c r="AD131"/>
      <c r="AE131"/>
      <c r="AF131"/>
      <c r="AG131"/>
      <c r="AH131"/>
      <c r="AI131"/>
      <c r="AJ131"/>
      <c r="AK131"/>
      <c r="AL131"/>
      <c r="BE131"/>
    </row>
    <row r="132" spans="2:57" x14ac:dyDescent="0.3">
      <c r="B132" s="853"/>
      <c r="C132" s="678" t="s">
        <v>4673</v>
      </c>
      <c r="D132" s="522" t="s">
        <v>4674</v>
      </c>
      <c r="E132" s="868">
        <v>7</v>
      </c>
      <c r="F132" s="868">
        <v>0</v>
      </c>
      <c r="G132" s="868">
        <v>0</v>
      </c>
      <c r="H132" s="869">
        <v>0</v>
      </c>
      <c r="I132" s="868">
        <v>2</v>
      </c>
      <c r="J132" s="868">
        <v>-1</v>
      </c>
      <c r="K132" s="870" t="s">
        <v>4046</v>
      </c>
      <c r="L132" s="870"/>
      <c r="M132" s="868"/>
      <c r="N132" s="868"/>
      <c r="O132" s="868"/>
      <c r="P132" s="869"/>
      <c r="Q132" s="868"/>
      <c r="R132" s="871"/>
      <c r="S132"/>
      <c r="W132"/>
      <c r="X132"/>
      <c r="Y132"/>
      <c r="Z132"/>
      <c r="AA132"/>
      <c r="AB132"/>
      <c r="AC132"/>
      <c r="AD132"/>
      <c r="AE132"/>
      <c r="AF132"/>
      <c r="AG132"/>
      <c r="AH132"/>
      <c r="AI132"/>
      <c r="AJ132"/>
      <c r="AK132"/>
      <c r="AL132"/>
      <c r="BE132"/>
    </row>
    <row r="133" spans="2:57" x14ac:dyDescent="0.3">
      <c r="B133" s="849" t="s">
        <v>5224</v>
      </c>
      <c r="C133" s="661" t="s">
        <v>4685</v>
      </c>
      <c r="D133" s="527" t="s">
        <v>4591</v>
      </c>
      <c r="E133" s="857" t="s">
        <v>558</v>
      </c>
      <c r="F133" s="857" t="s">
        <v>558</v>
      </c>
      <c r="G133" s="857" t="s">
        <v>558</v>
      </c>
      <c r="H133" s="858" t="s">
        <v>558</v>
      </c>
      <c r="I133" s="857" t="s">
        <v>558</v>
      </c>
      <c r="J133" s="857" t="s">
        <v>558</v>
      </c>
      <c r="K133" s="859" t="s">
        <v>4046</v>
      </c>
      <c r="L133" s="859"/>
      <c r="M133" s="857"/>
      <c r="N133" s="857"/>
      <c r="O133" s="857"/>
      <c r="P133" s="858"/>
      <c r="Q133" s="857"/>
      <c r="R133" s="860"/>
      <c r="S133"/>
      <c r="W133"/>
      <c r="X133"/>
      <c r="Y133"/>
      <c r="Z133"/>
      <c r="AA133"/>
      <c r="AB133"/>
      <c r="AC133"/>
      <c r="AD133"/>
      <c r="AE133"/>
      <c r="AF133"/>
      <c r="AG133"/>
      <c r="AH133"/>
      <c r="AI133"/>
      <c r="AJ133"/>
      <c r="AK133"/>
      <c r="AL133"/>
      <c r="BE133"/>
    </row>
    <row r="134" spans="2:57" ht="15" thickBot="1" x14ac:dyDescent="0.35">
      <c r="B134" s="851"/>
      <c r="C134" s="852" t="s">
        <v>5225</v>
      </c>
      <c r="D134" s="532" t="s">
        <v>4595</v>
      </c>
      <c r="E134" s="865">
        <v>38</v>
      </c>
      <c r="F134" s="865">
        <v>2</v>
      </c>
      <c r="G134" s="865">
        <v>3</v>
      </c>
      <c r="H134" s="866">
        <v>5</v>
      </c>
      <c r="I134" s="865">
        <v>12</v>
      </c>
      <c r="J134" s="865">
        <v>-5</v>
      </c>
      <c r="K134" s="867" t="s">
        <v>4046</v>
      </c>
      <c r="L134" s="867"/>
      <c r="M134" s="865"/>
      <c r="N134" s="865"/>
      <c r="O134" s="865"/>
      <c r="P134" s="743"/>
      <c r="Q134" s="743"/>
      <c r="R134" s="545"/>
      <c r="S134"/>
      <c r="W134"/>
      <c r="X134"/>
      <c r="Y134"/>
      <c r="Z134"/>
      <c r="AA134"/>
      <c r="AB134"/>
      <c r="AC134"/>
      <c r="AD134"/>
      <c r="AE134"/>
      <c r="AF134"/>
      <c r="AG134"/>
      <c r="AH134"/>
      <c r="AI134"/>
      <c r="AJ134"/>
      <c r="AK134"/>
      <c r="AL134"/>
      <c r="BE134"/>
    </row>
    <row r="135" spans="2:57" x14ac:dyDescent="0.3">
      <c r="D135" s="2"/>
      <c r="E135" s="2"/>
      <c r="F135" s="2"/>
      <c r="G135" s="2"/>
      <c r="H135" s="2"/>
      <c r="I135" s="2"/>
      <c r="J135" s="2"/>
      <c r="K135" s="2"/>
      <c r="L135" s="2"/>
      <c r="M135" s="2"/>
      <c r="N135" s="2"/>
      <c r="O135" s="2"/>
      <c r="P135" s="2"/>
      <c r="Q135" s="2"/>
      <c r="R135" s="2"/>
      <c r="S135"/>
      <c r="W135"/>
      <c r="X135"/>
      <c r="Y135"/>
      <c r="Z135"/>
      <c r="AA135"/>
      <c r="AB135"/>
      <c r="AC135"/>
      <c r="AD135"/>
      <c r="AE135"/>
      <c r="AF135"/>
      <c r="AG135"/>
      <c r="AH135"/>
      <c r="AI135"/>
      <c r="AJ135"/>
      <c r="AK135"/>
      <c r="AL135"/>
      <c r="BE135"/>
    </row>
    <row r="136" spans="2:57" x14ac:dyDescent="0.3">
      <c r="D136" s="2"/>
      <c r="E136" s="2"/>
      <c r="F136" s="2"/>
      <c r="G136" s="2"/>
      <c r="H136" s="2"/>
      <c r="I136" s="2"/>
      <c r="J136" s="2"/>
      <c r="K136" s="2"/>
      <c r="L136" s="2"/>
      <c r="M136" s="2"/>
      <c r="N136" s="2"/>
      <c r="O136" s="2"/>
      <c r="P136" s="2"/>
      <c r="Q136" s="2"/>
      <c r="R136" s="2"/>
      <c r="S136"/>
      <c r="W136"/>
      <c r="X136"/>
      <c r="Y136"/>
      <c r="Z136"/>
      <c r="AA136"/>
      <c r="AB136"/>
      <c r="AC136"/>
      <c r="AD136"/>
      <c r="AE136"/>
      <c r="AF136"/>
      <c r="AG136"/>
      <c r="AH136"/>
      <c r="AI136"/>
      <c r="AJ136"/>
      <c r="AK136"/>
      <c r="AL136"/>
      <c r="BE136"/>
    </row>
    <row r="137" spans="2:57" x14ac:dyDescent="0.3">
      <c r="B137" s="848" t="s">
        <v>97</v>
      </c>
      <c r="C137" s="659"/>
      <c r="D137" s="659"/>
      <c r="E137" s="491" t="s">
        <v>213</v>
      </c>
      <c r="F137" s="491" t="s">
        <v>4051</v>
      </c>
      <c r="G137" s="491" t="s">
        <v>4052</v>
      </c>
      <c r="H137" s="491" t="s">
        <v>4053</v>
      </c>
      <c r="I137" s="491" t="s">
        <v>4054</v>
      </c>
      <c r="J137" s="491" t="s">
        <v>4055</v>
      </c>
      <c r="K137" s="659"/>
      <c r="L137" s="659"/>
      <c r="M137" s="659"/>
      <c r="N137" s="659"/>
      <c r="O137" s="659"/>
      <c r="P137" s="659"/>
      <c r="Q137" s="659"/>
      <c r="R137" s="690"/>
      <c r="S137"/>
      <c r="W137"/>
      <c r="X137"/>
      <c r="Y137"/>
      <c r="Z137"/>
      <c r="AA137"/>
      <c r="AB137"/>
      <c r="AC137"/>
      <c r="AD137"/>
      <c r="AE137"/>
      <c r="AF137"/>
      <c r="AG137"/>
      <c r="AH137"/>
      <c r="AI137"/>
      <c r="AJ137"/>
      <c r="AK137"/>
      <c r="AL137"/>
      <c r="BE137"/>
    </row>
    <row r="138" spans="2:57" x14ac:dyDescent="0.3">
      <c r="B138" s="850" t="s">
        <v>4081</v>
      </c>
      <c r="C138" s="678" t="s">
        <v>4685</v>
      </c>
      <c r="D138" s="678" t="s">
        <v>4591</v>
      </c>
      <c r="E138" s="861">
        <v>47</v>
      </c>
      <c r="F138" s="861">
        <v>2</v>
      </c>
      <c r="G138" s="861">
        <v>5</v>
      </c>
      <c r="H138" s="862">
        <v>7</v>
      </c>
      <c r="I138" s="861">
        <v>8</v>
      </c>
      <c r="J138" s="861">
        <v>-2</v>
      </c>
      <c r="K138" s="863" t="s">
        <v>4046</v>
      </c>
      <c r="L138" s="522" t="s">
        <v>4095</v>
      </c>
      <c r="M138" s="861">
        <v>1</v>
      </c>
      <c r="N138" s="861">
        <v>0</v>
      </c>
      <c r="O138" s="861">
        <v>0</v>
      </c>
      <c r="P138" s="862">
        <v>0</v>
      </c>
      <c r="Q138" s="861">
        <v>0</v>
      </c>
      <c r="R138" s="864">
        <v>-1</v>
      </c>
      <c r="S138"/>
      <c r="W138"/>
      <c r="X138"/>
      <c r="Y138"/>
      <c r="Z138"/>
      <c r="AA138"/>
      <c r="AB138"/>
      <c r="AC138"/>
      <c r="AD138"/>
      <c r="AE138"/>
      <c r="AF138"/>
      <c r="AG138"/>
      <c r="AH138"/>
      <c r="AI138"/>
      <c r="AJ138"/>
      <c r="AK138"/>
      <c r="AL138"/>
      <c r="BE138"/>
    </row>
    <row r="139" spans="2:57" x14ac:dyDescent="0.3">
      <c r="B139" s="849"/>
      <c r="C139" s="661" t="s">
        <v>4594</v>
      </c>
      <c r="D139" s="661" t="s">
        <v>4595</v>
      </c>
      <c r="E139" s="857">
        <v>1</v>
      </c>
      <c r="F139" s="857">
        <v>1</v>
      </c>
      <c r="G139" s="857">
        <v>0</v>
      </c>
      <c r="H139" s="858">
        <v>1</v>
      </c>
      <c r="I139" s="857">
        <v>0</v>
      </c>
      <c r="J139" s="857">
        <v>0</v>
      </c>
      <c r="K139" s="859" t="s">
        <v>4046</v>
      </c>
      <c r="L139" s="859"/>
      <c r="M139" s="857"/>
      <c r="N139" s="857"/>
      <c r="O139" s="857"/>
      <c r="P139" s="858"/>
      <c r="Q139" s="857"/>
      <c r="R139" s="860"/>
      <c r="S139"/>
      <c r="W139"/>
      <c r="X139"/>
      <c r="Y139"/>
      <c r="Z139"/>
      <c r="AA139"/>
      <c r="AB139"/>
      <c r="AC139"/>
      <c r="AD139"/>
      <c r="AE139"/>
      <c r="AF139"/>
      <c r="AG139"/>
      <c r="AH139"/>
      <c r="AI139"/>
      <c r="AJ139"/>
      <c r="AK139"/>
      <c r="AL139"/>
      <c r="BE139"/>
    </row>
    <row r="140" spans="2:57" x14ac:dyDescent="0.3">
      <c r="B140" s="850" t="s">
        <v>4589</v>
      </c>
      <c r="C140" s="678" t="s">
        <v>4111</v>
      </c>
      <c r="D140" s="678" t="s">
        <v>4595</v>
      </c>
      <c r="E140" s="861">
        <v>39</v>
      </c>
      <c r="F140" s="861">
        <v>8</v>
      </c>
      <c r="G140" s="861">
        <v>17</v>
      </c>
      <c r="H140" s="862">
        <v>25</v>
      </c>
      <c r="I140" s="861">
        <v>26</v>
      </c>
      <c r="J140" s="861">
        <v>8</v>
      </c>
      <c r="K140" s="863" t="s">
        <v>4046</v>
      </c>
      <c r="L140" s="522" t="s">
        <v>4095</v>
      </c>
      <c r="M140" s="861">
        <v>14</v>
      </c>
      <c r="N140" s="861">
        <v>5</v>
      </c>
      <c r="O140" s="861">
        <v>0</v>
      </c>
      <c r="P140" s="862">
        <v>5</v>
      </c>
      <c r="Q140" s="861">
        <v>6</v>
      </c>
      <c r="R140" s="864">
        <v>1</v>
      </c>
      <c r="S140"/>
      <c r="W140"/>
      <c r="X140"/>
      <c r="Y140"/>
      <c r="Z140"/>
      <c r="AA140"/>
      <c r="AB140"/>
      <c r="AC140"/>
      <c r="AD140"/>
      <c r="AE140"/>
      <c r="AF140"/>
      <c r="AG140"/>
      <c r="AH140"/>
      <c r="AI140"/>
      <c r="AJ140"/>
      <c r="AK140"/>
      <c r="AL140"/>
      <c r="BE140"/>
    </row>
    <row r="141" spans="2:57" x14ac:dyDescent="0.3">
      <c r="B141" s="849"/>
      <c r="C141" s="661" t="s">
        <v>4111</v>
      </c>
      <c r="D141" s="661" t="s">
        <v>4667</v>
      </c>
      <c r="E141" s="857" t="s">
        <v>558</v>
      </c>
      <c r="F141" s="857" t="s">
        <v>558</v>
      </c>
      <c r="G141" s="857" t="s">
        <v>558</v>
      </c>
      <c r="H141" s="858" t="s">
        <v>558</v>
      </c>
      <c r="I141" s="857" t="s">
        <v>558</v>
      </c>
      <c r="J141" s="857" t="s">
        <v>558</v>
      </c>
      <c r="K141" s="859" t="s">
        <v>4046</v>
      </c>
      <c r="L141" s="527" t="s">
        <v>4668</v>
      </c>
      <c r="M141" s="857">
        <v>5</v>
      </c>
      <c r="N141" s="857">
        <v>2</v>
      </c>
      <c r="O141" s="857">
        <v>1</v>
      </c>
      <c r="P141" s="858">
        <v>3</v>
      </c>
      <c r="Q141" s="857">
        <v>0</v>
      </c>
      <c r="R141" s="860">
        <v>-4</v>
      </c>
      <c r="S141"/>
      <c r="W141"/>
      <c r="X141"/>
      <c r="Y141"/>
      <c r="Z141"/>
      <c r="AA141"/>
      <c r="AB141"/>
      <c r="AC141"/>
      <c r="AD141"/>
      <c r="AE141"/>
      <c r="AF141"/>
      <c r="AG141"/>
      <c r="AH141"/>
      <c r="AI141"/>
      <c r="AJ141"/>
      <c r="AK141"/>
      <c r="AL141"/>
      <c r="BE141"/>
    </row>
    <row r="142" spans="2:57" x14ac:dyDescent="0.3">
      <c r="B142" s="850"/>
      <c r="C142" s="678" t="s">
        <v>4654</v>
      </c>
      <c r="D142" s="678" t="s">
        <v>4591</v>
      </c>
      <c r="E142" s="861">
        <v>1</v>
      </c>
      <c r="F142" s="861">
        <v>0</v>
      </c>
      <c r="G142" s="861">
        <v>0</v>
      </c>
      <c r="H142" s="862">
        <v>0</v>
      </c>
      <c r="I142" s="861">
        <v>0</v>
      </c>
      <c r="J142" s="861">
        <v>0</v>
      </c>
      <c r="K142" s="863" t="s">
        <v>4046</v>
      </c>
      <c r="L142" s="522"/>
      <c r="M142" s="861"/>
      <c r="N142" s="861"/>
      <c r="O142" s="861"/>
      <c r="P142" s="862"/>
      <c r="Q142" s="861"/>
      <c r="R142" s="864"/>
      <c r="S142"/>
      <c r="W142"/>
      <c r="X142"/>
      <c r="Y142"/>
      <c r="Z142"/>
      <c r="AA142"/>
      <c r="AB142"/>
      <c r="AC142"/>
      <c r="AD142"/>
      <c r="AE142"/>
      <c r="AF142"/>
      <c r="AG142"/>
      <c r="AH142"/>
      <c r="AI142"/>
      <c r="AJ142"/>
      <c r="AK142"/>
      <c r="AL142"/>
      <c r="BE142"/>
    </row>
    <row r="143" spans="2:57" x14ac:dyDescent="0.3">
      <c r="B143" s="849" t="s">
        <v>5224</v>
      </c>
      <c r="C143" s="661" t="s">
        <v>4685</v>
      </c>
      <c r="D143" s="661" t="s">
        <v>4591</v>
      </c>
      <c r="E143" s="857">
        <v>21</v>
      </c>
      <c r="F143" s="857">
        <v>2</v>
      </c>
      <c r="G143" s="857">
        <v>3</v>
      </c>
      <c r="H143" s="858">
        <v>5</v>
      </c>
      <c r="I143" s="857">
        <v>14</v>
      </c>
      <c r="J143" s="857">
        <v>5</v>
      </c>
      <c r="K143" s="859" t="s">
        <v>4046</v>
      </c>
      <c r="L143" s="527"/>
      <c r="M143" s="857"/>
      <c r="N143" s="857"/>
      <c r="O143" s="857"/>
      <c r="P143" s="858"/>
      <c r="Q143" s="857"/>
      <c r="R143" s="860"/>
      <c r="S143"/>
      <c r="W143"/>
      <c r="X143"/>
      <c r="Y143"/>
      <c r="Z143"/>
      <c r="AA143"/>
      <c r="AB143"/>
      <c r="AC143"/>
      <c r="AD143"/>
      <c r="AE143"/>
      <c r="AF143"/>
      <c r="AG143"/>
      <c r="AH143"/>
      <c r="AI143"/>
      <c r="AJ143"/>
      <c r="AK143"/>
      <c r="AL143"/>
      <c r="BE143"/>
    </row>
    <row r="144" spans="2:57" ht="15" thickBot="1" x14ac:dyDescent="0.35">
      <c r="B144" s="851"/>
      <c r="C144" s="852" t="s">
        <v>5225</v>
      </c>
      <c r="D144" s="852" t="s">
        <v>4595</v>
      </c>
      <c r="E144" s="865">
        <v>8</v>
      </c>
      <c r="F144" s="865">
        <v>3</v>
      </c>
      <c r="G144" s="865">
        <v>2</v>
      </c>
      <c r="H144" s="866">
        <v>5</v>
      </c>
      <c r="I144" s="865">
        <v>2</v>
      </c>
      <c r="J144" s="865">
        <v>-5</v>
      </c>
      <c r="K144" s="867" t="s">
        <v>4046</v>
      </c>
      <c r="L144" s="867"/>
      <c r="M144" s="743"/>
      <c r="N144" s="743"/>
      <c r="O144" s="743"/>
      <c r="P144" s="743"/>
      <c r="Q144" s="743"/>
      <c r="R144" s="545"/>
      <c r="S144"/>
      <c r="W144"/>
      <c r="X144"/>
      <c r="Y144"/>
      <c r="Z144"/>
      <c r="AA144"/>
      <c r="AB144"/>
      <c r="AC144"/>
      <c r="AD144"/>
      <c r="AE144"/>
      <c r="AF144"/>
      <c r="AG144"/>
      <c r="AH144"/>
      <c r="AI144"/>
      <c r="AJ144"/>
      <c r="AK144"/>
      <c r="AL144"/>
      <c r="BE144"/>
    </row>
    <row r="145" spans="2:57" x14ac:dyDescent="0.3">
      <c r="D145" s="2"/>
      <c r="E145" s="2"/>
      <c r="F145" s="2"/>
      <c r="G145" s="2"/>
      <c r="H145" s="2"/>
      <c r="I145" s="2"/>
      <c r="J145" s="2"/>
      <c r="K145" s="2"/>
      <c r="L145" s="2"/>
      <c r="M145" s="2"/>
      <c r="N145" s="2"/>
      <c r="O145" s="2"/>
      <c r="P145" s="2"/>
      <c r="Q145" s="2"/>
      <c r="R145" s="2"/>
      <c r="S145"/>
      <c r="W145"/>
      <c r="X145"/>
      <c r="Y145"/>
      <c r="Z145"/>
      <c r="AA145"/>
      <c r="AB145"/>
      <c r="AC145"/>
      <c r="AD145"/>
      <c r="AE145"/>
      <c r="AF145"/>
      <c r="AG145"/>
      <c r="AH145"/>
      <c r="AI145"/>
      <c r="AJ145"/>
      <c r="AK145"/>
      <c r="AL145"/>
      <c r="BE145"/>
    </row>
    <row r="146" spans="2:57" x14ac:dyDescent="0.3">
      <c r="D146" s="2"/>
      <c r="E146" s="2"/>
      <c r="F146" s="2"/>
      <c r="G146" s="2"/>
      <c r="H146" s="2"/>
      <c r="I146" s="2"/>
      <c r="J146" s="2"/>
      <c r="K146" s="2"/>
      <c r="L146" s="2"/>
      <c r="M146" s="2"/>
      <c r="N146" s="2"/>
      <c r="O146" s="2"/>
      <c r="P146" s="2"/>
      <c r="Q146" s="2"/>
      <c r="R146" s="2"/>
      <c r="S146"/>
      <c r="W146"/>
      <c r="X146"/>
      <c r="Y146"/>
      <c r="Z146"/>
      <c r="AA146"/>
      <c r="AB146"/>
      <c r="AC146"/>
      <c r="AD146"/>
      <c r="AE146"/>
      <c r="AF146"/>
      <c r="AG146"/>
      <c r="AH146"/>
      <c r="AI146"/>
      <c r="AJ146"/>
      <c r="AK146"/>
      <c r="AL146"/>
      <c r="BE146"/>
    </row>
    <row r="147" spans="2:57" x14ac:dyDescent="0.3">
      <c r="D147" s="2"/>
      <c r="E147" s="2"/>
      <c r="F147" s="2"/>
      <c r="G147" s="2"/>
      <c r="H147" s="2"/>
      <c r="I147" s="2"/>
      <c r="J147" s="2"/>
      <c r="K147" s="2"/>
      <c r="L147" s="2"/>
      <c r="M147" s="2"/>
      <c r="N147" s="2"/>
      <c r="O147" s="2"/>
      <c r="P147" s="2"/>
      <c r="Q147" s="2"/>
      <c r="R147" s="2"/>
      <c r="S147"/>
      <c r="W147"/>
      <c r="X147"/>
      <c r="Y147"/>
      <c r="Z147"/>
      <c r="AA147"/>
      <c r="AB147"/>
      <c r="AC147"/>
      <c r="AD147"/>
      <c r="AE147"/>
      <c r="AF147"/>
      <c r="AG147"/>
      <c r="AH147"/>
      <c r="AI147"/>
      <c r="AJ147"/>
      <c r="AK147"/>
      <c r="AL147"/>
      <c r="BE147"/>
    </row>
    <row r="148" spans="2:57" x14ac:dyDescent="0.3">
      <c r="B148" s="273" t="s">
        <v>5282</v>
      </c>
      <c r="C148" s="2" t="s">
        <v>5289</v>
      </c>
      <c r="D148" s="491" t="s">
        <v>213</v>
      </c>
      <c r="E148" s="491" t="s">
        <v>4051</v>
      </c>
      <c r="F148" s="491" t="s">
        <v>4052</v>
      </c>
      <c r="G148" s="491" t="s">
        <v>4053</v>
      </c>
      <c r="H148" s="491" t="s">
        <v>5290</v>
      </c>
      <c r="I148" s="491" t="s">
        <v>4054</v>
      </c>
      <c r="J148" s="491" t="s">
        <v>4055</v>
      </c>
      <c r="K148" s="2"/>
      <c r="L148" s="2"/>
      <c r="M148" s="491" t="s">
        <v>213</v>
      </c>
      <c r="N148" s="491" t="s">
        <v>4051</v>
      </c>
      <c r="O148" s="491" t="s">
        <v>4052</v>
      </c>
      <c r="P148" s="491" t="s">
        <v>4053</v>
      </c>
      <c r="Q148" s="2"/>
      <c r="R148" s="491" t="s">
        <v>4054</v>
      </c>
      <c r="S148" s="491" t="s">
        <v>4055</v>
      </c>
      <c r="W148"/>
      <c r="X148"/>
      <c r="Y148"/>
      <c r="Z148"/>
      <c r="AA148"/>
      <c r="AB148"/>
      <c r="AC148"/>
      <c r="AD148"/>
      <c r="AE148"/>
      <c r="AF148"/>
      <c r="AG148"/>
      <c r="AH148"/>
      <c r="AI148"/>
      <c r="AJ148"/>
      <c r="AK148"/>
      <c r="AL148"/>
      <c r="BE148"/>
    </row>
    <row r="149" spans="2:57" x14ac:dyDescent="0.3">
      <c r="B149" s="893" t="s">
        <v>5283</v>
      </c>
      <c r="C149" s="894">
        <v>2</v>
      </c>
      <c r="D149" s="894">
        <v>15</v>
      </c>
      <c r="E149" s="894">
        <v>0</v>
      </c>
      <c r="F149" s="894">
        <v>2</v>
      </c>
      <c r="G149" s="895">
        <v>2</v>
      </c>
      <c r="H149" s="907">
        <f>G149/D149</f>
        <v>0.13333333333333333</v>
      </c>
      <c r="I149" s="894">
        <v>14</v>
      </c>
      <c r="J149" s="894">
        <v>-8</v>
      </c>
      <c r="K149" s="896" t="s">
        <v>4046</v>
      </c>
      <c r="L149" s="894">
        <v>0</v>
      </c>
      <c r="M149" s="894"/>
      <c r="N149" s="894"/>
      <c r="O149" s="894"/>
      <c r="P149" s="895"/>
      <c r="Q149" s="894"/>
      <c r="R149" s="894"/>
      <c r="S149" s="897"/>
      <c r="W149"/>
      <c r="X149"/>
      <c r="Y149"/>
      <c r="Z149"/>
      <c r="AA149"/>
      <c r="AB149"/>
      <c r="AC149"/>
      <c r="AD149"/>
      <c r="AE149"/>
      <c r="AF149"/>
      <c r="AG149"/>
      <c r="AH149"/>
      <c r="AI149"/>
      <c r="AJ149"/>
      <c r="AK149"/>
      <c r="AL149"/>
      <c r="BE149"/>
    </row>
    <row r="150" spans="2:57" ht="15" thickBot="1" x14ac:dyDescent="0.35">
      <c r="B150" s="902" t="s">
        <v>5288</v>
      </c>
      <c r="C150" s="903">
        <v>8</v>
      </c>
      <c r="D150" s="903">
        <v>450</v>
      </c>
      <c r="E150" s="903">
        <v>26</v>
      </c>
      <c r="F150" s="903">
        <v>108</v>
      </c>
      <c r="G150" s="904">
        <v>134</v>
      </c>
      <c r="H150" s="908">
        <f>G150/D150</f>
        <v>0.29777777777777775</v>
      </c>
      <c r="I150" s="903">
        <v>344</v>
      </c>
      <c r="J150" s="903">
        <v>0</v>
      </c>
      <c r="K150" s="905" t="s">
        <v>4046</v>
      </c>
      <c r="L150" s="903">
        <v>2</v>
      </c>
      <c r="M150" s="903">
        <v>5</v>
      </c>
      <c r="N150" s="903">
        <v>0</v>
      </c>
      <c r="O150" s="903">
        <v>0</v>
      </c>
      <c r="P150" s="904">
        <v>0</v>
      </c>
      <c r="Q150" s="903" t="s">
        <v>78</v>
      </c>
      <c r="R150" s="903">
        <v>2</v>
      </c>
      <c r="S150" s="906">
        <v>-6</v>
      </c>
      <c r="W150"/>
      <c r="X150"/>
      <c r="Y150"/>
      <c r="Z150"/>
      <c r="AA150"/>
      <c r="AB150"/>
      <c r="AC150"/>
      <c r="AD150"/>
      <c r="AE150"/>
      <c r="AF150"/>
      <c r="AG150"/>
      <c r="AH150"/>
      <c r="AI150"/>
      <c r="AJ150"/>
      <c r="AK150"/>
      <c r="AL150"/>
      <c r="BE150"/>
    </row>
    <row r="151" spans="2:57" x14ac:dyDescent="0.3">
      <c r="B151" s="776" t="s">
        <v>5286</v>
      </c>
      <c r="C151" s="889">
        <v>1</v>
      </c>
      <c r="D151" s="889">
        <v>9</v>
      </c>
      <c r="E151" s="889">
        <v>1</v>
      </c>
      <c r="F151" s="889">
        <v>0</v>
      </c>
      <c r="G151" s="890">
        <v>1</v>
      </c>
      <c r="H151" s="907">
        <f t="shared" ref="H151" si="33">G151/D151</f>
        <v>0.1111111111111111</v>
      </c>
      <c r="I151" s="889">
        <v>4</v>
      </c>
      <c r="J151" s="889">
        <v>-6</v>
      </c>
      <c r="K151" s="891" t="s">
        <v>4046</v>
      </c>
      <c r="L151" s="889">
        <v>1</v>
      </c>
      <c r="M151" s="889">
        <v>12</v>
      </c>
      <c r="N151" s="889">
        <v>0</v>
      </c>
      <c r="O151" s="889">
        <v>0</v>
      </c>
      <c r="P151" s="890">
        <v>0</v>
      </c>
      <c r="Q151" s="889" t="s">
        <v>78</v>
      </c>
      <c r="R151" s="889">
        <v>6</v>
      </c>
      <c r="S151" s="892">
        <v>-6</v>
      </c>
      <c r="W151"/>
      <c r="X151"/>
      <c r="Y151"/>
      <c r="Z151"/>
      <c r="AA151"/>
      <c r="AB151"/>
      <c r="AC151"/>
      <c r="AD151"/>
      <c r="AE151"/>
      <c r="AF151"/>
      <c r="AG151"/>
      <c r="AH151"/>
      <c r="AI151"/>
      <c r="AJ151"/>
      <c r="AK151"/>
      <c r="AL151"/>
      <c r="BE151"/>
    </row>
    <row r="152" spans="2:57" x14ac:dyDescent="0.3">
      <c r="B152" s="776" t="s">
        <v>5284</v>
      </c>
      <c r="C152" s="889">
        <v>3</v>
      </c>
      <c r="D152" s="889">
        <v>114</v>
      </c>
      <c r="E152" s="889">
        <v>14</v>
      </c>
      <c r="F152" s="889">
        <v>31</v>
      </c>
      <c r="G152" s="890">
        <v>45</v>
      </c>
      <c r="H152" s="907">
        <f>G152/D152</f>
        <v>0.39473684210526316</v>
      </c>
      <c r="I152" s="889">
        <v>141</v>
      </c>
      <c r="J152" s="889">
        <v>-5</v>
      </c>
      <c r="K152" s="891" t="s">
        <v>4046</v>
      </c>
      <c r="L152" s="889">
        <v>0</v>
      </c>
      <c r="M152" s="889"/>
      <c r="N152" s="889"/>
      <c r="O152" s="889"/>
      <c r="P152" s="890"/>
      <c r="Q152" s="889"/>
      <c r="R152" s="889"/>
      <c r="S152" s="892"/>
      <c r="W152"/>
      <c r="X152"/>
      <c r="Y152"/>
      <c r="Z152"/>
      <c r="AA152"/>
      <c r="AB152"/>
      <c r="AC152"/>
      <c r="AD152"/>
      <c r="AE152"/>
      <c r="AF152"/>
      <c r="AG152"/>
      <c r="AH152"/>
      <c r="AI152"/>
      <c r="AJ152"/>
      <c r="AK152"/>
      <c r="AL152"/>
      <c r="BE152"/>
    </row>
    <row r="153" spans="2:57" x14ac:dyDescent="0.3">
      <c r="B153" s="776" t="s">
        <v>5285</v>
      </c>
      <c r="C153" s="898">
        <v>1</v>
      </c>
      <c r="D153" s="898">
        <v>31</v>
      </c>
      <c r="E153" s="898">
        <v>2</v>
      </c>
      <c r="F153" s="898">
        <v>4</v>
      </c>
      <c r="G153" s="899">
        <v>6</v>
      </c>
      <c r="H153" s="907">
        <f>G153/D153</f>
        <v>0.19354838709677419</v>
      </c>
      <c r="I153" s="898">
        <v>6</v>
      </c>
      <c r="J153" s="898">
        <v>-4</v>
      </c>
      <c r="K153" s="900" t="s">
        <v>4046</v>
      </c>
      <c r="L153" s="898">
        <v>0</v>
      </c>
      <c r="M153" s="898"/>
      <c r="N153" s="898"/>
      <c r="O153" s="898"/>
      <c r="P153" s="899"/>
      <c r="Q153" s="898"/>
      <c r="R153" s="898"/>
      <c r="S153" s="901"/>
      <c r="W153"/>
      <c r="X153"/>
      <c r="Y153"/>
      <c r="Z153"/>
      <c r="AA153"/>
      <c r="AB153"/>
      <c r="AC153"/>
      <c r="AD153"/>
      <c r="AE153"/>
      <c r="AF153"/>
      <c r="AG153"/>
      <c r="AH153"/>
      <c r="AI153"/>
      <c r="AJ153"/>
      <c r="AK153"/>
      <c r="AL153"/>
      <c r="BE153"/>
    </row>
    <row r="154" spans="2:57" x14ac:dyDescent="0.3">
      <c r="D154" s="2"/>
      <c r="E154" s="2"/>
      <c r="F154" s="2"/>
      <c r="G154" s="2"/>
      <c r="H154" s="2"/>
      <c r="I154" s="2"/>
      <c r="J154" s="2"/>
      <c r="K154" s="2"/>
      <c r="L154" s="2"/>
      <c r="M154" s="2"/>
      <c r="N154" s="2"/>
      <c r="O154" s="2"/>
      <c r="P154" s="2"/>
      <c r="Q154" s="2"/>
      <c r="R154" s="2"/>
      <c r="S154"/>
      <c r="W154"/>
      <c r="X154"/>
      <c r="Y154"/>
      <c r="Z154"/>
      <c r="AA154"/>
      <c r="AB154"/>
      <c r="AC154"/>
      <c r="AD154"/>
      <c r="AE154"/>
      <c r="AF154"/>
      <c r="AG154"/>
      <c r="AH154"/>
      <c r="AI154"/>
      <c r="AJ154"/>
      <c r="AK154"/>
      <c r="AL154"/>
      <c r="BE154"/>
    </row>
    <row r="155" spans="2:57" x14ac:dyDescent="0.3">
      <c r="B155" s="273" t="s">
        <v>5291</v>
      </c>
      <c r="C155" s="2" t="s">
        <v>5289</v>
      </c>
      <c r="D155" s="491" t="s">
        <v>213</v>
      </c>
      <c r="E155" s="491" t="s">
        <v>4051</v>
      </c>
      <c r="F155" s="491" t="s">
        <v>4052</v>
      </c>
      <c r="G155" s="491" t="s">
        <v>4053</v>
      </c>
      <c r="H155" s="491" t="s">
        <v>5290</v>
      </c>
      <c r="I155" s="491" t="s">
        <v>4054</v>
      </c>
      <c r="J155" s="491" t="s">
        <v>4055</v>
      </c>
      <c r="K155" s="2"/>
      <c r="L155" s="2"/>
      <c r="M155" s="491" t="s">
        <v>213</v>
      </c>
      <c r="N155" s="491" t="s">
        <v>4051</v>
      </c>
      <c r="O155" s="491" t="s">
        <v>4052</v>
      </c>
      <c r="P155" s="491" t="s">
        <v>4053</v>
      </c>
      <c r="Q155" s="2"/>
      <c r="R155" s="491" t="s">
        <v>4054</v>
      </c>
      <c r="S155" s="491" t="s">
        <v>4055</v>
      </c>
      <c r="W155"/>
      <c r="X155"/>
      <c r="Y155"/>
      <c r="Z155"/>
      <c r="AA155"/>
      <c r="AB155"/>
      <c r="AC155"/>
      <c r="AD155"/>
      <c r="AE155"/>
      <c r="AF155"/>
      <c r="AG155"/>
      <c r="AH155"/>
      <c r="AI155"/>
      <c r="AJ155"/>
      <c r="AK155"/>
      <c r="AL155"/>
      <c r="BE155"/>
    </row>
    <row r="156" spans="2:57" x14ac:dyDescent="0.3">
      <c r="B156" s="893" t="s">
        <v>5288</v>
      </c>
      <c r="C156" s="894">
        <v>8</v>
      </c>
      <c r="D156" s="894">
        <v>163</v>
      </c>
      <c r="E156" s="894">
        <v>9</v>
      </c>
      <c r="F156" s="894">
        <v>18</v>
      </c>
      <c r="G156" s="895">
        <v>27</v>
      </c>
      <c r="H156" s="907">
        <f>G156/D156</f>
        <v>0.16564417177914109</v>
      </c>
      <c r="I156" s="894">
        <v>111</v>
      </c>
      <c r="J156" s="894">
        <v>-2</v>
      </c>
      <c r="K156" s="896" t="s">
        <v>4046</v>
      </c>
      <c r="L156" s="894">
        <v>1</v>
      </c>
      <c r="M156" s="894">
        <v>3</v>
      </c>
      <c r="N156" s="894">
        <v>0</v>
      </c>
      <c r="O156" s="894">
        <v>0</v>
      </c>
      <c r="P156" s="895">
        <v>0</v>
      </c>
      <c r="Q156" s="894" t="s">
        <v>78</v>
      </c>
      <c r="R156" s="894">
        <v>0</v>
      </c>
      <c r="S156" s="897">
        <v>2</v>
      </c>
      <c r="W156"/>
      <c r="X156"/>
      <c r="Y156"/>
      <c r="Z156"/>
      <c r="AA156"/>
      <c r="AB156"/>
      <c r="AC156"/>
      <c r="AD156"/>
      <c r="AE156"/>
      <c r="AF156"/>
      <c r="AG156"/>
      <c r="AH156"/>
      <c r="AI156"/>
      <c r="AJ156"/>
      <c r="AK156"/>
      <c r="AL156"/>
      <c r="BE156"/>
    </row>
    <row r="157" spans="2:57" x14ac:dyDescent="0.3">
      <c r="B157" s="893" t="s">
        <v>5286</v>
      </c>
      <c r="C157" s="894">
        <v>4</v>
      </c>
      <c r="D157" s="894">
        <v>135</v>
      </c>
      <c r="E157" s="894">
        <v>21</v>
      </c>
      <c r="F157" s="894">
        <v>43</v>
      </c>
      <c r="G157" s="895">
        <v>64</v>
      </c>
      <c r="H157" s="907">
        <f>G157/D157</f>
        <v>0.47407407407407409</v>
      </c>
      <c r="I157" s="894">
        <v>83</v>
      </c>
      <c r="J157" s="894">
        <v>32</v>
      </c>
      <c r="K157" s="896" t="s">
        <v>4046</v>
      </c>
      <c r="L157" s="894">
        <v>1</v>
      </c>
      <c r="M157" s="894">
        <v>12</v>
      </c>
      <c r="N157" s="894">
        <v>0</v>
      </c>
      <c r="O157" s="894">
        <v>1</v>
      </c>
      <c r="P157" s="895">
        <v>1</v>
      </c>
      <c r="Q157" s="894" t="s">
        <v>5292</v>
      </c>
      <c r="R157" s="894">
        <v>4</v>
      </c>
      <c r="S157" s="897">
        <v>-2</v>
      </c>
      <c r="W157"/>
      <c r="X157"/>
      <c r="Y157"/>
      <c r="Z157"/>
      <c r="AA157"/>
      <c r="AB157"/>
      <c r="AC157"/>
      <c r="AD157"/>
      <c r="AE157"/>
      <c r="AF157"/>
      <c r="AG157"/>
      <c r="AH157"/>
      <c r="AI157"/>
      <c r="AJ157"/>
      <c r="AK157"/>
      <c r="AL157"/>
      <c r="BE157"/>
    </row>
    <row r="158" spans="2:57" x14ac:dyDescent="0.3">
      <c r="B158" s="776" t="s">
        <v>5287</v>
      </c>
      <c r="C158" s="898">
        <v>1</v>
      </c>
      <c r="D158" s="898">
        <v>34</v>
      </c>
      <c r="E158" s="898">
        <v>2</v>
      </c>
      <c r="F158" s="898">
        <v>1</v>
      </c>
      <c r="G158" s="899">
        <v>3</v>
      </c>
      <c r="H158" s="907">
        <f>G158/D158</f>
        <v>8.8235294117647065E-2</v>
      </c>
      <c r="I158" s="898">
        <v>12</v>
      </c>
      <c r="J158" s="898">
        <v>-10</v>
      </c>
      <c r="K158" s="900" t="s">
        <v>4046</v>
      </c>
      <c r="L158" s="898">
        <v>0</v>
      </c>
      <c r="M158" s="898"/>
      <c r="N158" s="898"/>
      <c r="O158" s="898"/>
      <c r="P158" s="899"/>
      <c r="Q158" s="898"/>
      <c r="R158" s="898"/>
      <c r="S158" s="901"/>
      <c r="W158"/>
      <c r="X158"/>
      <c r="Y158"/>
      <c r="Z158"/>
      <c r="AA158"/>
      <c r="AB158"/>
      <c r="AC158"/>
      <c r="AD158"/>
      <c r="AE158"/>
      <c r="AF158"/>
      <c r="AG158"/>
      <c r="AH158"/>
      <c r="AI158"/>
      <c r="AJ158"/>
      <c r="AK158"/>
      <c r="AL158"/>
      <c r="BE158"/>
    </row>
    <row r="159" spans="2:57" x14ac:dyDescent="0.3">
      <c r="B159" s="2"/>
      <c r="D159" s="2"/>
      <c r="E159" s="2"/>
      <c r="F159" s="2"/>
      <c r="G159" s="2"/>
      <c r="H159" s="2"/>
      <c r="I159" s="2"/>
      <c r="J159" s="2"/>
      <c r="K159" s="2"/>
      <c r="L159" s="2"/>
      <c r="M159" s="2"/>
      <c r="N159" s="2"/>
      <c r="O159" s="2"/>
      <c r="P159" s="2"/>
      <c r="Q159" s="2"/>
      <c r="R159" s="2"/>
      <c r="S159"/>
      <c r="W159"/>
      <c r="X159"/>
      <c r="Y159"/>
      <c r="Z159"/>
      <c r="AA159"/>
      <c r="AB159"/>
      <c r="AC159"/>
      <c r="AD159"/>
      <c r="AE159"/>
      <c r="AF159"/>
      <c r="AG159"/>
      <c r="AH159"/>
      <c r="AI159"/>
      <c r="AJ159"/>
      <c r="AK159"/>
      <c r="AL159"/>
      <c r="BE159"/>
    </row>
    <row r="160" spans="2:57" x14ac:dyDescent="0.3">
      <c r="D160" s="2"/>
      <c r="E160" s="2"/>
      <c r="F160" s="2"/>
      <c r="G160" s="2"/>
      <c r="H160" s="2"/>
      <c r="I160" s="2"/>
      <c r="J160" s="2"/>
      <c r="K160" s="2"/>
      <c r="L160" s="2"/>
      <c r="M160" s="2"/>
      <c r="N160" s="2"/>
      <c r="O160" s="2"/>
      <c r="P160" s="2"/>
      <c r="Q160" s="2"/>
      <c r="R160" s="2"/>
      <c r="S160"/>
      <c r="W160"/>
      <c r="X160"/>
      <c r="Y160"/>
      <c r="Z160"/>
      <c r="AA160"/>
      <c r="AB160"/>
      <c r="AC160"/>
      <c r="AD160"/>
      <c r="AE160"/>
      <c r="AF160"/>
      <c r="AG160"/>
      <c r="AH160"/>
      <c r="AI160"/>
      <c r="AJ160"/>
      <c r="AK160"/>
      <c r="AL160"/>
      <c r="BE160"/>
    </row>
    <row r="161" spans="1:57" x14ac:dyDescent="0.3">
      <c r="A161" s="2"/>
      <c r="B161" s="2"/>
      <c r="C161" s="2"/>
      <c r="D161" s="2"/>
      <c r="E161" s="2"/>
      <c r="F161" s="2"/>
      <c r="G161" s="2"/>
      <c r="H161" s="2"/>
      <c r="I161" s="2"/>
      <c r="J161" s="2"/>
      <c r="K161" s="2"/>
      <c r="L161" s="2"/>
      <c r="M161" s="2"/>
      <c r="N161" s="2"/>
      <c r="O161" s="2"/>
      <c r="P161" s="2"/>
      <c r="Q161" s="2"/>
      <c r="R161" s="2"/>
      <c r="S161"/>
      <c r="T161" s="801"/>
      <c r="W161"/>
      <c r="X161"/>
      <c r="Y161"/>
      <c r="Z161"/>
      <c r="AA161"/>
      <c r="AB161"/>
      <c r="AC161"/>
      <c r="AD161"/>
      <c r="AE161"/>
      <c r="AF161"/>
      <c r="AG161"/>
      <c r="AH161"/>
      <c r="AI161"/>
      <c r="AJ161"/>
      <c r="AK161"/>
      <c r="AL161"/>
      <c r="BE161"/>
    </row>
    <row r="162" spans="1:57" ht="15" thickBot="1" x14ac:dyDescent="0.35">
      <c r="A162" s="2"/>
      <c r="B162" s="2"/>
      <c r="C162" s="2"/>
      <c r="D162" s="2"/>
      <c r="E162" s="2"/>
      <c r="F162" s="2"/>
      <c r="G162" s="2"/>
      <c r="H162" s="2"/>
      <c r="I162" s="2"/>
      <c r="J162" s="2"/>
      <c r="K162" s="2"/>
      <c r="L162" s="2"/>
      <c r="M162" s="2"/>
      <c r="N162" s="2"/>
      <c r="O162" s="2"/>
      <c r="P162" s="2"/>
      <c r="Q162" s="2"/>
      <c r="R162" s="2"/>
      <c r="S162"/>
      <c r="T162" s="802"/>
      <c r="W162"/>
      <c r="X162"/>
      <c r="Y162"/>
      <c r="Z162"/>
      <c r="AA162"/>
      <c r="AB162"/>
      <c r="AC162"/>
      <c r="AD162"/>
      <c r="AE162"/>
      <c r="AF162"/>
      <c r="AG162"/>
      <c r="AH162"/>
      <c r="AI162"/>
      <c r="AJ162"/>
      <c r="AK162"/>
      <c r="AL162"/>
      <c r="BE162"/>
    </row>
    <row r="163" spans="1:57" x14ac:dyDescent="0.3">
      <c r="A163" s="2"/>
      <c r="B163" s="491"/>
      <c r="C163" s="491"/>
      <c r="D163" s="491" t="s">
        <v>213</v>
      </c>
      <c r="E163" s="491" t="s">
        <v>4051</v>
      </c>
      <c r="F163" s="491" t="s">
        <v>4052</v>
      </c>
      <c r="G163" s="491" t="s">
        <v>4053</v>
      </c>
      <c r="H163" s="491" t="s">
        <v>4054</v>
      </c>
      <c r="I163" s="491" t="s">
        <v>4055</v>
      </c>
      <c r="J163" s="703" t="s">
        <v>4607</v>
      </c>
      <c r="K163" s="491" t="s">
        <v>4056</v>
      </c>
      <c r="L163" s="491" t="s">
        <v>213</v>
      </c>
      <c r="M163" s="491" t="s">
        <v>4051</v>
      </c>
      <c r="N163" s="491" t="s">
        <v>4052</v>
      </c>
      <c r="O163" s="491" t="s">
        <v>4053</v>
      </c>
      <c r="P163" s="491" t="s">
        <v>4054</v>
      </c>
      <c r="Q163" s="491" t="s">
        <v>4055</v>
      </c>
      <c r="R163" s="2"/>
      <c r="S163"/>
      <c r="T163" s="797"/>
      <c r="W163"/>
      <c r="X163"/>
      <c r="Y163"/>
      <c r="Z163"/>
      <c r="AA163"/>
      <c r="AB163"/>
      <c r="AC163"/>
      <c r="AD163"/>
      <c r="AE163"/>
      <c r="AF163"/>
      <c r="AG163"/>
      <c r="AH163"/>
      <c r="AI163"/>
      <c r="AJ163"/>
      <c r="AK163"/>
      <c r="AL163"/>
      <c r="BE163"/>
    </row>
    <row r="164" spans="1:57" ht="15" customHeight="1" x14ac:dyDescent="0.3">
      <c r="A164" s="491" t="s">
        <v>4057</v>
      </c>
      <c r="B164" s="492" t="s">
        <v>4044</v>
      </c>
      <c r="C164" s="492" t="s">
        <v>4045</v>
      </c>
      <c r="D164" s="62">
        <v>48</v>
      </c>
      <c r="E164" s="62">
        <v>10</v>
      </c>
      <c r="F164" s="62">
        <v>19</v>
      </c>
      <c r="G164" s="62">
        <v>29</v>
      </c>
      <c r="H164" s="62">
        <v>34</v>
      </c>
      <c r="I164" s="62">
        <v>13</v>
      </c>
      <c r="J164" s="705">
        <f>G164/D164</f>
        <v>0.60416666666666663</v>
      </c>
      <c r="K164" s="492" t="s">
        <v>4047</v>
      </c>
      <c r="L164" s="62">
        <v>14</v>
      </c>
      <c r="M164" s="62">
        <v>1</v>
      </c>
      <c r="N164" s="62">
        <v>4</v>
      </c>
      <c r="O164" s="62">
        <v>5</v>
      </c>
      <c r="P164" s="62">
        <v>26</v>
      </c>
      <c r="Q164" s="62">
        <v>4</v>
      </c>
      <c r="R164" s="2"/>
      <c r="S164" s="2"/>
      <c r="T164" s="803"/>
      <c r="W164"/>
      <c r="X164"/>
      <c r="Y164"/>
      <c r="Z164"/>
      <c r="AA164"/>
      <c r="AB164"/>
      <c r="AC164"/>
      <c r="AD164"/>
      <c r="AE164"/>
      <c r="AF164"/>
      <c r="AG164"/>
      <c r="AH164"/>
      <c r="AI164"/>
      <c r="AJ164"/>
      <c r="AK164"/>
      <c r="AL164"/>
      <c r="BE164"/>
    </row>
    <row r="165" spans="1:57" s="2" customFormat="1" x14ac:dyDescent="0.3">
      <c r="A165" s="62" t="s">
        <v>4043</v>
      </c>
      <c r="B165" s="492" t="s">
        <v>4044</v>
      </c>
      <c r="C165" s="492" t="s">
        <v>4045</v>
      </c>
      <c r="D165" s="62">
        <v>46</v>
      </c>
      <c r="E165" s="62">
        <v>8</v>
      </c>
      <c r="F165" s="62">
        <v>7</v>
      </c>
      <c r="G165" s="62">
        <v>15</v>
      </c>
      <c r="H165" s="62">
        <v>44</v>
      </c>
      <c r="I165" s="62">
        <v>-1</v>
      </c>
      <c r="J165" s="705">
        <f>G165/D165</f>
        <v>0.32608695652173914</v>
      </c>
      <c r="K165" s="62"/>
      <c r="L165" s="62"/>
      <c r="M165" s="62"/>
      <c r="N165" s="62"/>
      <c r="O165" s="62"/>
      <c r="P165" s="62"/>
      <c r="Q165" s="62"/>
      <c r="T165" s="804"/>
      <c r="U165"/>
      <c r="V165"/>
      <c r="W165"/>
      <c r="X165"/>
      <c r="Y165"/>
      <c r="Z165"/>
      <c r="AA165"/>
      <c r="AB165"/>
      <c r="AC165"/>
      <c r="AD165"/>
      <c r="AE165"/>
      <c r="AF165"/>
      <c r="AG165"/>
      <c r="AH165"/>
      <c r="AI165"/>
      <c r="AJ165"/>
      <c r="AK165"/>
    </row>
    <row r="166" spans="1:57" s="2" customFormat="1" x14ac:dyDescent="0.3">
      <c r="A166" s="62" t="s">
        <v>4048</v>
      </c>
      <c r="B166" s="493" t="s">
        <v>4050</v>
      </c>
      <c r="C166" s="492" t="s">
        <v>4045</v>
      </c>
      <c r="D166" s="62">
        <v>46</v>
      </c>
      <c r="E166" s="62">
        <v>12</v>
      </c>
      <c r="F166" s="62">
        <v>15</v>
      </c>
      <c r="G166" s="62">
        <v>27</v>
      </c>
      <c r="H166" s="62">
        <v>37</v>
      </c>
      <c r="I166" s="62">
        <v>19</v>
      </c>
      <c r="J166" s="705">
        <f>G166/D166</f>
        <v>0.58695652173913049</v>
      </c>
      <c r="K166" s="492" t="s">
        <v>4047</v>
      </c>
      <c r="L166" s="62">
        <v>3</v>
      </c>
      <c r="M166" s="62">
        <v>1</v>
      </c>
      <c r="N166" s="62">
        <v>0</v>
      </c>
      <c r="O166" s="62">
        <v>1</v>
      </c>
      <c r="P166" s="62">
        <v>0</v>
      </c>
      <c r="Q166" s="62">
        <v>1</v>
      </c>
      <c r="T166" s="805"/>
      <c r="U166"/>
      <c r="V166"/>
      <c r="W166"/>
      <c r="X166"/>
      <c r="Y166"/>
      <c r="Z166"/>
      <c r="AA166"/>
      <c r="AB166"/>
      <c r="AC166"/>
      <c r="AD166"/>
      <c r="AE166"/>
      <c r="AF166"/>
      <c r="AG166"/>
      <c r="AH166"/>
      <c r="AI166"/>
      <c r="AJ166"/>
      <c r="AK166"/>
    </row>
    <row r="167" spans="1:57" s="2" customFormat="1" ht="15" thickBot="1" x14ac:dyDescent="0.35">
      <c r="A167" s="62" t="s">
        <v>4049</v>
      </c>
      <c r="B167" s="672" t="s">
        <v>4592</v>
      </c>
      <c r="C167" s="541" t="s">
        <v>4591</v>
      </c>
      <c r="D167" s="668">
        <v>55</v>
      </c>
      <c r="E167" s="668">
        <v>9</v>
      </c>
      <c r="F167" s="668">
        <v>12</v>
      </c>
      <c r="G167" s="669">
        <v>21</v>
      </c>
      <c r="H167" s="668">
        <v>20</v>
      </c>
      <c r="I167" s="673">
        <v>-17</v>
      </c>
      <c r="J167" s="705">
        <f>G167/D167</f>
        <v>0.38181818181818183</v>
      </c>
      <c r="K167" s="492"/>
      <c r="L167" s="62"/>
      <c r="M167" s="62"/>
      <c r="N167" s="62"/>
      <c r="O167" s="62"/>
      <c r="P167" s="62"/>
      <c r="Q167" s="62"/>
      <c r="T167" s="805"/>
      <c r="U167"/>
      <c r="V167"/>
      <c r="W167"/>
      <c r="X167"/>
      <c r="Y167"/>
      <c r="Z167"/>
      <c r="AA167"/>
      <c r="AB167"/>
      <c r="AC167"/>
      <c r="AD167"/>
      <c r="AE167"/>
      <c r="AF167"/>
      <c r="AG167"/>
      <c r="AH167"/>
      <c r="AI167"/>
      <c r="AJ167"/>
      <c r="AK167"/>
    </row>
    <row r="168" spans="1:57" s="2" customFormat="1" ht="15" thickBot="1" x14ac:dyDescent="0.35">
      <c r="A168" s="667" t="s">
        <v>4589</v>
      </c>
      <c r="B168"/>
      <c r="S168"/>
      <c r="T168" s="797"/>
      <c r="U168"/>
      <c r="V168"/>
      <c r="W168"/>
      <c r="X168"/>
      <c r="Y168"/>
      <c r="Z168"/>
      <c r="AA168"/>
      <c r="AB168"/>
      <c r="AC168"/>
      <c r="AD168"/>
      <c r="AE168"/>
      <c r="AF168"/>
      <c r="AG168"/>
      <c r="AH168"/>
      <c r="AI168"/>
      <c r="AJ168"/>
      <c r="AK168"/>
    </row>
    <row r="169" spans="1:57" x14ac:dyDescent="0.3">
      <c r="A169" s="2"/>
      <c r="C169" s="2"/>
      <c r="D169" s="2"/>
      <c r="E169" s="2"/>
      <c r="F169" s="2"/>
      <c r="G169" s="2"/>
      <c r="H169" s="2"/>
      <c r="I169" s="2"/>
      <c r="J169" s="2"/>
      <c r="K169" s="2"/>
      <c r="L169" s="2"/>
      <c r="M169" s="2"/>
      <c r="N169" s="2"/>
      <c r="O169" s="2"/>
      <c r="P169" s="2"/>
      <c r="Q169" s="2"/>
      <c r="R169" s="2"/>
      <c r="S169"/>
      <c r="T169" s="803"/>
      <c r="W169"/>
      <c r="X169"/>
      <c r="Y169"/>
      <c r="Z169"/>
      <c r="AA169"/>
      <c r="AB169"/>
      <c r="AC169"/>
      <c r="AD169"/>
      <c r="AE169"/>
      <c r="AF169"/>
      <c r="AG169"/>
      <c r="AH169"/>
      <c r="AI169"/>
      <c r="AJ169"/>
      <c r="AK169"/>
      <c r="AL169"/>
      <c r="BE169"/>
    </row>
    <row r="170" spans="1:57" x14ac:dyDescent="0.3">
      <c r="A170" s="2"/>
      <c r="B170" s="491"/>
      <c r="C170" s="491"/>
      <c r="D170" s="491" t="s">
        <v>213</v>
      </c>
      <c r="E170" s="491" t="s">
        <v>4051</v>
      </c>
      <c r="F170" s="491" t="s">
        <v>4052</v>
      </c>
      <c r="G170" s="491" t="s">
        <v>4053</v>
      </c>
      <c r="H170" s="491" t="s">
        <v>4054</v>
      </c>
      <c r="I170" s="491" t="s">
        <v>4055</v>
      </c>
      <c r="J170" s="703" t="s">
        <v>4607</v>
      </c>
      <c r="K170" s="491" t="s">
        <v>4056</v>
      </c>
      <c r="L170" s="491" t="s">
        <v>213</v>
      </c>
      <c r="M170" s="491" t="s">
        <v>4051</v>
      </c>
      <c r="N170" s="491" t="s">
        <v>4052</v>
      </c>
      <c r="O170" s="491" t="s">
        <v>4053</v>
      </c>
      <c r="P170" s="491" t="s">
        <v>4054</v>
      </c>
      <c r="Q170" s="491" t="s">
        <v>4055</v>
      </c>
      <c r="R170" s="2"/>
      <c r="S170"/>
      <c r="T170" s="804"/>
      <c r="W170"/>
      <c r="X170"/>
      <c r="Y170"/>
      <c r="Z170"/>
      <c r="AA170"/>
      <c r="AB170"/>
      <c r="AC170"/>
      <c r="AD170"/>
      <c r="AE170"/>
      <c r="AF170"/>
      <c r="AG170"/>
      <c r="AH170"/>
      <c r="AI170"/>
      <c r="AJ170"/>
      <c r="AK170"/>
      <c r="AL170"/>
      <c r="BE170"/>
    </row>
    <row r="171" spans="1:57" ht="15" customHeight="1" x14ac:dyDescent="0.3">
      <c r="A171" s="491" t="s">
        <v>4058</v>
      </c>
      <c r="B171" s="492" t="s">
        <v>4059</v>
      </c>
      <c r="C171" s="492" t="s">
        <v>4045</v>
      </c>
      <c r="D171" s="62">
        <v>52</v>
      </c>
      <c r="E171" s="62">
        <v>11</v>
      </c>
      <c r="F171" s="62">
        <v>14</v>
      </c>
      <c r="G171" s="62">
        <v>25</v>
      </c>
      <c r="H171" s="62">
        <v>8</v>
      </c>
      <c r="I171" s="62">
        <v>-7</v>
      </c>
      <c r="J171" s="705">
        <f>G171/D171</f>
        <v>0.48076923076923078</v>
      </c>
      <c r="K171" s="492" t="s">
        <v>4047</v>
      </c>
      <c r="L171" s="62">
        <v>4</v>
      </c>
      <c r="M171" s="62">
        <v>1</v>
      </c>
      <c r="N171" s="62">
        <v>0</v>
      </c>
      <c r="O171" s="62">
        <v>1</v>
      </c>
      <c r="P171" s="62">
        <v>0</v>
      </c>
      <c r="Q171" s="62">
        <v>-2</v>
      </c>
      <c r="R171" s="2"/>
      <c r="S171" s="2"/>
      <c r="T171" s="805"/>
      <c r="W171"/>
      <c r="X171"/>
      <c r="Y171"/>
      <c r="Z171"/>
      <c r="AA171"/>
      <c r="AB171"/>
      <c r="AC171"/>
      <c r="AD171"/>
      <c r="AE171"/>
      <c r="AF171"/>
      <c r="AG171"/>
      <c r="AH171"/>
      <c r="AI171"/>
      <c r="AJ171"/>
      <c r="AK171"/>
      <c r="AL171"/>
      <c r="BE171"/>
    </row>
    <row r="172" spans="1:57" s="2" customFormat="1" x14ac:dyDescent="0.3">
      <c r="A172" s="62" t="s">
        <v>4043</v>
      </c>
      <c r="B172" s="492" t="s">
        <v>4060</v>
      </c>
      <c r="C172" s="492" t="s">
        <v>4061</v>
      </c>
      <c r="D172" s="62">
        <v>4</v>
      </c>
      <c r="E172" s="62">
        <v>1</v>
      </c>
      <c r="F172" s="62">
        <v>0</v>
      </c>
      <c r="G172" s="62">
        <v>1</v>
      </c>
      <c r="H172" s="62">
        <v>0</v>
      </c>
      <c r="I172" s="62"/>
      <c r="J172" s="705"/>
      <c r="K172" s="492"/>
      <c r="L172" s="62"/>
      <c r="M172" s="62"/>
      <c r="N172" s="62"/>
      <c r="O172" s="62"/>
      <c r="P172" s="62"/>
      <c r="Q172" s="62"/>
      <c r="T172" s="805"/>
      <c r="U172"/>
      <c r="V172"/>
      <c r="W172"/>
      <c r="X172"/>
      <c r="Y172"/>
      <c r="Z172"/>
      <c r="AA172"/>
      <c r="AB172"/>
      <c r="AC172"/>
      <c r="AD172"/>
      <c r="AE172"/>
      <c r="AF172"/>
      <c r="AG172"/>
      <c r="AH172"/>
      <c r="AI172"/>
      <c r="AJ172"/>
      <c r="AK172"/>
    </row>
    <row r="173" spans="1:57" s="2" customFormat="1" x14ac:dyDescent="0.3">
      <c r="A173" s="62" t="s">
        <v>4043</v>
      </c>
      <c r="B173" s="492" t="s">
        <v>4059</v>
      </c>
      <c r="C173" s="492" t="s">
        <v>4045</v>
      </c>
      <c r="D173" s="62">
        <v>49</v>
      </c>
      <c r="E173" s="62">
        <v>10</v>
      </c>
      <c r="F173" s="62">
        <v>19</v>
      </c>
      <c r="G173" s="62">
        <v>29</v>
      </c>
      <c r="H173" s="62">
        <v>8</v>
      </c>
      <c r="I173" s="62">
        <v>16</v>
      </c>
      <c r="J173" s="705">
        <f>G173/D173</f>
        <v>0.59183673469387754</v>
      </c>
      <c r="K173" s="62"/>
      <c r="L173" s="62"/>
      <c r="M173" s="62"/>
      <c r="N173" s="62"/>
      <c r="O173" s="62"/>
      <c r="P173" s="62"/>
      <c r="Q173" s="62"/>
      <c r="T173" s="805"/>
      <c r="U173"/>
      <c r="V173"/>
      <c r="W173"/>
      <c r="X173"/>
      <c r="Y173"/>
      <c r="Z173"/>
      <c r="AA173"/>
      <c r="AB173"/>
      <c r="AC173"/>
      <c r="AD173"/>
      <c r="AE173"/>
      <c r="AF173"/>
      <c r="AG173"/>
      <c r="AH173"/>
      <c r="AI173"/>
      <c r="AJ173"/>
      <c r="AK173"/>
    </row>
    <row r="174" spans="1:57" s="2" customFormat="1" x14ac:dyDescent="0.3">
      <c r="A174" s="62" t="s">
        <v>4048</v>
      </c>
      <c r="B174" s="492" t="s">
        <v>4060</v>
      </c>
      <c r="C174" s="492" t="s">
        <v>4061</v>
      </c>
      <c r="D174" s="62">
        <v>3</v>
      </c>
      <c r="E174" s="62">
        <v>1</v>
      </c>
      <c r="F174" s="62">
        <v>0</v>
      </c>
      <c r="G174" s="62">
        <v>1</v>
      </c>
      <c r="H174" s="62">
        <v>2</v>
      </c>
      <c r="I174" s="62">
        <v>-3</v>
      </c>
      <c r="J174" s="705"/>
      <c r="K174" s="492"/>
      <c r="L174" s="62"/>
      <c r="M174" s="62"/>
      <c r="N174" s="62"/>
      <c r="O174" s="62"/>
      <c r="P174" s="62"/>
      <c r="Q174" s="62"/>
      <c r="T174" s="805"/>
      <c r="U174"/>
      <c r="V174"/>
      <c r="W174"/>
      <c r="X174"/>
      <c r="Y174"/>
      <c r="Z174"/>
      <c r="AA174"/>
      <c r="AB174"/>
      <c r="AC174"/>
      <c r="AD174"/>
      <c r="AE174"/>
      <c r="AF174"/>
      <c r="AG174"/>
      <c r="AH174"/>
      <c r="AI174"/>
      <c r="AJ174"/>
      <c r="AK174"/>
    </row>
    <row r="175" spans="1:57" s="2" customFormat="1" x14ac:dyDescent="0.3">
      <c r="A175" s="62" t="s">
        <v>4048</v>
      </c>
      <c r="B175" s="492" t="s">
        <v>4059</v>
      </c>
      <c r="C175" s="492" t="s">
        <v>4045</v>
      </c>
      <c r="D175" s="62">
        <v>43</v>
      </c>
      <c r="E175" s="62">
        <v>12</v>
      </c>
      <c r="F175" s="62">
        <v>9</v>
      </c>
      <c r="G175" s="62">
        <v>21</v>
      </c>
      <c r="H175" s="62">
        <v>12</v>
      </c>
      <c r="I175" s="62">
        <v>4</v>
      </c>
      <c r="J175" s="705">
        <f>G175/D175</f>
        <v>0.48837209302325579</v>
      </c>
      <c r="K175" s="492" t="s">
        <v>4047</v>
      </c>
      <c r="L175" s="62">
        <v>11</v>
      </c>
      <c r="M175" s="62">
        <v>0</v>
      </c>
      <c r="N175" s="62">
        <v>1</v>
      </c>
      <c r="O175" s="62">
        <v>1</v>
      </c>
      <c r="P175" s="62">
        <v>4</v>
      </c>
      <c r="Q175" s="62">
        <v>2</v>
      </c>
      <c r="T175" s="805"/>
      <c r="U175"/>
      <c r="V175"/>
      <c r="W175"/>
      <c r="X175"/>
      <c r="Y175"/>
      <c r="Z175"/>
      <c r="AA175"/>
      <c r="AB175"/>
      <c r="AC175"/>
      <c r="AD175"/>
      <c r="AE175"/>
      <c r="AF175"/>
      <c r="AG175"/>
      <c r="AH175"/>
      <c r="AI175"/>
      <c r="AJ175"/>
      <c r="AK175"/>
    </row>
    <row r="176" spans="1:57" s="2" customFormat="1" ht="15" thickBot="1" x14ac:dyDescent="0.35">
      <c r="A176" s="62" t="s">
        <v>4049</v>
      </c>
      <c r="B176" s="541" t="s">
        <v>4590</v>
      </c>
      <c r="C176" s="541" t="s">
        <v>4591</v>
      </c>
      <c r="D176" s="668">
        <v>51</v>
      </c>
      <c r="E176" s="668">
        <v>11</v>
      </c>
      <c r="F176" s="668">
        <v>12</v>
      </c>
      <c r="G176" s="669">
        <v>23</v>
      </c>
      <c r="H176" s="668">
        <v>10</v>
      </c>
      <c r="I176" s="673">
        <v>3</v>
      </c>
      <c r="J176" s="705">
        <f>G176/D176</f>
        <v>0.45098039215686275</v>
      </c>
      <c r="K176" s="492"/>
      <c r="L176" s="62"/>
      <c r="M176" s="62"/>
      <c r="N176" s="62"/>
      <c r="O176" s="62"/>
      <c r="P176" s="62"/>
      <c r="Q176" s="62"/>
      <c r="T176" s="805"/>
      <c r="U176"/>
      <c r="V176"/>
      <c r="W176"/>
      <c r="X176"/>
      <c r="Y176"/>
      <c r="Z176"/>
      <c r="AA176"/>
      <c r="AB176"/>
      <c r="AC176"/>
      <c r="AD176"/>
      <c r="AE176"/>
      <c r="AF176"/>
      <c r="AG176"/>
      <c r="AH176"/>
      <c r="AI176"/>
      <c r="AJ176"/>
      <c r="AK176"/>
    </row>
    <row r="177" spans="1:57" s="2" customFormat="1" ht="15" thickBot="1" x14ac:dyDescent="0.35">
      <c r="A177" s="667" t="s">
        <v>4589</v>
      </c>
      <c r="T177" s="797"/>
      <c r="U177"/>
      <c r="V177"/>
      <c r="W177"/>
      <c r="X177"/>
      <c r="Y177"/>
      <c r="Z177"/>
      <c r="AA177"/>
      <c r="AB177"/>
      <c r="AC177"/>
      <c r="AD177"/>
      <c r="AE177"/>
      <c r="AF177"/>
      <c r="AG177"/>
      <c r="AH177"/>
      <c r="AI177"/>
      <c r="AJ177"/>
      <c r="AK177"/>
    </row>
    <row r="178" spans="1:57" s="2" customFormat="1" x14ac:dyDescent="0.3">
      <c r="B178"/>
      <c r="S178"/>
      <c r="T178" s="803"/>
      <c r="U178"/>
      <c r="V178"/>
      <c r="W178"/>
      <c r="X178"/>
      <c r="Y178"/>
      <c r="Z178"/>
      <c r="AA178"/>
      <c r="AB178"/>
      <c r="AC178"/>
      <c r="AD178"/>
      <c r="AE178"/>
      <c r="AF178"/>
      <c r="AG178"/>
      <c r="AH178"/>
      <c r="AI178"/>
      <c r="AJ178"/>
      <c r="AK178"/>
    </row>
    <row r="179" spans="1:57" x14ac:dyDescent="0.3">
      <c r="A179" s="2"/>
      <c r="B179" s="491"/>
      <c r="C179" s="491"/>
      <c r="D179" s="491" t="s">
        <v>213</v>
      </c>
      <c r="E179" s="491" t="s">
        <v>4051</v>
      </c>
      <c r="F179" s="491" t="s">
        <v>4052</v>
      </c>
      <c r="G179" s="491" t="s">
        <v>4053</v>
      </c>
      <c r="H179" s="491" t="s">
        <v>4054</v>
      </c>
      <c r="I179" s="491" t="s">
        <v>4055</v>
      </c>
      <c r="J179" s="703" t="s">
        <v>4607</v>
      </c>
      <c r="K179" s="491" t="s">
        <v>4056</v>
      </c>
      <c r="L179" s="491" t="s">
        <v>213</v>
      </c>
      <c r="M179" s="491" t="s">
        <v>4051</v>
      </c>
      <c r="N179" s="491" t="s">
        <v>4052</v>
      </c>
      <c r="O179" s="491" t="s">
        <v>4053</v>
      </c>
      <c r="P179" s="491" t="s">
        <v>4054</v>
      </c>
      <c r="Q179" s="491" t="s">
        <v>4055</v>
      </c>
      <c r="R179" s="2"/>
      <c r="S179"/>
      <c r="T179" s="804"/>
      <c r="W179"/>
      <c r="X179"/>
      <c r="Y179"/>
      <c r="Z179"/>
      <c r="AA179"/>
      <c r="AB179"/>
      <c r="AC179"/>
      <c r="AD179"/>
      <c r="AE179"/>
      <c r="AF179"/>
      <c r="AG179"/>
      <c r="AH179"/>
      <c r="AI179"/>
      <c r="AJ179"/>
      <c r="AK179"/>
      <c r="AL179"/>
      <c r="BE179"/>
    </row>
    <row r="180" spans="1:57" ht="15" customHeight="1" x14ac:dyDescent="0.3">
      <c r="A180" s="491" t="s">
        <v>4062</v>
      </c>
      <c r="B180" s="492" t="s">
        <v>4065</v>
      </c>
      <c r="C180" s="492" t="s">
        <v>4066</v>
      </c>
      <c r="D180" s="62">
        <v>60</v>
      </c>
      <c r="E180" s="62">
        <v>10</v>
      </c>
      <c r="F180" s="62">
        <v>8</v>
      </c>
      <c r="G180" s="62">
        <v>18</v>
      </c>
      <c r="H180" s="62">
        <v>39</v>
      </c>
      <c r="I180" s="62">
        <v>-29</v>
      </c>
      <c r="J180" s="705"/>
      <c r="K180" s="62"/>
      <c r="L180" s="62"/>
      <c r="M180" s="62"/>
      <c r="N180" s="62"/>
      <c r="O180" s="62"/>
      <c r="P180" s="62"/>
      <c r="Q180" s="62"/>
      <c r="R180" s="2"/>
      <c r="S180"/>
      <c r="T180" s="805"/>
      <c r="W180"/>
      <c r="X180"/>
      <c r="Y180"/>
      <c r="Z180"/>
      <c r="AA180"/>
      <c r="AB180"/>
      <c r="AC180"/>
      <c r="AD180"/>
      <c r="AE180"/>
      <c r="AF180"/>
      <c r="AG180"/>
      <c r="AH180"/>
      <c r="AI180"/>
      <c r="AJ180"/>
      <c r="AK180"/>
      <c r="AL180"/>
      <c r="BE180"/>
    </row>
    <row r="181" spans="1:57" x14ac:dyDescent="0.3">
      <c r="A181" s="62" t="s">
        <v>4043</v>
      </c>
      <c r="B181" s="492" t="s">
        <v>4067</v>
      </c>
      <c r="C181" s="492" t="s">
        <v>4063</v>
      </c>
      <c r="D181" s="62">
        <v>1</v>
      </c>
      <c r="E181" s="62">
        <v>0</v>
      </c>
      <c r="F181" s="62">
        <v>0</v>
      </c>
      <c r="G181" s="62">
        <v>0</v>
      </c>
      <c r="H181" s="62">
        <v>0</v>
      </c>
      <c r="I181" s="62">
        <v>0</v>
      </c>
      <c r="J181" s="705"/>
      <c r="K181" s="62"/>
      <c r="L181" s="62"/>
      <c r="M181" s="62"/>
      <c r="N181" s="62"/>
      <c r="O181" s="62"/>
      <c r="P181" s="62"/>
      <c r="Q181" s="62"/>
      <c r="R181" s="2"/>
      <c r="S181"/>
      <c r="T181" s="805"/>
      <c r="W181"/>
      <c r="X181"/>
      <c r="Y181"/>
      <c r="Z181"/>
      <c r="AA181"/>
      <c r="AB181"/>
      <c r="AC181"/>
      <c r="AD181"/>
      <c r="AE181"/>
      <c r="AF181"/>
      <c r="AG181"/>
      <c r="AH181"/>
      <c r="AI181"/>
      <c r="AJ181"/>
      <c r="AK181"/>
      <c r="AL181"/>
      <c r="BE181"/>
    </row>
    <row r="182" spans="1:57" x14ac:dyDescent="0.3">
      <c r="A182" s="62" t="s">
        <v>4043</v>
      </c>
      <c r="B182" s="492" t="s">
        <v>4063</v>
      </c>
      <c r="C182" s="492" t="s">
        <v>4064</v>
      </c>
      <c r="D182" s="62">
        <v>7</v>
      </c>
      <c r="E182" s="62">
        <v>5</v>
      </c>
      <c r="F182" s="62">
        <v>0</v>
      </c>
      <c r="G182" s="62">
        <v>5</v>
      </c>
      <c r="H182" s="62">
        <v>0</v>
      </c>
      <c r="I182" s="62">
        <v>3</v>
      </c>
      <c r="J182" s="705"/>
      <c r="K182" s="62"/>
      <c r="L182" s="62"/>
      <c r="M182" s="62"/>
      <c r="N182" s="62"/>
      <c r="O182" s="62"/>
      <c r="P182" s="62"/>
      <c r="Q182" s="62"/>
      <c r="R182" s="2"/>
      <c r="S182"/>
      <c r="T182" s="805"/>
      <c r="W182"/>
      <c r="X182"/>
      <c r="Y182"/>
      <c r="Z182"/>
      <c r="AA182"/>
      <c r="AB182"/>
      <c r="AC182"/>
      <c r="AD182"/>
      <c r="AE182"/>
      <c r="AF182"/>
      <c r="AG182"/>
      <c r="AH182"/>
      <c r="AI182"/>
      <c r="AJ182"/>
      <c r="AK182"/>
      <c r="AL182"/>
      <c r="BE182"/>
    </row>
    <row r="183" spans="1:57" x14ac:dyDescent="0.3">
      <c r="A183" s="62" t="s">
        <v>4043</v>
      </c>
      <c r="B183" s="492" t="s">
        <v>4060</v>
      </c>
      <c r="C183" s="492" t="s">
        <v>4061</v>
      </c>
      <c r="D183" s="62">
        <v>18</v>
      </c>
      <c r="E183" s="62">
        <v>7</v>
      </c>
      <c r="F183" s="62">
        <v>3</v>
      </c>
      <c r="G183" s="62">
        <v>10</v>
      </c>
      <c r="H183" s="62">
        <v>8</v>
      </c>
      <c r="I183" s="62"/>
      <c r="J183" s="705"/>
      <c r="K183" s="2"/>
      <c r="L183" s="2"/>
      <c r="M183" s="2"/>
      <c r="N183" s="2"/>
      <c r="O183" s="2"/>
      <c r="P183" s="2"/>
      <c r="Q183" s="2"/>
      <c r="R183" s="2"/>
      <c r="S183"/>
      <c r="T183" s="805"/>
      <c r="W183"/>
      <c r="X183"/>
      <c r="Y183"/>
      <c r="Z183"/>
      <c r="AA183"/>
      <c r="AB183"/>
      <c r="AC183"/>
      <c r="AD183"/>
      <c r="AE183"/>
      <c r="AF183"/>
      <c r="AG183"/>
      <c r="AH183"/>
      <c r="AI183"/>
      <c r="AJ183"/>
      <c r="AK183"/>
      <c r="AL183"/>
      <c r="BE183"/>
    </row>
    <row r="184" spans="1:57" x14ac:dyDescent="0.3">
      <c r="A184" s="62" t="s">
        <v>4043</v>
      </c>
      <c r="B184" s="492" t="s">
        <v>4059</v>
      </c>
      <c r="C184" s="492" t="s">
        <v>4045</v>
      </c>
      <c r="D184" s="62">
        <v>52</v>
      </c>
      <c r="E184" s="62">
        <v>9</v>
      </c>
      <c r="F184" s="62">
        <v>7</v>
      </c>
      <c r="G184" s="62">
        <v>16</v>
      </c>
      <c r="H184" s="62">
        <v>32</v>
      </c>
      <c r="I184" s="62">
        <v>9</v>
      </c>
      <c r="J184" s="705">
        <f>G184/D184</f>
        <v>0.30769230769230771</v>
      </c>
      <c r="K184" s="62"/>
      <c r="L184" s="62"/>
      <c r="M184" s="62"/>
      <c r="N184" s="62"/>
      <c r="O184" s="62"/>
      <c r="P184" s="62"/>
      <c r="Q184" s="62"/>
      <c r="R184" s="2"/>
      <c r="S184"/>
      <c r="T184" s="805"/>
      <c r="W184"/>
      <c r="X184"/>
      <c r="Y184"/>
      <c r="Z184"/>
      <c r="AA184"/>
      <c r="AB184"/>
      <c r="AC184"/>
      <c r="AD184"/>
      <c r="AE184"/>
      <c r="AF184"/>
      <c r="AG184"/>
      <c r="AH184"/>
      <c r="AI184"/>
      <c r="AJ184"/>
      <c r="AK184"/>
      <c r="AL184"/>
      <c r="BE184"/>
    </row>
    <row r="185" spans="1:57" x14ac:dyDescent="0.3">
      <c r="A185" s="62" t="s">
        <v>4048</v>
      </c>
      <c r="B185" s="492" t="s">
        <v>4060</v>
      </c>
      <c r="C185" s="492" t="s">
        <v>4061</v>
      </c>
      <c r="D185" s="62">
        <v>3</v>
      </c>
      <c r="E185" s="62">
        <v>1</v>
      </c>
      <c r="F185" s="62">
        <v>1</v>
      </c>
      <c r="G185" s="62">
        <v>2</v>
      </c>
      <c r="H185" s="62">
        <v>0</v>
      </c>
      <c r="I185" s="62">
        <v>1</v>
      </c>
      <c r="J185" s="705"/>
      <c r="K185" s="492"/>
      <c r="L185" s="62"/>
      <c r="M185" s="62"/>
      <c r="N185" s="62"/>
      <c r="O185" s="62"/>
      <c r="P185" s="62"/>
      <c r="Q185" s="62"/>
      <c r="R185" s="2"/>
      <c r="S185"/>
      <c r="T185" s="805"/>
      <c r="W185"/>
      <c r="X185"/>
      <c r="Y185"/>
      <c r="Z185"/>
      <c r="AA185"/>
      <c r="AB185"/>
      <c r="AC185"/>
      <c r="AD185"/>
      <c r="AE185"/>
      <c r="AF185"/>
      <c r="AG185"/>
      <c r="AH185"/>
      <c r="AI185"/>
      <c r="AJ185"/>
      <c r="AK185"/>
      <c r="AL185"/>
      <c r="BE185"/>
    </row>
    <row r="186" spans="1:57" x14ac:dyDescent="0.3">
      <c r="A186" s="62" t="s">
        <v>4048</v>
      </c>
      <c r="B186" s="492" t="s">
        <v>4059</v>
      </c>
      <c r="C186" s="492" t="s">
        <v>4045</v>
      </c>
      <c r="D186" s="62">
        <v>52</v>
      </c>
      <c r="E186" s="62">
        <v>9</v>
      </c>
      <c r="F186" s="62">
        <v>10</v>
      </c>
      <c r="G186" s="62">
        <v>19</v>
      </c>
      <c r="H186" s="62">
        <v>30</v>
      </c>
      <c r="I186" s="62">
        <v>20</v>
      </c>
      <c r="J186" s="705">
        <f>G186/D186</f>
        <v>0.36538461538461536</v>
      </c>
      <c r="K186" s="492" t="s">
        <v>4047</v>
      </c>
      <c r="L186" s="62">
        <v>11</v>
      </c>
      <c r="M186" s="62">
        <v>0</v>
      </c>
      <c r="N186" s="62">
        <v>1</v>
      </c>
      <c r="O186" s="62">
        <v>1</v>
      </c>
      <c r="P186" s="62">
        <v>10</v>
      </c>
      <c r="Q186" s="62">
        <v>3</v>
      </c>
      <c r="R186" s="2"/>
      <c r="S186"/>
      <c r="W186"/>
      <c r="X186"/>
      <c r="Y186"/>
      <c r="Z186"/>
      <c r="AA186"/>
      <c r="AB186"/>
      <c r="AC186"/>
      <c r="AD186"/>
      <c r="AE186"/>
      <c r="AF186"/>
      <c r="AG186"/>
      <c r="AH186"/>
      <c r="AI186"/>
      <c r="AJ186"/>
      <c r="AK186"/>
      <c r="AL186"/>
      <c r="BE186"/>
    </row>
    <row r="187" spans="1:57" x14ac:dyDescent="0.3">
      <c r="A187" s="62" t="s">
        <v>4049</v>
      </c>
      <c r="B187" s="492" t="s">
        <v>4063</v>
      </c>
      <c r="C187" s="492" t="s">
        <v>4064</v>
      </c>
      <c r="D187" s="62">
        <v>7</v>
      </c>
      <c r="E187" s="62">
        <v>1</v>
      </c>
      <c r="F187" s="62">
        <v>0</v>
      </c>
      <c r="G187" s="62">
        <v>1</v>
      </c>
      <c r="H187" s="62">
        <v>2</v>
      </c>
      <c r="I187" s="62">
        <v>-5</v>
      </c>
      <c r="J187" s="705"/>
      <c r="K187" s="62"/>
      <c r="L187" s="62"/>
      <c r="M187" s="62"/>
      <c r="N187" s="62"/>
      <c r="O187" s="62"/>
      <c r="P187" s="62"/>
      <c r="Q187" s="62"/>
      <c r="R187" s="2"/>
      <c r="S187"/>
      <c r="W187"/>
      <c r="X187"/>
      <c r="Y187"/>
      <c r="Z187"/>
      <c r="AA187"/>
      <c r="AB187"/>
      <c r="AC187"/>
      <c r="AD187"/>
      <c r="AE187"/>
      <c r="AF187"/>
      <c r="AG187"/>
      <c r="AH187"/>
      <c r="AI187"/>
      <c r="AJ187"/>
      <c r="AK187"/>
      <c r="AL187"/>
      <c r="BE187"/>
    </row>
    <row r="188" spans="1:57" ht="15" thickBot="1" x14ac:dyDescent="0.35">
      <c r="A188" s="62" t="s">
        <v>4049</v>
      </c>
      <c r="B188" s="541" t="s">
        <v>4590</v>
      </c>
      <c r="C188" s="541" t="s">
        <v>4591</v>
      </c>
      <c r="D188" s="668">
        <v>35</v>
      </c>
      <c r="E188" s="668">
        <v>7</v>
      </c>
      <c r="F188" s="668">
        <v>6</v>
      </c>
      <c r="G188" s="669">
        <v>13</v>
      </c>
      <c r="H188" s="668">
        <v>16</v>
      </c>
      <c r="I188" s="673">
        <v>-3</v>
      </c>
      <c r="J188" s="705">
        <f>G188/D188</f>
        <v>0.37142857142857144</v>
      </c>
      <c r="K188" s="62"/>
      <c r="L188" s="62"/>
      <c r="M188" s="62"/>
      <c r="N188" s="62"/>
      <c r="O188" s="62"/>
      <c r="P188" s="62"/>
      <c r="Q188" s="62"/>
      <c r="R188" s="2"/>
      <c r="S188"/>
      <c r="W188"/>
      <c r="X188"/>
      <c r="Y188"/>
      <c r="Z188"/>
      <c r="AA188"/>
      <c r="AB188"/>
      <c r="AC188"/>
      <c r="AD188"/>
      <c r="AE188"/>
      <c r="AF188"/>
      <c r="AG188"/>
      <c r="AH188"/>
      <c r="AI188"/>
      <c r="AJ188"/>
      <c r="AK188"/>
      <c r="AL188"/>
      <c r="BE188"/>
    </row>
    <row r="189" spans="1:57" ht="15" thickBot="1" x14ac:dyDescent="0.35">
      <c r="A189" s="667" t="s">
        <v>4589</v>
      </c>
      <c r="B189" s="676"/>
      <c r="C189" s="676"/>
      <c r="D189" s="699"/>
      <c r="E189" s="699"/>
      <c r="F189" s="699"/>
      <c r="G189" s="700"/>
      <c r="H189" s="699"/>
      <c r="I189" s="699"/>
      <c r="J189" s="705"/>
      <c r="K189" s="62"/>
      <c r="L189" s="62"/>
      <c r="M189" s="62"/>
      <c r="N189" s="62"/>
      <c r="O189" s="62"/>
      <c r="P189" s="62"/>
      <c r="Q189" s="62"/>
      <c r="R189" s="2"/>
      <c r="S189"/>
      <c r="W189"/>
      <c r="X189"/>
      <c r="Y189"/>
      <c r="Z189"/>
      <c r="AA189"/>
      <c r="AB189"/>
      <c r="AC189"/>
      <c r="AD189"/>
      <c r="AE189"/>
      <c r="AF189"/>
      <c r="AG189"/>
      <c r="AH189"/>
      <c r="AI189"/>
      <c r="AJ189"/>
      <c r="AK189"/>
      <c r="AL189"/>
      <c r="BE189"/>
    </row>
    <row r="190" spans="1:57" ht="15" thickBot="1" x14ac:dyDescent="0.35">
      <c r="A190" s="699"/>
      <c r="C190" s="2"/>
      <c r="D190" s="2"/>
      <c r="E190" s="2"/>
      <c r="F190" s="2"/>
      <c r="G190" s="2"/>
      <c r="H190" s="2"/>
      <c r="I190" s="2"/>
      <c r="J190" s="2"/>
      <c r="K190" s="2"/>
      <c r="L190" s="2"/>
      <c r="M190" s="2"/>
      <c r="N190" s="2"/>
      <c r="O190" s="2"/>
      <c r="P190" s="2"/>
      <c r="Q190" s="2"/>
      <c r="R190" s="2"/>
      <c r="S190"/>
      <c r="W190"/>
      <c r="X190"/>
      <c r="Y190"/>
      <c r="Z190"/>
      <c r="AA190"/>
      <c r="AB190"/>
      <c r="AC190"/>
      <c r="AD190"/>
      <c r="AE190"/>
      <c r="AF190"/>
      <c r="AG190"/>
      <c r="AH190"/>
      <c r="AI190"/>
      <c r="AJ190"/>
      <c r="AK190"/>
      <c r="AL190"/>
      <c r="BE190"/>
    </row>
    <row r="191" spans="1:57" ht="15" thickBot="1" x14ac:dyDescent="0.35">
      <c r="C191" s="2"/>
      <c r="D191" s="491" t="s">
        <v>213</v>
      </c>
      <c r="E191" s="491" t="s">
        <v>4051</v>
      </c>
      <c r="F191" s="491" t="s">
        <v>4052</v>
      </c>
      <c r="G191" s="491" t="s">
        <v>4053</v>
      </c>
      <c r="H191" s="491" t="s">
        <v>4054</v>
      </c>
      <c r="I191" s="491" t="s">
        <v>4055</v>
      </c>
      <c r="J191" s="488" t="s">
        <v>126</v>
      </c>
      <c r="K191" s="2"/>
      <c r="L191" s="2"/>
      <c r="M191" s="2"/>
      <c r="N191" s="2"/>
      <c r="O191" s="2"/>
      <c r="P191" s="2"/>
      <c r="Q191" s="2"/>
      <c r="R191" s="2"/>
      <c r="S191"/>
      <c r="T191" s="2"/>
      <c r="U191" s="2"/>
      <c r="V191" s="2"/>
      <c r="AL191"/>
      <c r="BE191"/>
    </row>
    <row r="192" spans="1:57" x14ac:dyDescent="0.3">
      <c r="A192" s="2"/>
      <c r="B192" s="2" t="s">
        <v>4068</v>
      </c>
      <c r="C192" s="492" t="s">
        <v>4045</v>
      </c>
      <c r="D192" s="62">
        <v>46</v>
      </c>
      <c r="E192" s="62">
        <v>12</v>
      </c>
      <c r="F192" s="62">
        <v>15</v>
      </c>
      <c r="G192" s="62">
        <v>27</v>
      </c>
      <c r="H192" s="62">
        <v>37</v>
      </c>
      <c r="I192" s="62">
        <v>19</v>
      </c>
      <c r="J192" s="500">
        <v>0.67083333333333339</v>
      </c>
      <c r="K192" s="492" t="s">
        <v>4047</v>
      </c>
      <c r="L192" s="62">
        <v>3</v>
      </c>
      <c r="M192" s="62">
        <v>1</v>
      </c>
      <c r="N192" s="62">
        <v>0</v>
      </c>
      <c r="O192" s="62">
        <v>1</v>
      </c>
      <c r="P192" s="62">
        <v>0</v>
      </c>
      <c r="Q192" s="62">
        <v>1</v>
      </c>
      <c r="R192" s="2"/>
      <c r="S192" s="2"/>
      <c r="T192" s="2"/>
      <c r="U192" s="2"/>
      <c r="V192" s="2"/>
      <c r="AL192"/>
      <c r="BE192"/>
    </row>
    <row r="193" spans="1:57" s="2" customFormat="1" x14ac:dyDescent="0.3">
      <c r="A193" s="62" t="s">
        <v>4049</v>
      </c>
      <c r="B193" s="2" t="s">
        <v>4069</v>
      </c>
      <c r="C193" s="492" t="s">
        <v>4045</v>
      </c>
      <c r="D193" s="62">
        <v>43</v>
      </c>
      <c r="E193" s="62">
        <v>12</v>
      </c>
      <c r="F193" s="62">
        <v>9</v>
      </c>
      <c r="G193" s="62">
        <v>21</v>
      </c>
      <c r="H193" s="62">
        <v>12</v>
      </c>
      <c r="I193" s="62">
        <v>4</v>
      </c>
      <c r="J193" s="500">
        <v>0.53680555555555554</v>
      </c>
      <c r="K193" s="492" t="s">
        <v>4047</v>
      </c>
      <c r="L193" s="62">
        <v>11</v>
      </c>
      <c r="M193" s="62">
        <v>0</v>
      </c>
      <c r="N193" s="62">
        <v>1</v>
      </c>
      <c r="O193" s="62">
        <v>1</v>
      </c>
      <c r="P193" s="62">
        <v>4</v>
      </c>
      <c r="Q193" s="62">
        <v>2</v>
      </c>
      <c r="T193"/>
      <c r="U193"/>
      <c r="V193"/>
      <c r="W193"/>
      <c r="X193"/>
      <c r="Y193"/>
      <c r="Z193"/>
      <c r="AA193"/>
      <c r="AB193"/>
      <c r="AC193"/>
      <c r="AD193"/>
      <c r="AE193"/>
      <c r="AF193"/>
      <c r="AG193"/>
      <c r="AH193"/>
      <c r="AI193"/>
      <c r="AJ193"/>
      <c r="AK193"/>
    </row>
    <row r="194" spans="1:57" s="2" customFormat="1" x14ac:dyDescent="0.3">
      <c r="A194" s="62" t="s">
        <v>4049</v>
      </c>
      <c r="B194" s="2" t="s">
        <v>4070</v>
      </c>
      <c r="C194" s="492" t="s">
        <v>4045</v>
      </c>
      <c r="D194" s="62">
        <v>52</v>
      </c>
      <c r="E194" s="62">
        <v>9</v>
      </c>
      <c r="F194" s="62">
        <v>10</v>
      </c>
      <c r="G194" s="62">
        <v>19</v>
      </c>
      <c r="H194" s="62">
        <v>30</v>
      </c>
      <c r="I194" s="62">
        <v>20</v>
      </c>
      <c r="J194" s="500">
        <v>0.60972222222222217</v>
      </c>
      <c r="K194" s="492" t="s">
        <v>4047</v>
      </c>
      <c r="L194" s="62">
        <v>11</v>
      </c>
      <c r="M194" s="62">
        <v>0</v>
      </c>
      <c r="N194" s="62">
        <v>1</v>
      </c>
      <c r="O194" s="62">
        <v>1</v>
      </c>
      <c r="P194" s="62">
        <v>10</v>
      </c>
      <c r="Q194" s="62">
        <v>3</v>
      </c>
      <c r="S194"/>
      <c r="T194"/>
      <c r="U194"/>
      <c r="V194"/>
      <c r="W194"/>
      <c r="X194"/>
      <c r="Y194"/>
      <c r="Z194"/>
      <c r="AA194"/>
      <c r="AB194"/>
      <c r="AC194"/>
      <c r="AD194"/>
      <c r="AE194"/>
      <c r="AF194"/>
      <c r="AG194"/>
      <c r="AH194"/>
      <c r="AI194"/>
      <c r="AJ194"/>
      <c r="AK194"/>
    </row>
    <row r="195" spans="1:57" x14ac:dyDescent="0.3">
      <c r="A195" s="62" t="s">
        <v>4049</v>
      </c>
      <c r="B195" s="1153" t="s">
        <v>4080</v>
      </c>
      <c r="C195" s="1153"/>
      <c r="D195" s="2">
        <f t="shared" ref="D195:I195" si="34">SUM(D192:D194)</f>
        <v>141</v>
      </c>
      <c r="E195" s="2">
        <f t="shared" si="34"/>
        <v>33</v>
      </c>
      <c r="F195" s="2">
        <f t="shared" si="34"/>
        <v>34</v>
      </c>
      <c r="G195" s="2">
        <f t="shared" si="34"/>
        <v>67</v>
      </c>
      <c r="H195" s="2">
        <f t="shared" si="34"/>
        <v>79</v>
      </c>
      <c r="I195" s="2">
        <f t="shared" si="34"/>
        <v>43</v>
      </c>
      <c r="J195" s="62"/>
      <c r="K195" s="2">
        <f t="shared" ref="K195:Q195" si="35">SUM(K192:K194)</f>
        <v>0</v>
      </c>
      <c r="L195" s="2">
        <f t="shared" si="35"/>
        <v>25</v>
      </c>
      <c r="M195" s="2">
        <f t="shared" si="35"/>
        <v>1</v>
      </c>
      <c r="N195" s="2">
        <f t="shared" si="35"/>
        <v>2</v>
      </c>
      <c r="O195" s="2">
        <f t="shared" si="35"/>
        <v>3</v>
      </c>
      <c r="P195" s="2">
        <f t="shared" si="35"/>
        <v>14</v>
      </c>
      <c r="Q195" s="2">
        <f t="shared" si="35"/>
        <v>6</v>
      </c>
      <c r="R195" s="2"/>
      <c r="S195"/>
      <c r="W195"/>
      <c r="X195"/>
      <c r="Y195"/>
      <c r="Z195"/>
      <c r="AA195"/>
      <c r="AB195"/>
      <c r="AC195"/>
      <c r="AD195"/>
      <c r="AE195"/>
      <c r="AF195"/>
      <c r="AG195"/>
      <c r="AH195"/>
      <c r="AI195"/>
      <c r="AJ195"/>
      <c r="AK195"/>
      <c r="AL195"/>
      <c r="BE195"/>
    </row>
    <row r="196" spans="1:57" x14ac:dyDescent="0.3">
      <c r="A196" s="62" t="s">
        <v>4081</v>
      </c>
      <c r="B196" s="2"/>
      <c r="C196" s="2"/>
      <c r="D196" s="2"/>
      <c r="E196" s="2"/>
      <c r="F196" s="2"/>
      <c r="G196" s="2"/>
      <c r="H196" s="2"/>
      <c r="I196" s="2"/>
      <c r="J196" s="62"/>
      <c r="K196" s="2"/>
      <c r="L196" s="2"/>
      <c r="M196" s="2"/>
      <c r="N196" s="2"/>
      <c r="O196" s="2"/>
      <c r="P196" s="2"/>
      <c r="Q196" s="2"/>
      <c r="R196" s="2"/>
      <c r="S196"/>
      <c r="W196"/>
      <c r="X196"/>
      <c r="Y196"/>
      <c r="Z196"/>
      <c r="AA196"/>
      <c r="AB196"/>
      <c r="AC196"/>
      <c r="AD196"/>
      <c r="AE196"/>
      <c r="AF196"/>
      <c r="AG196"/>
      <c r="AH196"/>
      <c r="AI196"/>
      <c r="AJ196"/>
      <c r="AK196"/>
      <c r="AL196"/>
      <c r="BE196"/>
    </row>
    <row r="197" spans="1:57" ht="15" thickBot="1" x14ac:dyDescent="0.35">
      <c r="A197" s="62"/>
      <c r="B197" s="2" t="s">
        <v>4068</v>
      </c>
      <c r="C197" s="492" t="s">
        <v>4045</v>
      </c>
      <c r="D197" s="668">
        <v>55</v>
      </c>
      <c r="E197" s="668">
        <v>9</v>
      </c>
      <c r="F197" s="668">
        <v>12</v>
      </c>
      <c r="G197" s="669">
        <v>21</v>
      </c>
      <c r="H197" s="668">
        <v>20</v>
      </c>
      <c r="I197" s="673">
        <v>-17</v>
      </c>
      <c r="J197" s="674">
        <v>0.77083333333333337</v>
      </c>
      <c r="K197" s="2"/>
      <c r="L197" s="2"/>
      <c r="M197" s="2"/>
      <c r="N197" s="2"/>
      <c r="O197" s="2"/>
      <c r="P197" s="2"/>
      <c r="Q197" s="2"/>
      <c r="R197" s="2"/>
      <c r="S197"/>
      <c r="W197"/>
      <c r="X197"/>
      <c r="Y197"/>
      <c r="Z197"/>
      <c r="AA197"/>
      <c r="AB197"/>
      <c r="AC197"/>
      <c r="AD197"/>
      <c r="AE197"/>
      <c r="AF197"/>
      <c r="AG197"/>
      <c r="AH197"/>
      <c r="AI197"/>
      <c r="AJ197"/>
      <c r="AK197"/>
      <c r="AL197"/>
      <c r="BE197"/>
    </row>
    <row r="198" spans="1:57" ht="15" thickBot="1" x14ac:dyDescent="0.35">
      <c r="A198" s="667" t="s">
        <v>4589</v>
      </c>
      <c r="B198" s="2" t="s">
        <v>4069</v>
      </c>
      <c r="C198" s="492" t="s">
        <v>4045</v>
      </c>
      <c r="D198" s="668">
        <v>51</v>
      </c>
      <c r="E198" s="668">
        <v>11</v>
      </c>
      <c r="F198" s="668">
        <v>12</v>
      </c>
      <c r="G198" s="669">
        <v>23</v>
      </c>
      <c r="H198" s="668">
        <v>10</v>
      </c>
      <c r="I198" s="673">
        <v>3</v>
      </c>
      <c r="J198" s="674">
        <v>0.67986111111111114</v>
      </c>
      <c r="K198" s="2"/>
      <c r="L198" s="2"/>
      <c r="M198" s="2"/>
      <c r="N198" s="2"/>
      <c r="O198" s="2"/>
      <c r="P198" s="2"/>
      <c r="Q198" s="2"/>
      <c r="R198" s="2"/>
      <c r="S198"/>
      <c r="W198"/>
      <c r="X198"/>
      <c r="Y198"/>
      <c r="Z198"/>
      <c r="AA198"/>
      <c r="AB198"/>
      <c r="AC198"/>
      <c r="AD198"/>
      <c r="AE198"/>
      <c r="AF198"/>
      <c r="AG198"/>
      <c r="AH198"/>
      <c r="AI198"/>
      <c r="AJ198"/>
      <c r="AK198"/>
      <c r="AL198"/>
      <c r="BE198"/>
    </row>
    <row r="199" spans="1:57" ht="15" thickBot="1" x14ac:dyDescent="0.35">
      <c r="A199" s="667" t="s">
        <v>4589</v>
      </c>
      <c r="B199" s="2" t="s">
        <v>4070</v>
      </c>
      <c r="C199" s="492" t="s">
        <v>4045</v>
      </c>
      <c r="D199" s="668">
        <v>35</v>
      </c>
      <c r="E199" s="668">
        <v>7</v>
      </c>
      <c r="F199" s="668">
        <v>6</v>
      </c>
      <c r="G199" s="669">
        <v>13</v>
      </c>
      <c r="H199" s="668">
        <v>16</v>
      </c>
      <c r="I199" s="673">
        <v>-3</v>
      </c>
      <c r="J199" s="674">
        <v>0.71736111111111101</v>
      </c>
      <c r="K199" s="2"/>
      <c r="L199" s="2"/>
      <c r="M199" s="2"/>
      <c r="N199" s="2"/>
      <c r="O199" s="2"/>
      <c r="P199" s="2"/>
      <c r="Q199" s="2"/>
      <c r="R199" s="2"/>
      <c r="S199"/>
      <c r="W199"/>
      <c r="X199"/>
      <c r="Y199"/>
      <c r="Z199"/>
      <c r="AA199"/>
      <c r="AB199"/>
      <c r="AC199"/>
      <c r="AD199"/>
      <c r="AE199"/>
      <c r="AF199"/>
      <c r="AG199"/>
      <c r="AH199"/>
      <c r="AI199"/>
      <c r="AJ199"/>
      <c r="AK199"/>
      <c r="AL199"/>
      <c r="BE199"/>
    </row>
    <row r="200" spans="1:57" ht="15" thickBot="1" x14ac:dyDescent="0.35">
      <c r="A200" s="667" t="s">
        <v>4589</v>
      </c>
      <c r="B200" s="1153" t="s">
        <v>4080</v>
      </c>
      <c r="C200" s="1153"/>
      <c r="D200" s="2">
        <f t="shared" ref="D200:I200" si="36">SUM(D197:D199)</f>
        <v>141</v>
      </c>
      <c r="E200" s="2">
        <f t="shared" si="36"/>
        <v>27</v>
      </c>
      <c r="F200" s="2">
        <f t="shared" si="36"/>
        <v>30</v>
      </c>
      <c r="G200" s="2">
        <f t="shared" si="36"/>
        <v>57</v>
      </c>
      <c r="H200" s="2">
        <f t="shared" si="36"/>
        <v>46</v>
      </c>
      <c r="I200" s="2">
        <f t="shared" si="36"/>
        <v>-17</v>
      </c>
      <c r="J200" s="62"/>
      <c r="K200" s="2"/>
      <c r="L200" s="2"/>
      <c r="M200" s="2"/>
      <c r="N200" s="2"/>
      <c r="O200" s="2"/>
      <c r="P200" s="2"/>
      <c r="Q200" s="2"/>
      <c r="R200" s="2"/>
      <c r="S200"/>
      <c r="W200"/>
      <c r="X200"/>
      <c r="Y200"/>
      <c r="Z200"/>
      <c r="AA200"/>
      <c r="AB200"/>
      <c r="AC200"/>
      <c r="AD200"/>
      <c r="AE200"/>
      <c r="AF200"/>
      <c r="AG200"/>
      <c r="AH200"/>
      <c r="AI200"/>
      <c r="AJ200"/>
      <c r="AK200"/>
      <c r="AL200"/>
      <c r="BE200"/>
    </row>
    <row r="201" spans="1:57" ht="15" thickBot="1" x14ac:dyDescent="0.35">
      <c r="A201" s="667" t="s">
        <v>4589</v>
      </c>
      <c r="C201" s="2"/>
      <c r="D201" s="2"/>
      <c r="E201" s="2"/>
      <c r="F201" s="2"/>
      <c r="G201" s="2"/>
      <c r="H201" s="2"/>
      <c r="I201" s="2"/>
      <c r="J201" s="2"/>
      <c r="K201" s="2"/>
      <c r="L201" s="2"/>
      <c r="M201" s="2"/>
      <c r="N201" s="2"/>
      <c r="O201" s="2"/>
      <c r="P201" s="2"/>
      <c r="Q201" s="2"/>
      <c r="R201" s="2"/>
      <c r="S201"/>
      <c r="W201"/>
      <c r="X201"/>
      <c r="Y201"/>
      <c r="Z201"/>
      <c r="AA201"/>
      <c r="AB201"/>
      <c r="AC201"/>
      <c r="AD201"/>
      <c r="AE201"/>
      <c r="AF201"/>
      <c r="AG201"/>
      <c r="AH201"/>
      <c r="AI201"/>
      <c r="AJ201"/>
      <c r="AK201"/>
      <c r="AL201"/>
      <c r="BE201"/>
    </row>
    <row r="202" spans="1:57" x14ac:dyDescent="0.3">
      <c r="A202" s="2"/>
      <c r="C202" s="2"/>
      <c r="D202" s="2"/>
      <c r="E202" s="2"/>
      <c r="F202" s="2"/>
      <c r="G202" s="2"/>
      <c r="H202" s="2"/>
      <c r="I202" s="2"/>
      <c r="J202" s="2"/>
      <c r="K202" s="2"/>
      <c r="L202" s="2"/>
      <c r="M202" s="2"/>
      <c r="N202" s="2"/>
      <c r="O202" s="2"/>
      <c r="P202" s="2"/>
      <c r="Q202" s="2"/>
      <c r="R202" s="2"/>
      <c r="S202"/>
      <c r="W202"/>
      <c r="X202"/>
      <c r="Y202"/>
      <c r="Z202"/>
      <c r="AA202"/>
      <c r="AB202"/>
      <c r="AC202"/>
      <c r="AD202"/>
      <c r="AE202"/>
      <c r="AF202"/>
      <c r="AG202"/>
      <c r="AH202"/>
      <c r="AI202"/>
      <c r="AJ202"/>
      <c r="AK202"/>
      <c r="AL202"/>
      <c r="BE202"/>
    </row>
    <row r="203" spans="1:57" x14ac:dyDescent="0.3">
      <c r="A203" s="2"/>
      <c r="B203" s="491"/>
      <c r="C203" s="491"/>
      <c r="D203" s="491" t="s">
        <v>213</v>
      </c>
      <c r="E203" s="491" t="s">
        <v>4051</v>
      </c>
      <c r="F203" s="491" t="s">
        <v>4052</v>
      </c>
      <c r="G203" s="491" t="s">
        <v>4053</v>
      </c>
      <c r="H203" s="491" t="s">
        <v>4054</v>
      </c>
      <c r="I203" s="491" t="s">
        <v>4055</v>
      </c>
      <c r="J203" s="491"/>
      <c r="K203" s="491" t="s">
        <v>4056</v>
      </c>
      <c r="L203" s="491" t="s">
        <v>213</v>
      </c>
      <c r="M203" s="491" t="s">
        <v>4051</v>
      </c>
      <c r="N203" s="491" t="s">
        <v>4052</v>
      </c>
      <c r="O203" s="491" t="s">
        <v>4053</v>
      </c>
      <c r="P203" s="491" t="s">
        <v>4054</v>
      </c>
      <c r="Q203" s="491" t="s">
        <v>4055</v>
      </c>
      <c r="R203" s="2"/>
      <c r="S203"/>
      <c r="T203" s="2"/>
      <c r="U203" s="2"/>
      <c r="V203" s="2"/>
      <c r="AL203"/>
      <c r="BE203"/>
    </row>
    <row r="204" spans="1:57" ht="15" customHeight="1" x14ac:dyDescent="0.3">
      <c r="A204" s="491" t="s">
        <v>4071</v>
      </c>
      <c r="B204" s="492" t="s">
        <v>4072</v>
      </c>
      <c r="C204" s="492" t="s">
        <v>4073</v>
      </c>
      <c r="D204" s="62">
        <v>3</v>
      </c>
      <c r="E204" s="62">
        <v>0</v>
      </c>
      <c r="F204" s="62">
        <v>1</v>
      </c>
      <c r="G204" s="62">
        <v>1</v>
      </c>
      <c r="H204" s="62">
        <v>2</v>
      </c>
      <c r="I204" s="62">
        <v>-3</v>
      </c>
      <c r="J204" s="62" t="s">
        <v>4046</v>
      </c>
      <c r="K204" s="492"/>
      <c r="L204" s="62"/>
      <c r="M204" s="62"/>
      <c r="N204" s="62"/>
      <c r="O204" s="62"/>
      <c r="P204" s="62"/>
      <c r="Q204" s="62"/>
      <c r="R204" s="2"/>
      <c r="S204" s="2"/>
      <c r="T204" s="2"/>
      <c r="U204" s="2"/>
      <c r="V204" s="2"/>
      <c r="AL204"/>
      <c r="BE204"/>
    </row>
    <row r="205" spans="1:57" s="2" customFormat="1" x14ac:dyDescent="0.3">
      <c r="A205" s="62" t="s">
        <v>4043</v>
      </c>
      <c r="B205" s="492" t="s">
        <v>4074</v>
      </c>
      <c r="C205" s="492" t="s">
        <v>4075</v>
      </c>
      <c r="D205" s="62">
        <v>69</v>
      </c>
      <c r="E205" s="62">
        <v>20</v>
      </c>
      <c r="F205" s="62">
        <v>33</v>
      </c>
      <c r="G205" s="62">
        <v>53</v>
      </c>
      <c r="H205" s="62">
        <v>22</v>
      </c>
      <c r="I205" s="62">
        <v>-2</v>
      </c>
      <c r="J205" s="62" t="s">
        <v>4046</v>
      </c>
      <c r="K205" s="492" t="s">
        <v>4047</v>
      </c>
      <c r="L205" s="62">
        <v>23</v>
      </c>
      <c r="M205" s="62">
        <v>9</v>
      </c>
      <c r="N205" s="62">
        <v>15</v>
      </c>
      <c r="O205" s="62">
        <v>24</v>
      </c>
      <c r="P205" s="62">
        <v>6</v>
      </c>
      <c r="Q205" s="62">
        <v>7</v>
      </c>
    </row>
    <row r="206" spans="1:57" s="2" customFormat="1" x14ac:dyDescent="0.3">
      <c r="A206" s="62" t="s">
        <v>4043</v>
      </c>
      <c r="B206" s="492" t="s">
        <v>4072</v>
      </c>
      <c r="C206" s="492" t="s">
        <v>4073</v>
      </c>
      <c r="D206" s="62">
        <v>8</v>
      </c>
      <c r="E206" s="62">
        <v>1</v>
      </c>
      <c r="F206" s="62">
        <v>1</v>
      </c>
      <c r="G206" s="62">
        <v>2</v>
      </c>
      <c r="H206" s="62">
        <v>0</v>
      </c>
      <c r="I206" s="62">
        <v>-2</v>
      </c>
      <c r="J206" s="62" t="s">
        <v>4046</v>
      </c>
      <c r="K206" s="62"/>
      <c r="L206" s="62"/>
      <c r="M206" s="62"/>
      <c r="N206" s="62"/>
      <c r="O206" s="62"/>
      <c r="P206" s="62"/>
      <c r="Q206" s="62"/>
    </row>
    <row r="207" spans="1:57" s="2" customFormat="1" x14ac:dyDescent="0.3">
      <c r="A207" s="62" t="s">
        <v>4048</v>
      </c>
      <c r="B207" s="492" t="s">
        <v>4074</v>
      </c>
      <c r="C207" s="492" t="s">
        <v>4075</v>
      </c>
      <c r="D207" s="62">
        <v>44</v>
      </c>
      <c r="E207" s="62">
        <v>18</v>
      </c>
      <c r="F207" s="62">
        <v>34</v>
      </c>
      <c r="G207" s="62">
        <v>52</v>
      </c>
      <c r="H207" s="62">
        <v>13</v>
      </c>
      <c r="I207" s="62">
        <v>7</v>
      </c>
      <c r="J207" s="62" t="s">
        <v>4046</v>
      </c>
      <c r="K207" s="62"/>
      <c r="L207" s="62"/>
      <c r="M207" s="62"/>
      <c r="N207" s="62"/>
      <c r="O207" s="62"/>
      <c r="P207" s="62"/>
      <c r="Q207" s="62"/>
    </row>
    <row r="208" spans="1:57" s="2" customFormat="1" x14ac:dyDescent="0.3">
      <c r="A208" s="62" t="s">
        <v>4048</v>
      </c>
      <c r="B208" s="492" t="s">
        <v>4076</v>
      </c>
      <c r="C208" s="492" t="s">
        <v>4073</v>
      </c>
      <c r="D208" s="62">
        <v>19</v>
      </c>
      <c r="E208" s="62">
        <v>2</v>
      </c>
      <c r="F208" s="62">
        <v>5</v>
      </c>
      <c r="G208" s="62">
        <v>7</v>
      </c>
      <c r="H208" s="62">
        <v>2</v>
      </c>
      <c r="I208" s="62">
        <v>-1</v>
      </c>
      <c r="J208" s="62" t="s">
        <v>4046</v>
      </c>
      <c r="K208" s="492"/>
      <c r="L208" s="62"/>
      <c r="M208" s="62"/>
      <c r="N208" s="62"/>
      <c r="O208" s="62"/>
      <c r="P208" s="62"/>
      <c r="Q208" s="62"/>
    </row>
    <row r="209" spans="1:57" s="2" customFormat="1" x14ac:dyDescent="0.3">
      <c r="A209" s="62" t="s">
        <v>4049</v>
      </c>
      <c r="B209" s="492" t="s">
        <v>4077</v>
      </c>
      <c r="C209" s="492" t="s">
        <v>4075</v>
      </c>
      <c r="D209" s="62">
        <v>40</v>
      </c>
      <c r="E209" s="62">
        <v>13</v>
      </c>
      <c r="F209" s="62">
        <v>31</v>
      </c>
      <c r="G209" s="62">
        <v>44</v>
      </c>
      <c r="H209" s="62">
        <v>12</v>
      </c>
      <c r="I209" s="62">
        <v>-11</v>
      </c>
      <c r="J209" s="62" t="s">
        <v>4046</v>
      </c>
    </row>
    <row r="210" spans="1:57" s="2" customFormat="1" ht="15" thickBot="1" x14ac:dyDescent="0.35">
      <c r="A210" s="62" t="s">
        <v>4049</v>
      </c>
      <c r="B210" s="541" t="s">
        <v>4590</v>
      </c>
      <c r="C210" s="541" t="s">
        <v>4591</v>
      </c>
      <c r="D210" s="668">
        <v>56</v>
      </c>
      <c r="E210" s="668">
        <v>18</v>
      </c>
      <c r="F210" s="668">
        <v>30</v>
      </c>
      <c r="G210" s="669">
        <v>48</v>
      </c>
      <c r="H210" s="668">
        <v>10</v>
      </c>
      <c r="I210" s="668">
        <v>-8</v>
      </c>
      <c r="J210" s="670" t="s">
        <v>4046</v>
      </c>
      <c r="T210"/>
      <c r="U210"/>
      <c r="V210"/>
    </row>
    <row r="211" spans="1:57" s="2" customFormat="1" ht="15" thickBot="1" x14ac:dyDescent="0.35">
      <c r="A211" s="667" t="s">
        <v>4589</v>
      </c>
      <c r="B211"/>
      <c r="C211"/>
      <c r="S211" s="552"/>
      <c r="T211"/>
      <c r="U211"/>
      <c r="V211"/>
    </row>
    <row r="212" spans="1:57" x14ac:dyDescent="0.3">
      <c r="D212" s="2"/>
      <c r="E212" s="2"/>
      <c r="F212" s="2"/>
      <c r="G212" s="2"/>
      <c r="H212" s="2"/>
      <c r="I212" s="2"/>
      <c r="J212" s="2"/>
      <c r="K212" s="2"/>
      <c r="L212" s="2"/>
      <c r="M212" s="2"/>
      <c r="N212" s="2"/>
      <c r="O212" s="2"/>
      <c r="P212" s="2"/>
      <c r="Q212" s="2"/>
      <c r="R212" s="2"/>
      <c r="T212" s="2"/>
      <c r="U212" s="2"/>
      <c r="V212" s="2"/>
    </row>
    <row r="213" spans="1:57" x14ac:dyDescent="0.3">
      <c r="B213" s="491"/>
      <c r="C213" s="491"/>
      <c r="D213" s="491" t="s">
        <v>213</v>
      </c>
      <c r="E213" s="491" t="s">
        <v>4051</v>
      </c>
      <c r="F213" s="491" t="s">
        <v>4052</v>
      </c>
      <c r="G213" s="491" t="s">
        <v>4053</v>
      </c>
      <c r="H213" s="491" t="s">
        <v>4054</v>
      </c>
      <c r="I213" s="491" t="s">
        <v>4055</v>
      </c>
      <c r="J213" s="491"/>
      <c r="K213" s="491" t="s">
        <v>4056</v>
      </c>
      <c r="L213" s="491" t="s">
        <v>213</v>
      </c>
      <c r="M213" s="491" t="s">
        <v>4051</v>
      </c>
      <c r="N213" s="491" t="s">
        <v>4052</v>
      </c>
      <c r="O213" s="491" t="s">
        <v>4053</v>
      </c>
      <c r="P213" s="491" t="s">
        <v>4054</v>
      </c>
      <c r="Q213" s="491" t="s">
        <v>4055</v>
      </c>
      <c r="R213" s="2"/>
      <c r="S213" s="742"/>
      <c r="T213" s="2"/>
      <c r="U213" s="2"/>
      <c r="V213" s="2"/>
    </row>
    <row r="214" spans="1:57" s="2" customFormat="1" ht="15" customHeight="1" x14ac:dyDescent="0.3">
      <c r="A214" s="491" t="s">
        <v>4686</v>
      </c>
      <c r="B214" s="527" t="s">
        <v>4682</v>
      </c>
      <c r="C214" s="527" t="s">
        <v>4591</v>
      </c>
      <c r="D214" s="728">
        <v>48</v>
      </c>
      <c r="E214" s="728">
        <v>17</v>
      </c>
      <c r="F214" s="728">
        <v>8</v>
      </c>
      <c r="G214" s="729">
        <v>25</v>
      </c>
      <c r="H214" s="728">
        <v>18</v>
      </c>
      <c r="I214" s="728">
        <v>4</v>
      </c>
      <c r="J214" s="730" t="s">
        <v>4046</v>
      </c>
      <c r="K214" s="527" t="s">
        <v>4095</v>
      </c>
      <c r="L214" s="728">
        <v>5</v>
      </c>
      <c r="M214" s="728">
        <v>0</v>
      </c>
      <c r="N214" s="728">
        <v>1</v>
      </c>
      <c r="O214" s="729">
        <v>1</v>
      </c>
      <c r="P214" s="728">
        <v>2</v>
      </c>
      <c r="Q214" s="731">
        <v>-1</v>
      </c>
      <c r="S214" s="742"/>
      <c r="AL214" s="742"/>
      <c r="BE214" s="742"/>
    </row>
    <row r="215" spans="1:57" s="2" customFormat="1" x14ac:dyDescent="0.3">
      <c r="A215" s="727" t="s">
        <v>4092</v>
      </c>
      <c r="B215" s="522" t="s">
        <v>4683</v>
      </c>
      <c r="C215" s="522" t="s">
        <v>4595</v>
      </c>
      <c r="D215" s="733">
        <v>2</v>
      </c>
      <c r="E215" s="733">
        <v>1</v>
      </c>
      <c r="F215" s="733">
        <v>1</v>
      </c>
      <c r="G215" s="734">
        <v>2</v>
      </c>
      <c r="H215" s="733">
        <v>4</v>
      </c>
      <c r="I215" s="733">
        <v>1</v>
      </c>
      <c r="J215" s="735" t="s">
        <v>4046</v>
      </c>
      <c r="K215" s="735"/>
      <c r="L215" s="733"/>
      <c r="M215" s="733"/>
      <c r="N215" s="733"/>
      <c r="O215" s="734"/>
      <c r="P215" s="733"/>
      <c r="Q215" s="736"/>
      <c r="S215" s="742"/>
      <c r="AL215" s="742"/>
      <c r="BE215" s="742"/>
    </row>
    <row r="216" spans="1:57" s="2" customFormat="1" x14ac:dyDescent="0.3">
      <c r="A216" s="732"/>
      <c r="B216" s="527" t="s">
        <v>4676</v>
      </c>
      <c r="C216" s="527" t="s">
        <v>4104</v>
      </c>
      <c r="D216" s="760">
        <v>11</v>
      </c>
      <c r="E216" s="760">
        <v>1</v>
      </c>
      <c r="F216" s="760">
        <v>1</v>
      </c>
      <c r="G216" s="761">
        <v>2</v>
      </c>
      <c r="H216" s="760">
        <v>2</v>
      </c>
      <c r="I216" s="760">
        <v>1</v>
      </c>
      <c r="J216" s="762" t="s">
        <v>4046</v>
      </c>
      <c r="K216" s="527"/>
      <c r="L216" s="760"/>
      <c r="M216" s="760"/>
      <c r="N216" s="760"/>
      <c r="O216" s="761"/>
      <c r="P216" s="760"/>
      <c r="Q216" s="763"/>
      <c r="S216" s="742"/>
      <c r="AL216" s="742"/>
      <c r="BE216" s="742"/>
    </row>
    <row r="217" spans="1:57" s="2" customFormat="1" x14ac:dyDescent="0.3">
      <c r="A217" s="759"/>
      <c r="B217" s="522" t="s">
        <v>4682</v>
      </c>
      <c r="C217" s="522" t="s">
        <v>4591</v>
      </c>
      <c r="D217" s="733">
        <v>23</v>
      </c>
      <c r="E217" s="733">
        <v>4</v>
      </c>
      <c r="F217" s="733">
        <v>9</v>
      </c>
      <c r="G217" s="734">
        <v>13</v>
      </c>
      <c r="H217" s="733">
        <v>4</v>
      </c>
      <c r="I217" s="733">
        <v>0</v>
      </c>
      <c r="J217" s="735" t="s">
        <v>4046</v>
      </c>
      <c r="K217" s="735"/>
      <c r="L217" s="733"/>
      <c r="M217" s="733"/>
      <c r="N217" s="733"/>
      <c r="O217" s="734"/>
      <c r="P217" s="733"/>
      <c r="Q217" s="736"/>
      <c r="S217" s="742"/>
      <c r="AL217" s="742"/>
      <c r="BE217" s="742"/>
    </row>
    <row r="218" spans="1:57" s="2" customFormat="1" x14ac:dyDescent="0.3">
      <c r="A218" s="732" t="s">
        <v>4096</v>
      </c>
      <c r="B218" s="527" t="s">
        <v>4684</v>
      </c>
      <c r="C218" s="527" t="s">
        <v>4591</v>
      </c>
      <c r="D218" s="728">
        <v>22</v>
      </c>
      <c r="E218" s="728">
        <v>5</v>
      </c>
      <c r="F218" s="728">
        <v>3</v>
      </c>
      <c r="G218" s="729">
        <v>8</v>
      </c>
      <c r="H218" s="728">
        <v>2</v>
      </c>
      <c r="I218" s="728">
        <v>-4</v>
      </c>
      <c r="J218" s="730" t="s">
        <v>4046</v>
      </c>
      <c r="K218" s="527"/>
      <c r="L218" s="728"/>
      <c r="M218" s="728"/>
      <c r="N218" s="728"/>
      <c r="O218" s="729"/>
      <c r="P218" s="728"/>
      <c r="Q218" s="731"/>
      <c r="S218" s="742"/>
      <c r="AL218" s="742"/>
      <c r="BE218" s="742"/>
    </row>
    <row r="219" spans="1:57" s="2" customFormat="1" x14ac:dyDescent="0.3">
      <c r="A219" s="727"/>
      <c r="B219" s="522" t="s">
        <v>4685</v>
      </c>
      <c r="C219" s="522" t="s">
        <v>4591</v>
      </c>
      <c r="D219" s="733">
        <v>51</v>
      </c>
      <c r="E219" s="733">
        <v>12</v>
      </c>
      <c r="F219" s="733">
        <v>22</v>
      </c>
      <c r="G219" s="734">
        <v>34</v>
      </c>
      <c r="H219" s="733">
        <v>6</v>
      </c>
      <c r="I219" s="733">
        <v>5</v>
      </c>
      <c r="J219" s="735" t="s">
        <v>4046</v>
      </c>
      <c r="K219" s="522" t="s">
        <v>4095</v>
      </c>
      <c r="L219" s="733">
        <v>3</v>
      </c>
      <c r="M219" s="733">
        <v>0</v>
      </c>
      <c r="N219" s="733">
        <v>0</v>
      </c>
      <c r="O219" s="734">
        <v>0</v>
      </c>
      <c r="P219" s="733">
        <v>0</v>
      </c>
      <c r="Q219" s="736">
        <v>0</v>
      </c>
      <c r="S219" s="742"/>
      <c r="AL219" s="742"/>
      <c r="BE219" s="742"/>
    </row>
    <row r="220" spans="1:57" s="2" customFormat="1" x14ac:dyDescent="0.3">
      <c r="A220" s="732" t="s">
        <v>4081</v>
      </c>
      <c r="B220" s="527" t="s">
        <v>4676</v>
      </c>
      <c r="C220" s="527" t="s">
        <v>4104</v>
      </c>
      <c r="D220" s="760">
        <v>3</v>
      </c>
      <c r="E220" s="760">
        <v>0</v>
      </c>
      <c r="F220" s="760">
        <v>0</v>
      </c>
      <c r="G220" s="761">
        <v>0</v>
      </c>
      <c r="H220" s="760">
        <v>0</v>
      </c>
      <c r="I220" s="760">
        <v>0</v>
      </c>
      <c r="J220" s="762" t="s">
        <v>4046</v>
      </c>
      <c r="K220" s="762"/>
      <c r="L220" s="760"/>
      <c r="M220" s="760"/>
      <c r="N220" s="760"/>
      <c r="O220" s="761"/>
      <c r="P220" s="760"/>
      <c r="Q220" s="763"/>
      <c r="S220" s="742"/>
      <c r="AL220" s="742"/>
      <c r="BE220" s="742"/>
    </row>
    <row r="221" spans="1:57" s="2" customFormat="1" ht="15" thickBot="1" x14ac:dyDescent="0.35">
      <c r="A221" s="759"/>
      <c r="B221" s="532" t="s">
        <v>4685</v>
      </c>
      <c r="C221" s="532" t="s">
        <v>4591</v>
      </c>
      <c r="D221" s="738">
        <v>48</v>
      </c>
      <c r="E221" s="738">
        <v>20</v>
      </c>
      <c r="F221" s="738">
        <v>22</v>
      </c>
      <c r="G221" s="739">
        <v>42</v>
      </c>
      <c r="H221" s="738">
        <v>6</v>
      </c>
      <c r="I221" s="738">
        <v>-1</v>
      </c>
      <c r="J221" s="740" t="s">
        <v>4046</v>
      </c>
      <c r="K221" s="740"/>
      <c r="L221" s="738"/>
      <c r="M221" s="738"/>
      <c r="N221" s="738"/>
      <c r="O221" s="739"/>
      <c r="P221" s="738"/>
      <c r="Q221" s="545"/>
      <c r="S221" s="742"/>
      <c r="T221"/>
      <c r="U221"/>
      <c r="V221"/>
      <c r="AL221" s="742"/>
      <c r="BE221" s="742"/>
    </row>
    <row r="222" spans="1:57" s="2" customFormat="1" ht="15" thickBot="1" x14ac:dyDescent="0.35">
      <c r="A222" s="737" t="s">
        <v>4589</v>
      </c>
      <c r="B222"/>
      <c r="C222"/>
      <c r="S222" s="552"/>
      <c r="T222"/>
      <c r="U222"/>
      <c r="V222"/>
      <c r="AL222" s="742"/>
      <c r="BE222" s="742"/>
    </row>
    <row r="223" spans="1:57" x14ac:dyDescent="0.3">
      <c r="D223" s="2"/>
      <c r="E223" s="2"/>
      <c r="F223" s="2"/>
      <c r="G223" s="2"/>
      <c r="H223" s="2"/>
      <c r="I223" s="2"/>
      <c r="J223" s="2"/>
      <c r="K223" s="2"/>
      <c r="L223" s="2"/>
      <c r="M223" s="2"/>
      <c r="N223" s="2"/>
      <c r="O223" s="2"/>
      <c r="P223" s="2"/>
      <c r="Q223" s="2"/>
      <c r="R223" s="2"/>
    </row>
    <row r="224" spans="1:57" x14ac:dyDescent="0.3">
      <c r="B224" s="491"/>
      <c r="C224" s="491"/>
      <c r="D224" s="491" t="s">
        <v>213</v>
      </c>
      <c r="E224" s="491" t="s">
        <v>4051</v>
      </c>
      <c r="F224" s="491" t="s">
        <v>4052</v>
      </c>
      <c r="G224" s="491" t="s">
        <v>4053</v>
      </c>
      <c r="H224" s="491" t="s">
        <v>4054</v>
      </c>
      <c r="I224" s="491" t="s">
        <v>4055</v>
      </c>
      <c r="J224" s="491"/>
      <c r="K224" s="491" t="s">
        <v>4056</v>
      </c>
      <c r="L224" s="491" t="s">
        <v>213</v>
      </c>
      <c r="M224" s="491" t="s">
        <v>4051</v>
      </c>
      <c r="N224" s="491" t="s">
        <v>4052</v>
      </c>
      <c r="O224" s="491" t="s">
        <v>4053</v>
      </c>
      <c r="P224" s="491" t="s">
        <v>4054</v>
      </c>
      <c r="Q224" s="491" t="s">
        <v>4055</v>
      </c>
      <c r="R224" s="2"/>
    </row>
    <row r="225" spans="1:57" ht="15" customHeight="1" x14ac:dyDescent="0.3">
      <c r="A225" s="491" t="s">
        <v>4699</v>
      </c>
      <c r="B225" s="527" t="s">
        <v>4687</v>
      </c>
      <c r="C225" s="527" t="s">
        <v>4688</v>
      </c>
      <c r="D225" s="728">
        <v>7</v>
      </c>
      <c r="E225" s="728">
        <v>16</v>
      </c>
      <c r="F225" s="728">
        <v>6</v>
      </c>
      <c r="G225" s="729">
        <v>22</v>
      </c>
      <c r="H225" s="728">
        <v>2</v>
      </c>
      <c r="I225" s="728" t="s">
        <v>558</v>
      </c>
      <c r="J225" s="730" t="s">
        <v>4046</v>
      </c>
      <c r="K225" s="527"/>
      <c r="L225" s="728"/>
      <c r="M225" s="728"/>
      <c r="N225" s="728"/>
      <c r="O225" s="729"/>
      <c r="P225" s="728"/>
      <c r="Q225" s="731"/>
      <c r="R225" s="2"/>
    </row>
    <row r="226" spans="1:57" x14ac:dyDescent="0.3">
      <c r="A226" s="727" t="s">
        <v>4092</v>
      </c>
      <c r="B226" s="522" t="s">
        <v>4689</v>
      </c>
      <c r="C226" s="522" t="s">
        <v>4690</v>
      </c>
      <c r="D226" s="733">
        <v>38</v>
      </c>
      <c r="E226" s="733">
        <v>4</v>
      </c>
      <c r="F226" s="733">
        <v>7</v>
      </c>
      <c r="G226" s="734">
        <v>11</v>
      </c>
      <c r="H226" s="733">
        <v>12</v>
      </c>
      <c r="I226" s="733">
        <v>0</v>
      </c>
      <c r="J226" s="735" t="s">
        <v>4046</v>
      </c>
      <c r="K226" s="522" t="s">
        <v>4095</v>
      </c>
      <c r="L226" s="733">
        <v>16</v>
      </c>
      <c r="M226" s="733">
        <v>2</v>
      </c>
      <c r="N226" s="733">
        <v>4</v>
      </c>
      <c r="O226" s="734">
        <v>6</v>
      </c>
      <c r="P226" s="733">
        <v>10</v>
      </c>
      <c r="Q226" s="736" t="s">
        <v>558</v>
      </c>
      <c r="R226" s="2"/>
    </row>
    <row r="227" spans="1:57" ht="15" thickBot="1" x14ac:dyDescent="0.35">
      <c r="A227" s="732"/>
      <c r="B227" s="541" t="s">
        <v>4691</v>
      </c>
      <c r="C227" s="541" t="s">
        <v>4690</v>
      </c>
      <c r="D227" s="745">
        <v>3</v>
      </c>
      <c r="E227" s="745">
        <v>1</v>
      </c>
      <c r="F227" s="745">
        <v>1</v>
      </c>
      <c r="G227" s="746">
        <v>2</v>
      </c>
      <c r="H227" s="745">
        <v>2</v>
      </c>
      <c r="I227" s="745">
        <v>0</v>
      </c>
      <c r="J227" s="747" t="s">
        <v>4046</v>
      </c>
      <c r="K227" s="541"/>
      <c r="L227" s="745"/>
      <c r="M227" s="745"/>
      <c r="N227" s="745"/>
      <c r="O227" s="743"/>
      <c r="P227" s="743"/>
      <c r="Q227" s="545"/>
      <c r="R227" s="2"/>
      <c r="V227" s="2"/>
      <c r="AK227" s="552"/>
    </row>
    <row r="228" spans="1:57" ht="15" thickBot="1" x14ac:dyDescent="0.35">
      <c r="A228" s="744"/>
      <c r="B228" s="776" t="s">
        <v>4692</v>
      </c>
      <c r="C228" s="522" t="s">
        <v>4693</v>
      </c>
      <c r="D228" s="755">
        <v>5</v>
      </c>
      <c r="E228" s="755">
        <v>0</v>
      </c>
      <c r="F228" s="755">
        <v>4</v>
      </c>
      <c r="G228" s="756">
        <v>4</v>
      </c>
      <c r="H228" s="755">
        <v>0</v>
      </c>
      <c r="I228" s="755">
        <v>4</v>
      </c>
      <c r="J228" s="757" t="s">
        <v>4046</v>
      </c>
      <c r="K228" s="755"/>
      <c r="L228" s="755"/>
      <c r="M228" s="755"/>
      <c r="N228" s="756"/>
      <c r="O228" s="755"/>
      <c r="P228" s="755"/>
      <c r="Q228" s="775"/>
      <c r="R228" s="2"/>
      <c r="V228" s="2"/>
      <c r="AK228" s="552"/>
    </row>
    <row r="229" spans="1:57" x14ac:dyDescent="0.3">
      <c r="B229" s="527" t="s">
        <v>4694</v>
      </c>
      <c r="C229" s="527" t="s">
        <v>4104</v>
      </c>
      <c r="D229" s="760">
        <v>1</v>
      </c>
      <c r="E229" s="760">
        <v>0</v>
      </c>
      <c r="F229" s="760">
        <v>0</v>
      </c>
      <c r="G229" s="761">
        <v>0</v>
      </c>
      <c r="H229" s="760">
        <v>0</v>
      </c>
      <c r="I229" s="760" t="s">
        <v>558</v>
      </c>
      <c r="J229" s="762" t="s">
        <v>4046</v>
      </c>
      <c r="K229" s="527"/>
      <c r="L229" s="760"/>
      <c r="M229" s="760"/>
      <c r="N229" s="760"/>
      <c r="O229" s="761"/>
      <c r="P229" s="760"/>
      <c r="Q229" s="763"/>
      <c r="R229" s="2"/>
      <c r="V229" s="2"/>
      <c r="AK229" s="552"/>
      <c r="AL229"/>
      <c r="BD229" s="552"/>
      <c r="BE229"/>
    </row>
    <row r="230" spans="1:57" x14ac:dyDescent="0.3">
      <c r="A230" s="759"/>
      <c r="B230" s="522" t="s">
        <v>4685</v>
      </c>
      <c r="C230" s="522" t="s">
        <v>4591</v>
      </c>
      <c r="D230" s="733">
        <v>20</v>
      </c>
      <c r="E230" s="733">
        <v>1</v>
      </c>
      <c r="F230" s="733">
        <v>3</v>
      </c>
      <c r="G230" s="734">
        <v>4</v>
      </c>
      <c r="H230" s="733">
        <v>4</v>
      </c>
      <c r="I230" s="733">
        <v>-3</v>
      </c>
      <c r="J230" s="735" t="s">
        <v>4046</v>
      </c>
      <c r="K230" s="522"/>
      <c r="L230" s="733"/>
      <c r="M230" s="733"/>
      <c r="N230" s="733"/>
      <c r="O230" s="734"/>
      <c r="P230" s="733"/>
      <c r="Q230" s="736"/>
      <c r="R230" s="2"/>
      <c r="V230" s="2"/>
      <c r="AK230" s="552"/>
      <c r="AL230"/>
      <c r="BD230" s="552"/>
      <c r="BE230"/>
    </row>
    <row r="231" spans="1:57" x14ac:dyDescent="0.3">
      <c r="A231" s="732" t="s">
        <v>4096</v>
      </c>
      <c r="B231" s="527" t="s">
        <v>4594</v>
      </c>
      <c r="C231" s="527" t="s">
        <v>4595</v>
      </c>
      <c r="D231" s="728">
        <v>5</v>
      </c>
      <c r="E231" s="728">
        <v>0</v>
      </c>
      <c r="F231" s="728">
        <v>2</v>
      </c>
      <c r="G231" s="729">
        <v>2</v>
      </c>
      <c r="H231" s="728">
        <v>0</v>
      </c>
      <c r="I231" s="728">
        <v>-6</v>
      </c>
      <c r="J231" s="730" t="s">
        <v>4046</v>
      </c>
      <c r="K231" s="527"/>
      <c r="L231" s="728"/>
      <c r="M231" s="728"/>
      <c r="N231" s="728"/>
      <c r="O231" s="729"/>
      <c r="P231" s="728"/>
      <c r="Q231" s="731"/>
      <c r="R231" s="2"/>
      <c r="V231" s="2"/>
      <c r="AK231" s="552"/>
      <c r="AL231"/>
      <c r="BD231" s="552"/>
      <c r="BE231"/>
    </row>
    <row r="232" spans="1:57" x14ac:dyDescent="0.3">
      <c r="A232" s="727"/>
      <c r="B232" s="522" t="s">
        <v>4675</v>
      </c>
      <c r="C232" s="522" t="s">
        <v>4595</v>
      </c>
      <c r="D232" s="733">
        <v>4</v>
      </c>
      <c r="E232" s="733">
        <v>1</v>
      </c>
      <c r="F232" s="733">
        <v>0</v>
      </c>
      <c r="G232" s="734">
        <v>1</v>
      </c>
      <c r="H232" s="733">
        <v>0</v>
      </c>
      <c r="I232" s="733">
        <v>0</v>
      </c>
      <c r="J232" s="735" t="s">
        <v>4046</v>
      </c>
      <c r="K232" s="735"/>
      <c r="L232" s="733"/>
      <c r="M232" s="733"/>
      <c r="N232" s="733"/>
      <c r="O232" s="734"/>
      <c r="P232" s="733"/>
      <c r="Q232" s="736"/>
      <c r="R232" s="2"/>
      <c r="V232" s="2"/>
      <c r="AK232" s="552"/>
      <c r="AL232"/>
      <c r="BD232" s="552"/>
      <c r="BE232"/>
    </row>
    <row r="233" spans="1:57" x14ac:dyDescent="0.3">
      <c r="A233" s="732"/>
      <c r="B233" s="527" t="s">
        <v>4695</v>
      </c>
      <c r="C233" s="527" t="s">
        <v>4696</v>
      </c>
      <c r="D233" s="760">
        <v>1</v>
      </c>
      <c r="E233" s="760">
        <v>0</v>
      </c>
      <c r="F233" s="760">
        <v>0</v>
      </c>
      <c r="G233" s="761">
        <v>0</v>
      </c>
      <c r="H233" s="760">
        <v>0</v>
      </c>
      <c r="I233" s="760">
        <v>0</v>
      </c>
      <c r="J233" s="762" t="s">
        <v>4046</v>
      </c>
      <c r="K233" s="762"/>
      <c r="L233" s="760"/>
      <c r="M233" s="760"/>
      <c r="N233" s="760"/>
      <c r="O233" s="761"/>
      <c r="P233" s="760"/>
      <c r="Q233" s="763"/>
      <c r="R233" s="2"/>
      <c r="V233" s="2"/>
      <c r="AK233" s="552"/>
      <c r="AL233"/>
      <c r="BD233" s="552"/>
      <c r="BE233"/>
    </row>
    <row r="234" spans="1:57" ht="15" thickBot="1" x14ac:dyDescent="0.35">
      <c r="A234" s="759"/>
      <c r="B234" s="532" t="s">
        <v>4694</v>
      </c>
      <c r="C234" s="532" t="s">
        <v>4104</v>
      </c>
      <c r="D234" s="778">
        <v>4</v>
      </c>
      <c r="E234" s="778">
        <v>0</v>
      </c>
      <c r="F234" s="778">
        <v>0</v>
      </c>
      <c r="G234" s="779">
        <v>0</v>
      </c>
      <c r="H234" s="778">
        <v>0</v>
      </c>
      <c r="I234" s="778" t="s">
        <v>558</v>
      </c>
      <c r="J234" s="780" t="s">
        <v>4046</v>
      </c>
      <c r="K234" s="532"/>
      <c r="L234" s="778"/>
      <c r="M234" s="778"/>
      <c r="N234" s="778"/>
      <c r="O234" s="779"/>
      <c r="P234" s="778"/>
      <c r="Q234" s="545"/>
      <c r="R234" s="2"/>
      <c r="V234" s="2"/>
      <c r="AK234" s="552"/>
      <c r="AL234"/>
      <c r="BD234" s="552"/>
      <c r="BE234"/>
    </row>
    <row r="235" spans="1:57" ht="15" thickBot="1" x14ac:dyDescent="0.35">
      <c r="A235" s="777"/>
      <c r="B235" s="527" t="s">
        <v>4685</v>
      </c>
      <c r="C235" s="527" t="s">
        <v>4591</v>
      </c>
      <c r="D235" s="728">
        <v>52</v>
      </c>
      <c r="E235" s="728">
        <v>6</v>
      </c>
      <c r="F235" s="728">
        <v>4</v>
      </c>
      <c r="G235" s="729">
        <v>10</v>
      </c>
      <c r="H235" s="728">
        <v>28</v>
      </c>
      <c r="I235" s="728">
        <v>-12</v>
      </c>
      <c r="J235" s="730" t="s">
        <v>4046</v>
      </c>
      <c r="K235" s="527" t="s">
        <v>4095</v>
      </c>
      <c r="L235" s="728">
        <v>3</v>
      </c>
      <c r="M235" s="728">
        <v>0</v>
      </c>
      <c r="N235" s="728">
        <v>0</v>
      </c>
      <c r="O235" s="729">
        <v>0</v>
      </c>
      <c r="P235" s="728">
        <v>0</v>
      </c>
      <c r="Q235" s="731">
        <v>-1</v>
      </c>
      <c r="R235" s="2"/>
      <c r="V235" s="2"/>
      <c r="AK235" s="552"/>
      <c r="AL235"/>
      <c r="BD235" s="552"/>
      <c r="BE235"/>
    </row>
    <row r="236" spans="1:57" x14ac:dyDescent="0.3">
      <c r="A236" s="727" t="s">
        <v>4081</v>
      </c>
      <c r="B236" s="522" t="s">
        <v>4685</v>
      </c>
      <c r="C236" s="522" t="s">
        <v>4591</v>
      </c>
      <c r="D236" s="733">
        <v>45</v>
      </c>
      <c r="E236" s="733">
        <v>7</v>
      </c>
      <c r="F236" s="733">
        <v>2</v>
      </c>
      <c r="G236" s="734">
        <v>9</v>
      </c>
      <c r="H236" s="733">
        <v>41</v>
      </c>
      <c r="I236" s="733">
        <v>-5</v>
      </c>
      <c r="J236" s="735" t="s">
        <v>4046</v>
      </c>
      <c r="K236" s="522"/>
      <c r="L236" s="733"/>
      <c r="M236" s="733"/>
      <c r="N236" s="733"/>
      <c r="O236" s="734"/>
      <c r="P236" s="733"/>
      <c r="Q236" s="736"/>
      <c r="R236" s="2"/>
      <c r="V236" s="2"/>
      <c r="AK236" s="552"/>
      <c r="AL236"/>
      <c r="BD236" s="552"/>
      <c r="BE236"/>
    </row>
    <row r="237" spans="1:57" x14ac:dyDescent="0.3">
      <c r="A237" s="732" t="s">
        <v>4589</v>
      </c>
      <c r="B237" s="527" t="s">
        <v>4695</v>
      </c>
      <c r="C237" s="527" t="s">
        <v>4696</v>
      </c>
      <c r="D237" s="760">
        <v>3</v>
      </c>
      <c r="E237" s="760">
        <v>0</v>
      </c>
      <c r="F237" s="760">
        <v>0</v>
      </c>
      <c r="G237" s="761">
        <v>0</v>
      </c>
      <c r="H237" s="760">
        <v>4</v>
      </c>
      <c r="I237" s="760">
        <v>-1</v>
      </c>
      <c r="J237" s="762" t="s">
        <v>4046</v>
      </c>
      <c r="K237" s="762"/>
      <c r="L237" s="760"/>
      <c r="M237" s="760"/>
      <c r="N237" s="760"/>
      <c r="O237" s="761"/>
      <c r="P237" s="760"/>
      <c r="Q237" s="763"/>
      <c r="R237" s="2"/>
      <c r="V237" s="2"/>
      <c r="AK237" s="552"/>
      <c r="AL237"/>
      <c r="BD237" s="552"/>
      <c r="BE237"/>
    </row>
    <row r="238" spans="1:57" ht="15" thickBot="1" x14ac:dyDescent="0.35">
      <c r="A238" s="759"/>
      <c r="B238" s="780" t="s">
        <v>4697</v>
      </c>
      <c r="C238" s="532" t="s">
        <v>4698</v>
      </c>
      <c r="D238" s="778">
        <v>4</v>
      </c>
      <c r="E238" s="778">
        <v>1</v>
      </c>
      <c r="F238" s="778">
        <v>2</v>
      </c>
      <c r="G238" s="779">
        <v>3</v>
      </c>
      <c r="H238" s="778">
        <v>8</v>
      </c>
      <c r="I238" s="778">
        <v>4</v>
      </c>
      <c r="J238" s="780" t="s">
        <v>4046</v>
      </c>
      <c r="K238" s="780"/>
      <c r="L238" s="778"/>
      <c r="M238" s="778"/>
      <c r="N238" s="778"/>
      <c r="O238" s="779"/>
      <c r="P238" s="778"/>
      <c r="Q238" s="545"/>
      <c r="R238" s="2"/>
      <c r="AL238"/>
      <c r="BD238" s="552"/>
      <c r="BE238"/>
    </row>
    <row r="239" spans="1:57" ht="15" thickBot="1" x14ac:dyDescent="0.35">
      <c r="A239" s="777"/>
      <c r="B239" s="770"/>
      <c r="C239" s="771"/>
      <c r="D239" s="883"/>
      <c r="E239" s="884"/>
      <c r="F239" s="884"/>
      <c r="G239" s="884"/>
      <c r="H239" s="885"/>
      <c r="I239" s="884"/>
      <c r="J239" s="884"/>
      <c r="K239" s="886"/>
      <c r="L239" s="883"/>
      <c r="M239" s="884"/>
      <c r="N239" s="884"/>
      <c r="O239" s="884"/>
      <c r="P239" s="885"/>
      <c r="Q239" s="884"/>
      <c r="R239" s="2"/>
      <c r="AL239"/>
      <c r="BD239" s="552"/>
      <c r="BE239"/>
    </row>
    <row r="240" spans="1:57" x14ac:dyDescent="0.3">
      <c r="D240" s="2"/>
      <c r="E240" s="2"/>
      <c r="F240" s="2"/>
      <c r="G240" s="2"/>
      <c r="H240" s="2"/>
      <c r="I240" s="2"/>
      <c r="J240" s="2"/>
      <c r="K240" s="2"/>
      <c r="L240" s="2"/>
      <c r="M240" s="2"/>
      <c r="N240" s="2"/>
      <c r="O240" s="2"/>
      <c r="P240" s="2"/>
      <c r="Q240" s="2"/>
      <c r="R240" s="2"/>
    </row>
    <row r="241" spans="1:57" x14ac:dyDescent="0.3">
      <c r="D241" s="2"/>
      <c r="E241" s="2"/>
      <c r="F241" s="2"/>
      <c r="G241" s="2"/>
      <c r="H241" s="2"/>
      <c r="I241" s="2"/>
      <c r="J241" s="2"/>
      <c r="K241" s="2"/>
      <c r="L241" s="2"/>
      <c r="M241" s="2"/>
      <c r="N241" s="2"/>
      <c r="O241" s="2"/>
      <c r="P241" s="2"/>
      <c r="Q241" s="2"/>
      <c r="R241" s="2"/>
    </row>
    <row r="242" spans="1:57" x14ac:dyDescent="0.3">
      <c r="B242" s="491"/>
      <c r="C242" s="491"/>
      <c r="D242" s="491" t="s">
        <v>213</v>
      </c>
      <c r="E242" s="491" t="s">
        <v>4051</v>
      </c>
      <c r="F242" s="491" t="s">
        <v>4052</v>
      </c>
      <c r="G242" s="491" t="s">
        <v>4053</v>
      </c>
      <c r="H242" s="491" t="s">
        <v>4054</v>
      </c>
      <c r="I242" s="491" t="s">
        <v>4055</v>
      </c>
      <c r="J242" s="491"/>
      <c r="K242" s="491" t="s">
        <v>4056</v>
      </c>
      <c r="L242" s="491" t="s">
        <v>213</v>
      </c>
      <c r="M242" s="491" t="s">
        <v>4051</v>
      </c>
      <c r="N242" s="491" t="s">
        <v>4052</v>
      </c>
      <c r="O242" s="491" t="s">
        <v>4053</v>
      </c>
      <c r="P242" s="491" t="s">
        <v>4054</v>
      </c>
      <c r="Q242" s="491" t="s">
        <v>4055</v>
      </c>
      <c r="R242" s="2"/>
      <c r="T242" s="2"/>
      <c r="U242" s="2"/>
      <c r="V242" s="2"/>
    </row>
    <row r="243" spans="1:57" ht="15" customHeight="1" x14ac:dyDescent="0.3">
      <c r="A243" s="491" t="s">
        <v>4655</v>
      </c>
      <c r="B243" s="527" t="s">
        <v>4648</v>
      </c>
      <c r="C243" s="527" t="s">
        <v>4649</v>
      </c>
      <c r="D243" s="728">
        <v>4</v>
      </c>
      <c r="E243" s="728">
        <v>0</v>
      </c>
      <c r="F243" s="728">
        <v>3</v>
      </c>
      <c r="G243" s="729">
        <v>3</v>
      </c>
      <c r="H243" s="728">
        <v>0</v>
      </c>
      <c r="I243" s="728">
        <v>-1</v>
      </c>
      <c r="J243" s="730" t="s">
        <v>4046</v>
      </c>
      <c r="K243" s="527"/>
      <c r="L243" s="728"/>
      <c r="M243" s="728"/>
      <c r="N243" s="728"/>
      <c r="O243" s="729"/>
      <c r="P243" s="728"/>
      <c r="Q243" s="731"/>
      <c r="R243" s="2"/>
      <c r="S243" s="742"/>
      <c r="T243" s="2"/>
      <c r="U243" s="2"/>
      <c r="V243" s="2"/>
    </row>
    <row r="244" spans="1:57" s="2" customFormat="1" x14ac:dyDescent="0.3">
      <c r="A244" s="727" t="s">
        <v>4092</v>
      </c>
      <c r="B244" s="522" t="s">
        <v>4650</v>
      </c>
      <c r="C244" s="522" t="s">
        <v>4651</v>
      </c>
      <c r="D244" s="733">
        <v>4</v>
      </c>
      <c r="E244" s="733">
        <v>2</v>
      </c>
      <c r="F244" s="733">
        <v>0</v>
      </c>
      <c r="G244" s="734">
        <v>2</v>
      </c>
      <c r="H244" s="733">
        <v>4</v>
      </c>
      <c r="I244" s="733" t="s">
        <v>558</v>
      </c>
      <c r="J244" s="735" t="s">
        <v>4046</v>
      </c>
      <c r="K244" s="522"/>
      <c r="L244" s="733"/>
      <c r="M244" s="733"/>
      <c r="N244" s="733"/>
      <c r="O244" s="734"/>
      <c r="P244" s="733"/>
      <c r="Q244" s="736"/>
      <c r="S244" s="742"/>
      <c r="AL244" s="742"/>
      <c r="BE244" s="742"/>
    </row>
    <row r="245" spans="1:57" s="2" customFormat="1" x14ac:dyDescent="0.3">
      <c r="A245" s="732"/>
      <c r="B245" s="527" t="s">
        <v>4652</v>
      </c>
      <c r="C245" s="527" t="s">
        <v>4653</v>
      </c>
      <c r="D245" s="728">
        <v>11</v>
      </c>
      <c r="E245" s="728">
        <v>16</v>
      </c>
      <c r="F245" s="728">
        <v>13</v>
      </c>
      <c r="G245" s="729">
        <v>29</v>
      </c>
      <c r="H245" s="728">
        <v>4</v>
      </c>
      <c r="I245" s="728" t="s">
        <v>558</v>
      </c>
      <c r="J245" s="730" t="s">
        <v>4046</v>
      </c>
      <c r="K245" s="527" t="s">
        <v>4095</v>
      </c>
      <c r="L245" s="728">
        <v>5</v>
      </c>
      <c r="M245" s="728">
        <v>2</v>
      </c>
      <c r="N245" s="728">
        <v>0</v>
      </c>
      <c r="O245" s="729">
        <v>2</v>
      </c>
      <c r="P245" s="728">
        <v>7</v>
      </c>
      <c r="Q245" s="731" t="s">
        <v>558</v>
      </c>
      <c r="S245" s="742"/>
      <c r="AL245" s="742"/>
      <c r="BE245" s="742"/>
    </row>
    <row r="246" spans="1:57" s="2" customFormat="1" x14ac:dyDescent="0.3">
      <c r="A246" s="727"/>
      <c r="B246" s="522" t="s">
        <v>4111</v>
      </c>
      <c r="C246" s="522" t="s">
        <v>4595</v>
      </c>
      <c r="D246" s="733">
        <v>56</v>
      </c>
      <c r="E246" s="733">
        <v>21</v>
      </c>
      <c r="F246" s="733">
        <v>20</v>
      </c>
      <c r="G246" s="734">
        <v>41</v>
      </c>
      <c r="H246" s="733">
        <v>22</v>
      </c>
      <c r="I246" s="733">
        <v>11</v>
      </c>
      <c r="J246" s="735" t="s">
        <v>4046</v>
      </c>
      <c r="K246" s="522" t="s">
        <v>4095</v>
      </c>
      <c r="L246" s="733">
        <v>2</v>
      </c>
      <c r="M246" s="733">
        <v>0</v>
      </c>
      <c r="N246" s="733">
        <v>1</v>
      </c>
      <c r="O246" s="734">
        <v>1</v>
      </c>
      <c r="P246" s="733">
        <v>0</v>
      </c>
      <c r="Q246" s="736">
        <v>-1</v>
      </c>
      <c r="S246" s="742"/>
      <c r="AL246" s="742"/>
      <c r="BE246" s="742"/>
    </row>
    <row r="247" spans="1:57" s="2" customFormat="1" x14ac:dyDescent="0.3">
      <c r="A247" s="732" t="s">
        <v>4096</v>
      </c>
      <c r="B247" s="527" t="s">
        <v>4111</v>
      </c>
      <c r="C247" s="527" t="s">
        <v>4595</v>
      </c>
      <c r="D247" s="728">
        <v>32</v>
      </c>
      <c r="E247" s="728">
        <v>18</v>
      </c>
      <c r="F247" s="728">
        <v>14</v>
      </c>
      <c r="G247" s="729">
        <v>32</v>
      </c>
      <c r="H247" s="728">
        <v>33</v>
      </c>
      <c r="I247" s="728">
        <v>8</v>
      </c>
      <c r="J247" s="730" t="s">
        <v>4046</v>
      </c>
      <c r="K247" s="527" t="s">
        <v>4095</v>
      </c>
      <c r="L247" s="728">
        <v>18</v>
      </c>
      <c r="M247" s="728">
        <v>5</v>
      </c>
      <c r="N247" s="728">
        <v>4</v>
      </c>
      <c r="O247" s="729">
        <v>9</v>
      </c>
      <c r="P247" s="728">
        <v>8</v>
      </c>
      <c r="Q247" s="731">
        <v>4</v>
      </c>
      <c r="S247" s="742"/>
      <c r="AL247" s="742"/>
      <c r="BE247" s="742"/>
    </row>
    <row r="248" spans="1:57" s="2" customFormat="1" x14ac:dyDescent="0.3">
      <c r="A248" s="727" t="s">
        <v>4081</v>
      </c>
      <c r="B248" s="522" t="s">
        <v>4654</v>
      </c>
      <c r="C248" s="522" t="s">
        <v>4591</v>
      </c>
      <c r="D248" s="733">
        <v>8</v>
      </c>
      <c r="E248" s="733">
        <v>3</v>
      </c>
      <c r="F248" s="733">
        <v>0</v>
      </c>
      <c r="G248" s="734">
        <v>3</v>
      </c>
      <c r="H248" s="733">
        <v>0</v>
      </c>
      <c r="I248" s="733">
        <v>0</v>
      </c>
      <c r="J248" s="735" t="s">
        <v>4046</v>
      </c>
      <c r="K248" s="522"/>
      <c r="L248" s="733"/>
      <c r="M248" s="733"/>
      <c r="N248" s="733"/>
      <c r="O248" s="734"/>
      <c r="P248" s="733"/>
      <c r="Q248" s="736"/>
      <c r="S248" s="742"/>
      <c r="AL248" s="742"/>
      <c r="BE248" s="742"/>
    </row>
    <row r="249" spans="1:57" s="2" customFormat="1" x14ac:dyDescent="0.3">
      <c r="A249" s="732"/>
      <c r="B249" s="527" t="s">
        <v>4111</v>
      </c>
      <c r="C249" s="527" t="s">
        <v>4595</v>
      </c>
      <c r="D249" s="728">
        <v>29</v>
      </c>
      <c r="E249" s="728">
        <v>11</v>
      </c>
      <c r="F249" s="728">
        <v>12</v>
      </c>
      <c r="G249" s="729">
        <v>23</v>
      </c>
      <c r="H249" s="728">
        <v>9</v>
      </c>
      <c r="I249" s="728">
        <v>0</v>
      </c>
      <c r="J249" s="730" t="s">
        <v>4046</v>
      </c>
      <c r="K249" s="527"/>
      <c r="L249" s="728"/>
      <c r="M249" s="728"/>
      <c r="N249" s="728"/>
      <c r="O249" s="729"/>
      <c r="P249" s="728"/>
      <c r="Q249" s="731"/>
      <c r="S249" s="742"/>
      <c r="AL249" s="742"/>
      <c r="BE249" s="742"/>
    </row>
    <row r="250" spans="1:57" s="2" customFormat="1" ht="15" thickBot="1" x14ac:dyDescent="0.35">
      <c r="A250" s="727" t="s">
        <v>4589</v>
      </c>
      <c r="B250" s="532" t="s">
        <v>4654</v>
      </c>
      <c r="C250" s="532" t="s">
        <v>4591</v>
      </c>
      <c r="D250" s="738">
        <v>20</v>
      </c>
      <c r="E250" s="738">
        <v>3</v>
      </c>
      <c r="F250" s="738">
        <v>4</v>
      </c>
      <c r="G250" s="739">
        <v>7</v>
      </c>
      <c r="H250" s="738">
        <v>10</v>
      </c>
      <c r="I250" s="738">
        <v>-1</v>
      </c>
      <c r="J250" s="740" t="s">
        <v>4046</v>
      </c>
      <c r="K250" s="740"/>
      <c r="L250" s="738"/>
      <c r="M250" s="743"/>
      <c r="N250" s="743"/>
      <c r="O250" s="743"/>
      <c r="P250" s="743"/>
      <c r="Q250" s="545"/>
      <c r="S250" s="742"/>
      <c r="T250"/>
      <c r="U250"/>
      <c r="V250"/>
      <c r="AL250" s="742"/>
      <c r="BE250" s="742"/>
    </row>
    <row r="251" spans="1:57" s="2" customFormat="1" ht="15" thickBot="1" x14ac:dyDescent="0.35">
      <c r="A251" s="737"/>
      <c r="B251"/>
      <c r="C251"/>
      <c r="S251" s="552"/>
      <c r="T251"/>
      <c r="U251"/>
      <c r="V251"/>
      <c r="AL251" s="742"/>
      <c r="BE251" s="742"/>
    </row>
    <row r="252" spans="1:57" x14ac:dyDescent="0.3">
      <c r="D252" s="2"/>
      <c r="E252" s="2"/>
      <c r="F252" s="2"/>
      <c r="G252" s="2"/>
      <c r="H252" s="2"/>
      <c r="I252" s="2"/>
      <c r="J252" s="2"/>
      <c r="K252" s="2"/>
      <c r="L252" s="2"/>
      <c r="M252" s="2"/>
      <c r="N252" s="2"/>
      <c r="O252" s="2"/>
      <c r="P252" s="2"/>
      <c r="Q252" s="2"/>
      <c r="R252" s="2"/>
    </row>
    <row r="253" spans="1:57" x14ac:dyDescent="0.3">
      <c r="B253" s="491"/>
      <c r="C253" s="491"/>
      <c r="D253" s="491" t="s">
        <v>213</v>
      </c>
      <c r="E253" s="491" t="s">
        <v>4051</v>
      </c>
      <c r="F253" s="491" t="s">
        <v>4052</v>
      </c>
      <c r="G253" s="491" t="s">
        <v>4053</v>
      </c>
      <c r="H253" s="491" t="s">
        <v>4054</v>
      </c>
      <c r="I253" s="491" t="s">
        <v>4055</v>
      </c>
      <c r="J253" s="491"/>
      <c r="K253" s="491" t="s">
        <v>4056</v>
      </c>
      <c r="L253" s="491" t="s">
        <v>213</v>
      </c>
      <c r="M253" s="491" t="s">
        <v>4051</v>
      </c>
      <c r="N253" s="491" t="s">
        <v>4052</v>
      </c>
      <c r="O253" s="491" t="s">
        <v>4053</v>
      </c>
      <c r="P253" s="491" t="s">
        <v>4054</v>
      </c>
      <c r="Q253" s="491" t="s">
        <v>4055</v>
      </c>
      <c r="R253" s="2"/>
    </row>
    <row r="254" spans="1:57" ht="15" customHeight="1" x14ac:dyDescent="0.3">
      <c r="A254" s="491" t="s">
        <v>4661</v>
      </c>
      <c r="B254" s="527" t="s">
        <v>4656</v>
      </c>
      <c r="C254" s="527" t="s">
        <v>4657</v>
      </c>
      <c r="D254" s="728">
        <v>51</v>
      </c>
      <c r="E254" s="728">
        <v>6</v>
      </c>
      <c r="F254" s="728">
        <v>22</v>
      </c>
      <c r="G254" s="729">
        <v>28</v>
      </c>
      <c r="H254" s="728">
        <v>6</v>
      </c>
      <c r="I254" s="728">
        <v>2</v>
      </c>
      <c r="J254" s="730" t="s">
        <v>4046</v>
      </c>
      <c r="K254" s="527" t="s">
        <v>4095</v>
      </c>
      <c r="L254" s="728">
        <v>12</v>
      </c>
      <c r="M254" s="728">
        <v>5</v>
      </c>
      <c r="N254" s="728">
        <v>2</v>
      </c>
      <c r="O254" s="729">
        <v>7</v>
      </c>
      <c r="P254" s="728">
        <v>4</v>
      </c>
      <c r="Q254" s="731">
        <v>-1</v>
      </c>
      <c r="R254" s="2"/>
    </row>
    <row r="255" spans="1:57" x14ac:dyDescent="0.3">
      <c r="A255" s="727" t="s">
        <v>4092</v>
      </c>
      <c r="B255" s="522" t="s">
        <v>4658</v>
      </c>
      <c r="C255" s="522" t="s">
        <v>4657</v>
      </c>
      <c r="D255" s="733">
        <v>53</v>
      </c>
      <c r="E255" s="733">
        <v>23</v>
      </c>
      <c r="F255" s="733">
        <v>39</v>
      </c>
      <c r="G255" s="734">
        <v>62</v>
      </c>
      <c r="H255" s="733">
        <v>58</v>
      </c>
      <c r="I255" s="733">
        <v>41</v>
      </c>
      <c r="J255" s="735" t="s">
        <v>4046</v>
      </c>
      <c r="K255" s="735"/>
      <c r="L255" s="733"/>
      <c r="M255" s="733"/>
      <c r="N255" s="733"/>
      <c r="O255" s="734"/>
      <c r="P255" s="733"/>
      <c r="Q255" s="736"/>
      <c r="R255" s="2"/>
    </row>
    <row r="256" spans="1:57" ht="17.25" customHeight="1" x14ac:dyDescent="0.3">
      <c r="A256" s="732" t="s">
        <v>4096</v>
      </c>
      <c r="B256" s="527" t="s">
        <v>4659</v>
      </c>
      <c r="C256" s="527" t="s">
        <v>3731</v>
      </c>
      <c r="D256" s="728">
        <v>10</v>
      </c>
      <c r="E256" s="728">
        <v>2</v>
      </c>
      <c r="F256" s="728">
        <v>1</v>
      </c>
      <c r="G256" s="729">
        <v>3</v>
      </c>
      <c r="H256" s="728">
        <v>2</v>
      </c>
      <c r="I256" s="728">
        <v>-1</v>
      </c>
      <c r="J256" s="730" t="s">
        <v>4046</v>
      </c>
      <c r="K256" s="527" t="s">
        <v>4095</v>
      </c>
      <c r="L256" s="728">
        <v>2</v>
      </c>
      <c r="M256" s="728">
        <v>1</v>
      </c>
      <c r="N256" s="728">
        <v>1</v>
      </c>
      <c r="O256" s="729">
        <v>2</v>
      </c>
      <c r="P256" s="728">
        <v>0</v>
      </c>
      <c r="Q256" s="731">
        <v>1</v>
      </c>
      <c r="R256" s="2"/>
    </row>
    <row r="257" spans="1:57" ht="21" customHeight="1" thickBot="1" x14ac:dyDescent="0.35">
      <c r="A257" s="727" t="s">
        <v>4081</v>
      </c>
      <c r="B257" s="532" t="s">
        <v>4660</v>
      </c>
      <c r="C257" s="532" t="s">
        <v>4591</v>
      </c>
      <c r="D257" s="738">
        <v>48</v>
      </c>
      <c r="E257" s="738">
        <v>11</v>
      </c>
      <c r="F257" s="738">
        <v>19</v>
      </c>
      <c r="G257" s="739">
        <v>30</v>
      </c>
      <c r="H257" s="738">
        <v>6</v>
      </c>
      <c r="I257" s="738">
        <v>-2</v>
      </c>
      <c r="J257" s="740" t="s">
        <v>4046</v>
      </c>
      <c r="K257" s="532" t="s">
        <v>4095</v>
      </c>
      <c r="L257" s="738">
        <v>8</v>
      </c>
      <c r="M257" s="738">
        <v>2</v>
      </c>
      <c r="N257" s="738">
        <v>2</v>
      </c>
      <c r="O257" s="739">
        <v>4</v>
      </c>
      <c r="P257" s="738">
        <v>6</v>
      </c>
      <c r="Q257" s="741">
        <v>2</v>
      </c>
      <c r="R257" s="2"/>
    </row>
    <row r="258" spans="1:57" ht="21.75" customHeight="1" thickBot="1" x14ac:dyDescent="0.35">
      <c r="A258" s="737" t="s">
        <v>4589</v>
      </c>
      <c r="D258" s="2"/>
      <c r="E258" s="2"/>
      <c r="F258" s="2"/>
      <c r="G258" s="2"/>
      <c r="H258" s="2"/>
      <c r="I258" s="2"/>
      <c r="J258" s="2"/>
      <c r="K258" s="2"/>
      <c r="L258" s="2"/>
      <c r="M258" s="2"/>
      <c r="N258" s="2"/>
      <c r="O258" s="2"/>
      <c r="P258" s="2"/>
      <c r="Q258" s="2"/>
      <c r="R258" s="2"/>
    </row>
    <row r="259" spans="1:57" x14ac:dyDescent="0.3">
      <c r="D259" s="2"/>
      <c r="E259" s="2"/>
      <c r="F259" s="2"/>
      <c r="G259" s="2"/>
      <c r="H259" s="2"/>
      <c r="I259" s="2"/>
      <c r="J259" s="2"/>
      <c r="K259" s="2"/>
      <c r="L259" s="2"/>
      <c r="M259" s="2"/>
      <c r="N259" s="2"/>
      <c r="O259" s="2"/>
      <c r="P259" s="2"/>
      <c r="Q259" s="2"/>
      <c r="R259" s="2"/>
    </row>
    <row r="260" spans="1:57" x14ac:dyDescent="0.3">
      <c r="B260" s="491"/>
      <c r="C260" s="491"/>
      <c r="D260" s="491" t="s">
        <v>213</v>
      </c>
      <c r="E260" s="491" t="s">
        <v>4051</v>
      </c>
      <c r="F260" s="491" t="s">
        <v>4052</v>
      </c>
      <c r="G260" s="491" t="s">
        <v>4053</v>
      </c>
      <c r="H260" s="491" t="s">
        <v>4054</v>
      </c>
      <c r="I260" s="491" t="s">
        <v>4055</v>
      </c>
      <c r="J260" s="491"/>
      <c r="K260" s="491" t="s">
        <v>4056</v>
      </c>
      <c r="L260" s="491" t="s">
        <v>213</v>
      </c>
      <c r="M260" s="491" t="s">
        <v>4051</v>
      </c>
      <c r="N260" s="491" t="s">
        <v>4052</v>
      </c>
      <c r="O260" s="491" t="s">
        <v>4053</v>
      </c>
      <c r="P260" s="491" t="s">
        <v>4054</v>
      </c>
      <c r="Q260" s="491" t="s">
        <v>4055</v>
      </c>
      <c r="R260" s="2"/>
    </row>
    <row r="261" spans="1:57" ht="15" customHeight="1" x14ac:dyDescent="0.3">
      <c r="A261" s="491" t="s">
        <v>4662</v>
      </c>
      <c r="B261" s="522" t="s">
        <v>4663</v>
      </c>
      <c r="C261" s="522" t="s">
        <v>3733</v>
      </c>
      <c r="D261" s="733">
        <v>47</v>
      </c>
      <c r="E261" s="733">
        <v>16</v>
      </c>
      <c r="F261" s="733">
        <v>30</v>
      </c>
      <c r="G261" s="734">
        <v>46</v>
      </c>
      <c r="H261" s="733">
        <v>49</v>
      </c>
      <c r="I261" s="733">
        <v>13</v>
      </c>
      <c r="J261" s="735" t="s">
        <v>4046</v>
      </c>
      <c r="K261" s="522" t="s">
        <v>4095</v>
      </c>
      <c r="L261" s="733">
        <v>3</v>
      </c>
      <c r="M261" s="733">
        <v>0</v>
      </c>
      <c r="N261" s="733">
        <v>2</v>
      </c>
      <c r="O261" s="734">
        <v>2</v>
      </c>
      <c r="P261" s="733">
        <v>10</v>
      </c>
      <c r="Q261" s="736">
        <v>0</v>
      </c>
      <c r="R261" s="2"/>
    </row>
    <row r="262" spans="1:57" x14ac:dyDescent="0.3">
      <c r="A262" s="732" t="s">
        <v>4092</v>
      </c>
      <c r="B262" s="527" t="s">
        <v>4664</v>
      </c>
      <c r="C262" s="527" t="s">
        <v>4591</v>
      </c>
      <c r="D262" s="728">
        <v>6</v>
      </c>
      <c r="E262" s="728">
        <v>0</v>
      </c>
      <c r="F262" s="728">
        <v>0</v>
      </c>
      <c r="G262" s="729">
        <v>0</v>
      </c>
      <c r="H262" s="728">
        <v>12</v>
      </c>
      <c r="I262" s="728">
        <v>-1</v>
      </c>
      <c r="J262" s="730" t="s">
        <v>4046</v>
      </c>
      <c r="K262" s="527"/>
      <c r="L262" s="728"/>
      <c r="M262" s="728"/>
      <c r="N262" s="728"/>
      <c r="O262" s="729"/>
      <c r="P262" s="728"/>
      <c r="Q262" s="731"/>
      <c r="R262" s="2"/>
    </row>
    <row r="263" spans="1:57" ht="18.75" customHeight="1" x14ac:dyDescent="0.3">
      <c r="A263" s="727" t="s">
        <v>4096</v>
      </c>
      <c r="B263" s="522" t="s">
        <v>4665</v>
      </c>
      <c r="C263" s="522" t="s">
        <v>4595</v>
      </c>
      <c r="D263" s="733">
        <v>48</v>
      </c>
      <c r="E263" s="733">
        <v>18</v>
      </c>
      <c r="F263" s="733">
        <v>27</v>
      </c>
      <c r="G263" s="734">
        <v>45</v>
      </c>
      <c r="H263" s="733">
        <v>58</v>
      </c>
      <c r="I263" s="733">
        <v>12</v>
      </c>
      <c r="J263" s="735" t="s">
        <v>4046</v>
      </c>
      <c r="K263" s="522"/>
      <c r="L263" s="733"/>
      <c r="M263" s="733"/>
      <c r="N263" s="733"/>
      <c r="O263" s="734"/>
      <c r="P263" s="733"/>
      <c r="Q263" s="736"/>
      <c r="R263" s="2"/>
    </row>
    <row r="264" spans="1:57" x14ac:dyDescent="0.3">
      <c r="A264" s="732"/>
      <c r="B264" s="527" t="s">
        <v>4666</v>
      </c>
      <c r="C264" s="527" t="s">
        <v>4595</v>
      </c>
      <c r="D264" s="728">
        <v>34</v>
      </c>
      <c r="E264" s="728">
        <v>16</v>
      </c>
      <c r="F264" s="728">
        <v>20</v>
      </c>
      <c r="G264" s="729">
        <v>36</v>
      </c>
      <c r="H264" s="728">
        <v>46</v>
      </c>
      <c r="I264" s="728">
        <v>16</v>
      </c>
      <c r="J264" s="730" t="s">
        <v>4046</v>
      </c>
      <c r="K264" s="527" t="s">
        <v>4095</v>
      </c>
      <c r="L264" s="728">
        <v>15</v>
      </c>
      <c r="M264" s="728">
        <v>4</v>
      </c>
      <c r="N264" s="728">
        <v>7</v>
      </c>
      <c r="O264" s="729">
        <v>11</v>
      </c>
      <c r="P264" s="728">
        <v>33</v>
      </c>
      <c r="Q264" s="731">
        <v>4</v>
      </c>
      <c r="R264" s="2"/>
    </row>
    <row r="265" spans="1:57" x14ac:dyDescent="0.3">
      <c r="A265" s="727" t="s">
        <v>4081</v>
      </c>
      <c r="B265" s="522" t="s">
        <v>4666</v>
      </c>
      <c r="C265" s="522" t="s">
        <v>4591</v>
      </c>
      <c r="D265" s="733">
        <v>55</v>
      </c>
      <c r="E265" s="733">
        <v>15</v>
      </c>
      <c r="F265" s="733">
        <v>18</v>
      </c>
      <c r="G265" s="734">
        <v>33</v>
      </c>
      <c r="H265" s="733">
        <v>49</v>
      </c>
      <c r="I265" s="733">
        <v>-4</v>
      </c>
      <c r="J265" s="735" t="s">
        <v>4046</v>
      </c>
      <c r="K265" s="735"/>
      <c r="L265" s="733"/>
      <c r="M265" s="733"/>
      <c r="N265" s="733"/>
      <c r="O265" s="734"/>
      <c r="P265" s="733"/>
      <c r="Q265" s="736"/>
      <c r="R265" s="2"/>
    </row>
    <row r="266" spans="1:57" ht="15" thickBot="1" x14ac:dyDescent="0.35">
      <c r="A266" s="732" t="s">
        <v>4589</v>
      </c>
      <c r="B266" s="541" t="s">
        <v>4666</v>
      </c>
      <c r="C266" s="541" t="s">
        <v>4667</v>
      </c>
      <c r="D266" s="745" t="s">
        <v>558</v>
      </c>
      <c r="E266" s="745" t="s">
        <v>558</v>
      </c>
      <c r="F266" s="745" t="s">
        <v>558</v>
      </c>
      <c r="G266" s="746" t="s">
        <v>558</v>
      </c>
      <c r="H266" s="745" t="s">
        <v>558</v>
      </c>
      <c r="I266" s="745" t="s">
        <v>558</v>
      </c>
      <c r="J266" s="747" t="s">
        <v>4046</v>
      </c>
      <c r="K266" s="541" t="s">
        <v>4668</v>
      </c>
      <c r="L266" s="745">
        <v>5</v>
      </c>
      <c r="M266" s="745">
        <v>2</v>
      </c>
      <c r="N266" s="745">
        <v>5</v>
      </c>
      <c r="O266" s="746">
        <v>7</v>
      </c>
      <c r="P266" s="745">
        <v>0</v>
      </c>
      <c r="Q266" s="748">
        <v>5</v>
      </c>
      <c r="R266" s="2"/>
    </row>
    <row r="267" spans="1:57" ht="15" thickBot="1" x14ac:dyDescent="0.35">
      <c r="A267" s="744"/>
      <c r="D267" s="2"/>
      <c r="E267" s="2"/>
      <c r="F267" s="2"/>
      <c r="G267" s="2"/>
      <c r="H267" s="2"/>
      <c r="I267" s="2"/>
      <c r="J267" s="2"/>
      <c r="K267" s="2"/>
      <c r="L267" s="2"/>
      <c r="M267" s="2"/>
      <c r="N267" s="2"/>
      <c r="O267" s="2"/>
      <c r="P267" s="2"/>
      <c r="Q267" s="2"/>
      <c r="R267" s="2"/>
      <c r="T267" s="2"/>
      <c r="U267" s="2"/>
      <c r="V267" s="2"/>
    </row>
    <row r="268" spans="1:57" ht="15" thickBot="1" x14ac:dyDescent="0.35">
      <c r="B268" s="781" t="s">
        <v>4705</v>
      </c>
      <c r="C268" s="782"/>
      <c r="D268" s="782">
        <v>105</v>
      </c>
      <c r="E268" s="782">
        <v>20</v>
      </c>
      <c r="F268" s="782">
        <v>21</v>
      </c>
      <c r="G268" s="783">
        <v>41</v>
      </c>
      <c r="H268" s="782">
        <v>79</v>
      </c>
      <c r="I268" s="782">
        <v>-4</v>
      </c>
      <c r="J268" s="2"/>
      <c r="K268" s="784" t="s">
        <v>4046</v>
      </c>
      <c r="L268" s="782">
        <v>2</v>
      </c>
      <c r="M268" s="782">
        <v>11</v>
      </c>
      <c r="N268" s="782">
        <v>0</v>
      </c>
      <c r="O268" s="782"/>
      <c r="P268" s="782">
        <v>37</v>
      </c>
      <c r="Q268" s="785">
        <v>-5</v>
      </c>
      <c r="R268" s="2"/>
      <c r="T268" s="2"/>
      <c r="U268" s="2"/>
      <c r="V268" s="2"/>
    </row>
    <row r="269" spans="1:57" s="2" customFormat="1" x14ac:dyDescent="0.3">
      <c r="B269" s="675" t="s">
        <v>4706</v>
      </c>
      <c r="C269" s="786"/>
      <c r="D269" s="786">
        <f>D268-D265</f>
        <v>50</v>
      </c>
      <c r="E269" s="786">
        <f t="shared" ref="E269:G269" si="37">E268-E265</f>
        <v>5</v>
      </c>
      <c r="F269" s="786">
        <f t="shared" si="37"/>
        <v>3</v>
      </c>
      <c r="G269" s="786">
        <f t="shared" si="37"/>
        <v>8</v>
      </c>
      <c r="H269" s="786"/>
      <c r="I269" s="786"/>
      <c r="J269" s="786"/>
      <c r="K269" s="788"/>
      <c r="L269" s="786"/>
      <c r="M269" s="786"/>
      <c r="N269" s="786"/>
      <c r="O269" s="786"/>
      <c r="P269" s="787"/>
      <c r="Q269" s="786"/>
      <c r="S269" s="552"/>
      <c r="T269"/>
      <c r="U269"/>
      <c r="V269"/>
      <c r="AL269" s="742"/>
      <c r="BE269" s="742"/>
    </row>
    <row r="270" spans="1:57" s="2" customFormat="1" ht="15.75" customHeight="1" x14ac:dyDescent="0.3">
      <c r="B270"/>
      <c r="C270"/>
      <c r="S270" s="552"/>
      <c r="T270"/>
      <c r="U270"/>
      <c r="V270"/>
      <c r="AL270" s="742"/>
      <c r="BE270" s="742"/>
    </row>
    <row r="271" spans="1:57" x14ac:dyDescent="0.3">
      <c r="B271" s="491"/>
      <c r="C271" s="491"/>
      <c r="D271" s="491" t="s">
        <v>213</v>
      </c>
      <c r="E271" s="491" t="s">
        <v>4051</v>
      </c>
      <c r="F271" s="491" t="s">
        <v>4052</v>
      </c>
      <c r="G271" s="491" t="s">
        <v>4053</v>
      </c>
      <c r="H271" s="491" t="s">
        <v>4054</v>
      </c>
      <c r="I271" s="491" t="s">
        <v>4055</v>
      </c>
      <c r="J271" s="491"/>
      <c r="K271" s="491" t="s">
        <v>4056</v>
      </c>
      <c r="L271" s="491" t="s">
        <v>213</v>
      </c>
      <c r="M271" s="491" t="s">
        <v>4051</v>
      </c>
      <c r="N271" s="491" t="s">
        <v>4052</v>
      </c>
      <c r="O271" s="491" t="s">
        <v>4053</v>
      </c>
      <c r="P271" s="491" t="s">
        <v>4054</v>
      </c>
      <c r="Q271" s="491" t="s">
        <v>4055</v>
      </c>
      <c r="R271" s="2"/>
      <c r="T271" s="2"/>
      <c r="U271" s="2"/>
      <c r="V271" s="2"/>
    </row>
    <row r="272" spans="1:57" ht="15" customHeight="1" x14ac:dyDescent="0.3">
      <c r="A272" s="491" t="s">
        <v>4678</v>
      </c>
      <c r="B272" s="527" t="s">
        <v>4669</v>
      </c>
      <c r="C272" s="527" t="s">
        <v>4670</v>
      </c>
      <c r="D272" s="750">
        <v>48</v>
      </c>
      <c r="E272" s="750">
        <v>10</v>
      </c>
      <c r="F272" s="750">
        <v>20</v>
      </c>
      <c r="G272" s="751">
        <v>30</v>
      </c>
      <c r="H272" s="750">
        <v>36</v>
      </c>
      <c r="I272" s="750">
        <v>17</v>
      </c>
      <c r="J272" s="752" t="s">
        <v>4046</v>
      </c>
      <c r="K272" s="527" t="s">
        <v>4095</v>
      </c>
      <c r="L272" s="750">
        <v>13</v>
      </c>
      <c r="M272" s="750">
        <v>2</v>
      </c>
      <c r="N272" s="750">
        <v>1</v>
      </c>
      <c r="O272" s="751">
        <v>3</v>
      </c>
      <c r="P272" s="750">
        <v>16</v>
      </c>
      <c r="Q272" s="753">
        <v>1</v>
      </c>
      <c r="R272" s="2"/>
      <c r="S272" s="742"/>
      <c r="T272" s="2"/>
      <c r="U272" s="2"/>
      <c r="V272" s="2"/>
    </row>
    <row r="273" spans="1:57" s="2" customFormat="1" x14ac:dyDescent="0.3">
      <c r="A273" s="749" t="s">
        <v>4092</v>
      </c>
      <c r="B273" s="522" t="s">
        <v>4671</v>
      </c>
      <c r="C273" s="522" t="s">
        <v>4672</v>
      </c>
      <c r="D273" s="755">
        <v>3</v>
      </c>
      <c r="E273" s="755">
        <v>0</v>
      </c>
      <c r="F273" s="755">
        <v>0</v>
      </c>
      <c r="G273" s="756">
        <v>0</v>
      </c>
      <c r="H273" s="755">
        <v>0</v>
      </c>
      <c r="I273" s="755">
        <v>-3</v>
      </c>
      <c r="J273" s="757" t="s">
        <v>4046</v>
      </c>
      <c r="K273" s="522"/>
      <c r="L273" s="755"/>
      <c r="M273" s="755"/>
      <c r="N273" s="755"/>
      <c r="O273" s="756"/>
      <c r="P273" s="755"/>
      <c r="Q273" s="758"/>
      <c r="S273" s="742"/>
      <c r="AL273" s="742"/>
      <c r="BE273" s="742"/>
    </row>
    <row r="274" spans="1:57" s="2" customFormat="1" x14ac:dyDescent="0.3">
      <c r="A274" s="754"/>
      <c r="B274" s="527" t="s">
        <v>4673</v>
      </c>
      <c r="C274" s="527" t="s">
        <v>4674</v>
      </c>
      <c r="D274" s="760">
        <v>12</v>
      </c>
      <c r="E274" s="760">
        <v>0</v>
      </c>
      <c r="F274" s="760">
        <v>2</v>
      </c>
      <c r="G274" s="761">
        <v>2</v>
      </c>
      <c r="H274" s="760">
        <v>12</v>
      </c>
      <c r="I274" s="760">
        <v>-1</v>
      </c>
      <c r="J274" s="762" t="s">
        <v>4046</v>
      </c>
      <c r="K274" s="527"/>
      <c r="L274" s="760"/>
      <c r="M274" s="760"/>
      <c r="N274" s="760"/>
      <c r="O274" s="761"/>
      <c r="P274" s="760"/>
      <c r="Q274" s="763"/>
      <c r="S274" s="742"/>
      <c r="AL274" s="742"/>
      <c r="BE274" s="742"/>
    </row>
    <row r="275" spans="1:57" s="2" customFormat="1" x14ac:dyDescent="0.3">
      <c r="A275" s="759"/>
      <c r="B275" s="522" t="s">
        <v>4593</v>
      </c>
      <c r="C275" s="522" t="s">
        <v>4591</v>
      </c>
      <c r="D275" s="733">
        <v>37</v>
      </c>
      <c r="E275" s="733">
        <v>3</v>
      </c>
      <c r="F275" s="733">
        <v>5</v>
      </c>
      <c r="G275" s="734">
        <v>8</v>
      </c>
      <c r="H275" s="733">
        <v>28</v>
      </c>
      <c r="I275" s="733">
        <v>0</v>
      </c>
      <c r="J275" s="735" t="s">
        <v>4046</v>
      </c>
      <c r="K275" s="522" t="s">
        <v>4095</v>
      </c>
      <c r="L275" s="733">
        <v>2</v>
      </c>
      <c r="M275" s="733">
        <v>0</v>
      </c>
      <c r="N275" s="733">
        <v>0</v>
      </c>
      <c r="O275" s="734">
        <v>0</v>
      </c>
      <c r="P275" s="733">
        <v>0</v>
      </c>
      <c r="Q275" s="736">
        <v>0</v>
      </c>
      <c r="S275" s="742"/>
      <c r="AL275" s="742"/>
      <c r="BE275" s="742"/>
    </row>
    <row r="276" spans="1:57" s="2" customFormat="1" x14ac:dyDescent="0.3">
      <c r="A276" s="732" t="s">
        <v>4096</v>
      </c>
      <c r="B276" s="527" t="s">
        <v>4675</v>
      </c>
      <c r="C276" s="527" t="s">
        <v>4595</v>
      </c>
      <c r="D276" s="728">
        <v>9</v>
      </c>
      <c r="E276" s="728">
        <v>2</v>
      </c>
      <c r="F276" s="728">
        <v>2</v>
      </c>
      <c r="G276" s="729">
        <v>4</v>
      </c>
      <c r="H276" s="728">
        <v>14</v>
      </c>
      <c r="I276" s="728">
        <v>4</v>
      </c>
      <c r="J276" s="730" t="s">
        <v>4046</v>
      </c>
      <c r="K276" s="730"/>
      <c r="L276" s="728"/>
      <c r="M276" s="728"/>
      <c r="N276" s="728"/>
      <c r="O276" s="729"/>
      <c r="P276" s="728"/>
      <c r="Q276" s="731"/>
      <c r="S276" s="742"/>
      <c r="AL276" s="742"/>
      <c r="BE276" s="742"/>
    </row>
    <row r="277" spans="1:57" s="2" customFormat="1" x14ac:dyDescent="0.3">
      <c r="A277" s="727"/>
      <c r="B277" s="522" t="s">
        <v>4593</v>
      </c>
      <c r="C277" s="522" t="s">
        <v>4591</v>
      </c>
      <c r="D277" s="733">
        <v>49</v>
      </c>
      <c r="E277" s="733">
        <v>2</v>
      </c>
      <c r="F277" s="733">
        <v>5</v>
      </c>
      <c r="G277" s="734">
        <v>7</v>
      </c>
      <c r="H277" s="733">
        <v>58</v>
      </c>
      <c r="I277" s="733">
        <v>-6</v>
      </c>
      <c r="J277" s="735" t="s">
        <v>4046</v>
      </c>
      <c r="K277" s="522" t="s">
        <v>4095</v>
      </c>
      <c r="L277" s="733">
        <v>7</v>
      </c>
      <c r="M277" s="733">
        <v>2</v>
      </c>
      <c r="N277" s="733">
        <v>0</v>
      </c>
      <c r="O277" s="734">
        <v>2</v>
      </c>
      <c r="P277" s="733">
        <v>4</v>
      </c>
      <c r="Q277" s="736">
        <v>1</v>
      </c>
      <c r="S277" s="742"/>
      <c r="AL277" s="742"/>
      <c r="BE277" s="742"/>
    </row>
    <row r="278" spans="1:57" s="2" customFormat="1" x14ac:dyDescent="0.3">
      <c r="A278" s="732" t="s">
        <v>4081</v>
      </c>
      <c r="B278" s="527" t="s">
        <v>4676</v>
      </c>
      <c r="C278" s="527" t="s">
        <v>4104</v>
      </c>
      <c r="D278" s="760">
        <v>3</v>
      </c>
      <c r="E278" s="760">
        <v>1</v>
      </c>
      <c r="F278" s="760">
        <v>3</v>
      </c>
      <c r="G278" s="761">
        <v>4</v>
      </c>
      <c r="H278" s="760">
        <v>0</v>
      </c>
      <c r="I278" s="760">
        <v>5</v>
      </c>
      <c r="J278" s="762" t="s">
        <v>4046</v>
      </c>
      <c r="K278" s="762"/>
      <c r="L278" s="760"/>
      <c r="M278" s="760"/>
      <c r="N278" s="760"/>
      <c r="O278" s="761"/>
      <c r="P278" s="760"/>
      <c r="Q278" s="763"/>
      <c r="S278" s="742"/>
      <c r="AL278" s="742"/>
      <c r="BE278" s="742"/>
    </row>
    <row r="279" spans="1:57" s="2" customFormat="1" x14ac:dyDescent="0.3">
      <c r="A279" s="759"/>
      <c r="B279" s="522" t="s">
        <v>4593</v>
      </c>
      <c r="C279" s="522" t="s">
        <v>4591</v>
      </c>
      <c r="D279" s="733">
        <v>29</v>
      </c>
      <c r="E279" s="733">
        <v>0</v>
      </c>
      <c r="F279" s="733">
        <v>3</v>
      </c>
      <c r="G279" s="734">
        <v>3</v>
      </c>
      <c r="H279" s="733">
        <v>8</v>
      </c>
      <c r="I279" s="733">
        <v>2</v>
      </c>
      <c r="J279" s="735" t="s">
        <v>4046</v>
      </c>
      <c r="K279" s="735"/>
      <c r="L279" s="733"/>
      <c r="M279" s="733"/>
      <c r="N279" s="733"/>
      <c r="O279" s="734"/>
      <c r="P279" s="733"/>
      <c r="Q279" s="736"/>
      <c r="S279" s="742"/>
      <c r="AL279" s="742"/>
      <c r="BE279" s="742"/>
    </row>
    <row r="280" spans="1:57" s="2" customFormat="1" ht="15" thickBot="1" x14ac:dyDescent="0.35">
      <c r="A280" s="732" t="s">
        <v>4589</v>
      </c>
      <c r="B280" s="541" t="s">
        <v>4677</v>
      </c>
      <c r="C280" s="541" t="s">
        <v>4595</v>
      </c>
      <c r="D280" s="745">
        <v>19</v>
      </c>
      <c r="E280" s="745">
        <v>1</v>
      </c>
      <c r="F280" s="745">
        <v>4</v>
      </c>
      <c r="G280" s="746">
        <v>5</v>
      </c>
      <c r="H280" s="745">
        <v>18</v>
      </c>
      <c r="I280" s="745">
        <v>-4</v>
      </c>
      <c r="J280" s="747" t="s">
        <v>4046</v>
      </c>
      <c r="K280" s="743"/>
      <c r="L280" s="743"/>
      <c r="M280" s="743"/>
      <c r="N280" s="743"/>
      <c r="O280" s="743"/>
      <c r="P280" s="743"/>
      <c r="Q280" s="545"/>
      <c r="S280" s="742"/>
      <c r="T280"/>
      <c r="U280"/>
      <c r="V280"/>
      <c r="AL280" s="742"/>
      <c r="BE280" s="742"/>
    </row>
    <row r="281" spans="1:57" s="2" customFormat="1" ht="15" thickBot="1" x14ac:dyDescent="0.35">
      <c r="A281" s="744"/>
      <c r="B281"/>
      <c r="C281"/>
      <c r="D281"/>
      <c r="E281"/>
      <c r="F281"/>
      <c r="G281"/>
      <c r="H281"/>
      <c r="I281"/>
      <c r="J281"/>
      <c r="K281"/>
      <c r="L281"/>
      <c r="M281"/>
      <c r="N281"/>
      <c r="O281"/>
      <c r="P281"/>
      <c r="Q281"/>
      <c r="R281"/>
      <c r="S281" s="552"/>
      <c r="T281"/>
      <c r="U281"/>
      <c r="V281"/>
      <c r="AL281" s="742"/>
      <c r="BE281" s="742"/>
    </row>
    <row r="283" spans="1:57" x14ac:dyDescent="0.3">
      <c r="B283" s="557"/>
      <c r="C283" s="764" t="s">
        <v>213</v>
      </c>
      <c r="D283" s="764" t="s">
        <v>4051</v>
      </c>
      <c r="E283" s="764" t="s">
        <v>4052</v>
      </c>
      <c r="F283" s="764" t="s">
        <v>4053</v>
      </c>
      <c r="G283" s="764" t="s">
        <v>4054</v>
      </c>
      <c r="H283" s="764" t="s">
        <v>4055</v>
      </c>
      <c r="I283" s="764" t="s">
        <v>4681</v>
      </c>
      <c r="J283" s="557"/>
      <c r="K283" s="557"/>
      <c r="L283" s="557"/>
      <c r="M283" s="557"/>
      <c r="N283" s="557"/>
      <c r="O283" s="557"/>
      <c r="P283" s="557"/>
      <c r="Q283" s="557"/>
    </row>
    <row r="284" spans="1:57" x14ac:dyDescent="0.3">
      <c r="A284" s="557"/>
      <c r="B284" s="183" t="s">
        <v>4611</v>
      </c>
      <c r="C284" s="765">
        <v>55</v>
      </c>
      <c r="D284" s="765">
        <v>15</v>
      </c>
      <c r="E284" s="765">
        <v>18</v>
      </c>
      <c r="F284" s="765">
        <v>33</v>
      </c>
      <c r="G284" s="765">
        <v>49</v>
      </c>
      <c r="H284" s="765">
        <v>-4</v>
      </c>
      <c r="I284" s="768">
        <f>F284/C284</f>
        <v>0.6</v>
      </c>
      <c r="J284" s="557"/>
      <c r="K284" s="769" t="s">
        <v>4668</v>
      </c>
      <c r="L284" s="765">
        <v>5</v>
      </c>
      <c r="M284" s="765">
        <v>2</v>
      </c>
      <c r="N284" s="765">
        <v>5</v>
      </c>
      <c r="O284" s="765">
        <v>7</v>
      </c>
      <c r="P284" s="765">
        <v>0</v>
      </c>
      <c r="Q284" s="765">
        <v>5</v>
      </c>
    </row>
    <row r="285" spans="1:57" x14ac:dyDescent="0.3">
      <c r="A285" s="765" t="s">
        <v>4589</v>
      </c>
      <c r="B285" s="183" t="s">
        <v>4612</v>
      </c>
      <c r="C285" s="765">
        <v>48</v>
      </c>
      <c r="D285" s="765">
        <v>11</v>
      </c>
      <c r="E285" s="765">
        <v>19</v>
      </c>
      <c r="F285" s="765">
        <v>30</v>
      </c>
      <c r="G285" s="765">
        <v>6</v>
      </c>
      <c r="H285" s="765">
        <v>-2</v>
      </c>
      <c r="I285" s="768">
        <f t="shared" ref="I285:I290" si="38">F285/C285</f>
        <v>0.625</v>
      </c>
      <c r="J285" s="557"/>
      <c r="K285" s="769" t="s">
        <v>4095</v>
      </c>
      <c r="L285" s="765">
        <v>8</v>
      </c>
      <c r="M285" s="765">
        <v>2</v>
      </c>
      <c r="N285" s="765">
        <v>2</v>
      </c>
      <c r="O285" s="765">
        <v>4</v>
      </c>
      <c r="P285" s="765">
        <v>6</v>
      </c>
      <c r="Q285" s="765">
        <v>2</v>
      </c>
    </row>
    <row r="286" spans="1:57" x14ac:dyDescent="0.3">
      <c r="A286" s="765" t="s">
        <v>4589</v>
      </c>
      <c r="B286" s="183" t="s">
        <v>2972</v>
      </c>
      <c r="C286" s="765">
        <v>51</v>
      </c>
      <c r="D286" s="765">
        <v>10</v>
      </c>
      <c r="E286" s="765">
        <v>14</v>
      </c>
      <c r="F286" s="765">
        <v>24</v>
      </c>
      <c r="G286" s="765">
        <v>34</v>
      </c>
      <c r="H286" s="765">
        <v>-13</v>
      </c>
      <c r="I286" s="768">
        <f t="shared" si="38"/>
        <v>0.47058823529411764</v>
      </c>
      <c r="J286" s="557"/>
      <c r="K286" s="557"/>
      <c r="L286" s="557"/>
      <c r="M286" s="557"/>
      <c r="N286" s="557"/>
      <c r="O286" s="557"/>
      <c r="P286" s="557"/>
      <c r="Q286" s="557"/>
    </row>
    <row r="287" spans="1:57" x14ac:dyDescent="0.3">
      <c r="A287" s="765" t="s">
        <v>4589</v>
      </c>
      <c r="B287" s="183" t="s">
        <v>4</v>
      </c>
      <c r="C287" s="765">
        <v>56</v>
      </c>
      <c r="D287" s="765">
        <v>8</v>
      </c>
      <c r="E287" s="765">
        <v>16</v>
      </c>
      <c r="F287" s="765">
        <v>24</v>
      </c>
      <c r="G287" s="765">
        <v>24</v>
      </c>
      <c r="H287" s="765">
        <v>-7</v>
      </c>
      <c r="I287" s="768">
        <f t="shared" si="38"/>
        <v>0.42857142857142855</v>
      </c>
      <c r="J287" s="557"/>
      <c r="K287" s="557"/>
      <c r="L287" s="557"/>
      <c r="M287" s="557"/>
      <c r="N287" s="557"/>
      <c r="O287" s="557"/>
      <c r="P287" s="557"/>
      <c r="Q287" s="557"/>
    </row>
    <row r="288" spans="1:57" x14ac:dyDescent="0.3">
      <c r="A288" s="765" t="s">
        <v>4589</v>
      </c>
      <c r="B288" s="183" t="s">
        <v>9</v>
      </c>
      <c r="C288" s="765">
        <v>41</v>
      </c>
      <c r="D288" s="765">
        <v>2</v>
      </c>
      <c r="E288" s="765">
        <v>14</v>
      </c>
      <c r="F288" s="765">
        <v>16</v>
      </c>
      <c r="G288" s="765">
        <v>12</v>
      </c>
      <c r="H288" s="765">
        <v>-5</v>
      </c>
      <c r="I288" s="768">
        <f t="shared" si="38"/>
        <v>0.3902439024390244</v>
      </c>
      <c r="J288" s="557"/>
      <c r="K288" s="557"/>
      <c r="L288" s="557"/>
      <c r="M288" s="557"/>
      <c r="N288" s="557"/>
      <c r="O288" s="557"/>
      <c r="P288" s="557"/>
      <c r="Q288" s="557"/>
    </row>
    <row r="289" spans="1:17" x14ac:dyDescent="0.3">
      <c r="A289" s="765" t="s">
        <v>4589</v>
      </c>
      <c r="B289" s="183" t="s">
        <v>26</v>
      </c>
      <c r="C289" s="765">
        <v>41</v>
      </c>
      <c r="D289" s="765">
        <v>2</v>
      </c>
      <c r="E289" s="765">
        <v>5</v>
      </c>
      <c r="F289" s="765">
        <v>7</v>
      </c>
      <c r="G289" s="765">
        <v>8</v>
      </c>
      <c r="H289" s="765">
        <v>-3</v>
      </c>
      <c r="I289" s="768">
        <f t="shared" si="38"/>
        <v>0.17073170731707318</v>
      </c>
      <c r="J289" s="557"/>
      <c r="K289" s="557"/>
      <c r="L289" s="557"/>
      <c r="M289" s="557"/>
      <c r="N289" s="557"/>
      <c r="O289" s="557"/>
      <c r="P289" s="557"/>
      <c r="Q289" s="557"/>
    </row>
    <row r="290" spans="1:17" x14ac:dyDescent="0.3">
      <c r="A290" s="765" t="s">
        <v>4589</v>
      </c>
      <c r="B290" s="183" t="s">
        <v>1244</v>
      </c>
      <c r="C290" s="183">
        <v>45</v>
      </c>
      <c r="D290" s="183">
        <v>7</v>
      </c>
      <c r="E290" s="183">
        <v>2</v>
      </c>
      <c r="F290" s="183">
        <v>9</v>
      </c>
      <c r="G290" s="183">
        <v>41</v>
      </c>
      <c r="H290" s="183">
        <v>-5</v>
      </c>
      <c r="I290" s="768">
        <f t="shared" si="38"/>
        <v>0.2</v>
      </c>
      <c r="J290" s="557"/>
      <c r="K290" s="557"/>
      <c r="L290" s="557"/>
      <c r="M290" s="557"/>
      <c r="N290" s="557"/>
      <c r="O290" s="557"/>
      <c r="P290" s="557"/>
      <c r="Q290" s="557"/>
    </row>
    <row r="291" spans="1:17" x14ac:dyDescent="0.3">
      <c r="A291" s="765" t="s">
        <v>4589</v>
      </c>
      <c r="B291" s="767" t="s">
        <v>4679</v>
      </c>
      <c r="C291" s="767">
        <f>C284+C285+L284+L285</f>
        <v>116</v>
      </c>
      <c r="D291" s="767">
        <f t="shared" ref="D291:F291" si="39">D284+D285+M284+M285</f>
        <v>30</v>
      </c>
      <c r="E291" s="767">
        <f t="shared" si="39"/>
        <v>44</v>
      </c>
      <c r="F291" s="767">
        <f t="shared" si="39"/>
        <v>74</v>
      </c>
      <c r="G291" s="767">
        <f>G284+G285+P284+P285</f>
        <v>61</v>
      </c>
      <c r="H291" s="767">
        <f>H284+H285+Q284+Q285</f>
        <v>1</v>
      </c>
      <c r="I291" s="768">
        <f>F291/C291</f>
        <v>0.63793103448275867</v>
      </c>
      <c r="J291" s="557"/>
      <c r="K291" s="557"/>
      <c r="L291" s="557"/>
      <c r="M291" s="557"/>
      <c r="N291" s="557"/>
      <c r="O291" s="557"/>
      <c r="P291" s="557"/>
      <c r="Q291" s="557"/>
    </row>
    <row r="292" spans="1:17" x14ac:dyDescent="0.3">
      <c r="A292" s="766" t="s">
        <v>4589</v>
      </c>
      <c r="B292" s="767" t="s">
        <v>4680</v>
      </c>
      <c r="C292" s="767">
        <f>SUM(C286:C290)</f>
        <v>234</v>
      </c>
      <c r="D292" s="767">
        <f>SUM(D286:D290)</f>
        <v>29</v>
      </c>
      <c r="E292" s="767">
        <f t="shared" ref="E292" si="40">SUM(E286:E290)</f>
        <v>51</v>
      </c>
      <c r="F292" s="767">
        <f>SUM(F286:F290)</f>
        <v>80</v>
      </c>
      <c r="G292" s="767">
        <f>SUM(G286:G290)</f>
        <v>119</v>
      </c>
      <c r="H292" s="767">
        <f>SUM(H286:H290)</f>
        <v>-33</v>
      </c>
      <c r="I292" s="768">
        <f>F292/C292</f>
        <v>0.34188034188034189</v>
      </c>
      <c r="J292" s="557"/>
      <c r="K292" s="557"/>
      <c r="L292" s="557"/>
      <c r="M292" s="557"/>
      <c r="N292" s="557"/>
      <c r="O292" s="557"/>
      <c r="P292" s="557"/>
      <c r="Q292" s="557"/>
    </row>
    <row r="293" spans="1:17" x14ac:dyDescent="0.3">
      <c r="A293" s="766" t="s">
        <v>4589</v>
      </c>
    </row>
  </sheetData>
  <autoFilter ref="U39:Y68" xr:uid="{00000000-0009-0000-0000-000015000000}">
    <sortState xmlns:xlrd2="http://schemas.microsoft.com/office/spreadsheetml/2017/richdata2" ref="U40:Y68">
      <sortCondition descending="1" ref="Y39:Y68"/>
    </sortState>
  </autoFilter>
  <mergeCells count="10">
    <mergeCell ref="B195:C195"/>
    <mergeCell ref="B200:C200"/>
    <mergeCell ref="AM1:BD1"/>
    <mergeCell ref="BF1:BW1"/>
    <mergeCell ref="C39:F39"/>
    <mergeCell ref="G39:J39"/>
    <mergeCell ref="K39:N39"/>
    <mergeCell ref="O39:R39"/>
    <mergeCell ref="A1:R1"/>
    <mergeCell ref="T1:AK1"/>
  </mergeCells>
  <hyperlinks>
    <hyperlink ref="B164" r:id="rId1" display="https://www.eliteprospects.com/team/637/hc-plzen/2018-2019?tab=stats" xr:uid="{00000000-0004-0000-1500-000000000000}"/>
    <hyperlink ref="C164" r:id="rId2" display="https://www.eliteprospects.com/league/czech/stats/2018-2019" xr:uid="{00000000-0004-0000-1500-000001000000}"/>
    <hyperlink ref="K164" r:id="rId3" display="https://www.eliteprospects.com/league/czech/stats/2018-2019/playoffs" xr:uid="{00000000-0004-0000-1500-000002000000}"/>
    <hyperlink ref="B165" r:id="rId4" display="https://www.eliteprospects.com/team/637/hc-plzen/2019-2020?tab=stats" xr:uid="{00000000-0004-0000-1500-000003000000}"/>
    <hyperlink ref="C165" r:id="rId5" display="https://www.eliteprospects.com/league/czech/stats/2019-2020" xr:uid="{00000000-0004-0000-1500-000004000000}"/>
    <hyperlink ref="C166" r:id="rId6" display="https://www.eliteprospects.com/league/czech/stats/2020-2021" xr:uid="{00000000-0004-0000-1500-000005000000}"/>
    <hyperlink ref="K166" r:id="rId7" display="https://www.eliteprospects.com/league/czech/stats/2020-2021/playoffs" xr:uid="{00000000-0004-0000-1500-000006000000}"/>
    <hyperlink ref="B171" r:id="rId8" display="https://www.eliteprospects.com/team/164/hc-sparta-praha/2018-2019?tab=stats" xr:uid="{00000000-0004-0000-1500-000007000000}"/>
    <hyperlink ref="C171" r:id="rId9" display="https://www.eliteprospects.com/league/czech/stats/2018-2019" xr:uid="{00000000-0004-0000-1500-000008000000}"/>
    <hyperlink ref="K171" r:id="rId10" display="https://www.eliteprospects.com/league/czech/stats/2018-2019/playoffs" xr:uid="{00000000-0004-0000-1500-000009000000}"/>
    <hyperlink ref="B172" r:id="rId11" display="https://www.eliteprospects.com/team/12426/slovakia-all/2018-2019?tab=stats" xr:uid="{00000000-0004-0000-1500-00000A000000}"/>
    <hyperlink ref="C172" r:id="rId12" display="https://www.eliteprospects.com/league/international/stats/2018-2019" xr:uid="{00000000-0004-0000-1500-00000B000000}"/>
    <hyperlink ref="K172" r:id="rId13" display="https://www.eliteprospects.com/league/international/stats/2018-2019" xr:uid="{00000000-0004-0000-1500-00000C000000}"/>
    <hyperlink ref="B173" r:id="rId14" display="https://www.eliteprospects.com/team/164/hc-sparta-praha/2019-2020?tab=stats" xr:uid="{00000000-0004-0000-1500-00000D000000}"/>
    <hyperlink ref="C173" r:id="rId15" display="https://www.eliteprospects.com/league/czech/stats/2019-2020" xr:uid="{00000000-0004-0000-1500-00000E000000}"/>
    <hyperlink ref="B174" r:id="rId16" display="https://www.eliteprospects.com/team/12426/slovakia-all/2019-2020?tab=stats" xr:uid="{00000000-0004-0000-1500-00000F000000}"/>
    <hyperlink ref="C174" r:id="rId17" display="https://www.eliteprospects.com/league/international/stats/2019-2020" xr:uid="{00000000-0004-0000-1500-000010000000}"/>
    <hyperlink ref="K174" r:id="rId18" display="https://www.eliteprospects.com/league/international/stats/2019-2020" xr:uid="{00000000-0004-0000-1500-000011000000}"/>
    <hyperlink ref="B175" r:id="rId19" display="https://www.eliteprospects.com/team/164/hc-sparta-praha/2020-2021?tab=stats" xr:uid="{00000000-0004-0000-1500-000012000000}"/>
    <hyperlink ref="C175" r:id="rId20" display="https://www.eliteprospects.com/league/czech/stats/2020-2021" xr:uid="{00000000-0004-0000-1500-000013000000}"/>
    <hyperlink ref="K175" r:id="rId21" display="https://www.eliteprospects.com/league/czech/stats/2020-2021/playoffs" xr:uid="{00000000-0004-0000-1500-000014000000}"/>
    <hyperlink ref="B184" r:id="rId22" display="https://www.eliteprospects.com/team/164/hc-sparta-praha/2019-2020?tab=stats" xr:uid="{00000000-0004-0000-1500-000015000000}"/>
    <hyperlink ref="C184" r:id="rId23" display="https://www.eliteprospects.com/league/czech/stats/2019-2020" xr:uid="{00000000-0004-0000-1500-000016000000}"/>
    <hyperlink ref="B185" r:id="rId24" display="https://www.eliteprospects.com/team/12426/slovakia-all/2019-2020?tab=stats" xr:uid="{00000000-0004-0000-1500-000017000000}"/>
    <hyperlink ref="C185" r:id="rId25" display="https://www.eliteprospects.com/league/international/stats/2019-2020" xr:uid="{00000000-0004-0000-1500-000018000000}"/>
    <hyperlink ref="K185" r:id="rId26" display="https://www.eliteprospects.com/league/international/stats/2019-2020" xr:uid="{00000000-0004-0000-1500-000019000000}"/>
    <hyperlink ref="B186" r:id="rId27" display="https://www.eliteprospects.com/team/164/hc-sparta-praha/2020-2021?tab=stats" xr:uid="{00000000-0004-0000-1500-00001A000000}"/>
    <hyperlink ref="C186" r:id="rId28" display="https://www.eliteprospects.com/league/czech/stats/2020-2021" xr:uid="{00000000-0004-0000-1500-00001B000000}"/>
    <hyperlink ref="K186" r:id="rId29" display="https://www.eliteprospects.com/league/czech/stats/2020-2021/playoffs" xr:uid="{00000000-0004-0000-1500-00001C000000}"/>
    <hyperlink ref="B187" r:id="rId30" display="https://www.eliteprospects.com/team/1632/slovakia/2020-2021?tab=stats" xr:uid="{00000000-0004-0000-1500-00001D000000}"/>
    <hyperlink ref="C187" r:id="rId31" display="https://www.eliteprospects.com/league/wc/stats/2020-2021" xr:uid="{00000000-0004-0000-1500-00001E000000}"/>
    <hyperlink ref="B180" r:id="rId32" display="https://www.eliteprospects.com/team/169/hc-slovan-bratislava/2018-2019?tab=stats" xr:uid="{00000000-0004-0000-1500-00001F000000}"/>
    <hyperlink ref="C180" r:id="rId33" display="https://www.eliteprospects.com/league/khl/stats/2018-2019" xr:uid="{00000000-0004-0000-1500-000020000000}"/>
    <hyperlink ref="B181" r:id="rId34" display="https://www.eliteprospects.com/team/170/hk-32-liptovsky-mikulas/2018-2019?tab=stats" xr:uid="{00000000-0004-0000-1500-000021000000}"/>
    <hyperlink ref="C181" r:id="rId35" display="https://www.eliteprospects.com/league/slovakia/stats/2018-2019" xr:uid="{00000000-0004-0000-1500-000022000000}"/>
    <hyperlink ref="B182" r:id="rId36" display="https://www.eliteprospects.com/team/1632/slovakia/2018-2019?tab=stats" xr:uid="{00000000-0004-0000-1500-000023000000}"/>
    <hyperlink ref="C182" r:id="rId37" display="https://www.eliteprospects.com/league/wc/stats/2018-2019" xr:uid="{00000000-0004-0000-1500-000024000000}"/>
    <hyperlink ref="B183" r:id="rId38" display="https://www.eliteprospects.com/team/12426/slovakia-all/2018-2019?tab=stats" xr:uid="{00000000-0004-0000-1500-000025000000}"/>
    <hyperlink ref="C183" r:id="rId39" display="https://www.eliteprospects.com/league/international/stats/2018-2019" xr:uid="{00000000-0004-0000-1500-000026000000}"/>
    <hyperlink ref="C192" r:id="rId40" display="https://www.eliteprospects.com/league/czech/stats/2020-2021" xr:uid="{00000000-0004-0000-1500-000027000000}"/>
    <hyperlink ref="K192" r:id="rId41" display="https://www.eliteprospects.com/league/czech/stats/2020-2021/playoffs" xr:uid="{00000000-0004-0000-1500-000028000000}"/>
    <hyperlink ref="C193" r:id="rId42" display="https://www.eliteprospects.com/league/czech/stats/2020-2021" xr:uid="{00000000-0004-0000-1500-000029000000}"/>
    <hyperlink ref="K193" r:id="rId43" display="https://www.eliteprospects.com/league/czech/stats/2020-2021/playoffs" xr:uid="{00000000-0004-0000-1500-00002A000000}"/>
    <hyperlink ref="C194" r:id="rId44" display="https://www.eliteprospects.com/league/czech/stats/2020-2021" xr:uid="{00000000-0004-0000-1500-00002B000000}"/>
    <hyperlink ref="K194" r:id="rId45" display="https://www.eliteprospects.com/league/czech/stats/2020-2021/playoffs" xr:uid="{00000000-0004-0000-1500-00002C000000}"/>
    <hyperlink ref="B204" r:id="rId46" display="https://www.eliteprospects.com/team/1336/toronto-marlies/2018-2019?tab=stats" xr:uid="{00000000-0004-0000-1500-00002D000000}"/>
    <hyperlink ref="C204" r:id="rId47" display="https://www.eliteprospects.com/league/ahl/stats/2018-2019" xr:uid="{00000000-0004-0000-1500-00002E000000}"/>
    <hyperlink ref="K204" r:id="rId48" display="https://www.eliteprospects.com/league/ahl/stats/2018-2019" xr:uid="{00000000-0004-0000-1500-00002F000000}"/>
    <hyperlink ref="B205" r:id="rId49" display="https://www.eliteprospects.com/team/25837/newfoundland-growlers/2018-2019?tab=stats" xr:uid="{00000000-0004-0000-1500-000030000000}"/>
    <hyperlink ref="C205" r:id="rId50" display="https://www.eliteprospects.com/league/echl/stats/2018-2019" xr:uid="{00000000-0004-0000-1500-000031000000}"/>
    <hyperlink ref="K205" r:id="rId51" display="https://www.eliteprospects.com/league/echl/stats/2018-2019/playoffs" xr:uid="{00000000-0004-0000-1500-000032000000}"/>
    <hyperlink ref="B206" r:id="rId52" display="https://www.eliteprospects.com/team/1336/toronto-marlies/2019-2020?tab=stats" xr:uid="{00000000-0004-0000-1500-000033000000}"/>
    <hyperlink ref="C206" r:id="rId53" display="https://www.eliteprospects.com/league/ahl/stats/2019-2020" xr:uid="{00000000-0004-0000-1500-000034000000}"/>
    <hyperlink ref="B207" r:id="rId54" display="https://www.eliteprospects.com/team/25837/newfoundland-growlers/2019-2020?tab=stats" xr:uid="{00000000-0004-0000-1500-000035000000}"/>
    <hyperlink ref="C207" r:id="rId55" display="https://www.eliteprospects.com/league/echl/stats/2019-2020" xr:uid="{00000000-0004-0000-1500-000036000000}"/>
    <hyperlink ref="B208" r:id="rId56" display="https://www.eliteprospects.com/team/18602/stockton-heat/2020-2021?tab=stats" xr:uid="{00000000-0004-0000-1500-000037000000}"/>
    <hyperlink ref="C208" r:id="rId57" display="https://www.eliteprospects.com/league/ahl/stats/2020-2021" xr:uid="{00000000-0004-0000-1500-000038000000}"/>
    <hyperlink ref="K208" r:id="rId58" display="https://www.eliteprospects.com/league/ahl/stats/2020-2021" xr:uid="{00000000-0004-0000-1500-000039000000}"/>
    <hyperlink ref="B209" r:id="rId59" display="https://www.eliteprospects.com/team/4800/kansas-city-mavericks/2020-2021?tab=stats" xr:uid="{00000000-0004-0000-1500-00003A000000}"/>
    <hyperlink ref="C209" r:id="rId60" display="https://www.eliteprospects.com/league/echl/stats/2020-2021" xr:uid="{00000000-0004-0000-1500-00003B000000}"/>
    <hyperlink ref="B210" r:id="rId61" display="https://www.eliteprospects.com/team/155/hc-verva-litvinov/2021-2022?tab=stats" xr:uid="{00000000-0004-0000-1500-00003C000000}"/>
    <hyperlink ref="C210" r:id="rId62" display="https://www.eliteprospects.com/league/czechia/stats/2021-2022" xr:uid="{00000000-0004-0000-1500-00003D000000}"/>
    <hyperlink ref="C167" r:id="rId63" display="https://www.eliteprospects.com/league/czechia/stats/2021-2022" xr:uid="{00000000-0004-0000-1500-00003E000000}"/>
    <hyperlink ref="B176" r:id="rId64" display="https://www.eliteprospects.com/team/155/hc-verva-litvinov/2021-2022?tab=stats" xr:uid="{00000000-0004-0000-1500-00003F000000}"/>
    <hyperlink ref="C176" r:id="rId65" display="https://www.eliteprospects.com/league/czechia/stats/2021-2022" xr:uid="{00000000-0004-0000-1500-000040000000}"/>
    <hyperlink ref="B188" r:id="rId66" display="https://www.eliteprospects.com/team/155/hc-verva-litvinov/2021-2022?tab=stats" xr:uid="{00000000-0004-0000-1500-000041000000}"/>
    <hyperlink ref="C188" r:id="rId67" display="https://www.eliteprospects.com/league/czechia/stats/2021-2022" xr:uid="{00000000-0004-0000-1500-000042000000}"/>
    <hyperlink ref="C197" r:id="rId68" display="https://www.eliteprospects.com/league/czech/stats/2020-2021" xr:uid="{00000000-0004-0000-1500-000043000000}"/>
    <hyperlink ref="C198" r:id="rId69" display="https://www.eliteprospects.com/league/czech/stats/2020-2021" xr:uid="{00000000-0004-0000-1500-000044000000}"/>
    <hyperlink ref="C199" r:id="rId70" display="https://www.eliteprospects.com/league/czech/stats/2020-2021" xr:uid="{00000000-0004-0000-1500-000045000000}"/>
    <hyperlink ref="B243" r:id="rId71" display="https://www.eliteprospects.com/team/9328/ehc-freiburg/2018-2019?tab=stats" xr:uid="{00000000-0004-0000-1500-000046000000}"/>
    <hyperlink ref="C243" r:id="rId72" display="https://www.eliteprospects.com/league/del2/stats/2018-2019" xr:uid="{00000000-0004-0000-1500-000047000000}"/>
    <hyperlink ref="K243" r:id="rId73" display="https://www.eliteprospects.com/league/del2/stats/2018-2019" xr:uid="{00000000-0004-0000-1500-000048000000}"/>
    <hyperlink ref="B244" r:id="rId74" display="https://www.eliteprospects.com/team/2883/herner-ev-2007/2018-2019?tab=stats" xr:uid="{00000000-0004-0000-1500-000049000000}"/>
    <hyperlink ref="C244" r:id="rId75" display="https://www.eliteprospects.com/league/germany3/stats/2018-2019" xr:uid="{00000000-0004-0000-1500-00004A000000}"/>
    <hyperlink ref="K244" r:id="rId76" display="https://www.eliteprospects.com/league/germany3/stats/2018-2019" xr:uid="{00000000-0004-0000-1500-00004B000000}"/>
    <hyperlink ref="B245" r:id="rId77" display="https://www.eliteprospects.com/team/3089/fiemme/2018-2019?tab=stats" xr:uid="{00000000-0004-0000-1500-00004C000000}"/>
    <hyperlink ref="C245" r:id="rId78" display="https://www.eliteprospects.com/league/italy2/stats/2018-2019" xr:uid="{00000000-0004-0000-1500-00004D000000}"/>
    <hyperlink ref="K245" r:id="rId79" display="https://www.eliteprospects.com/league/italy2/stats/2018-2019/playoffs" xr:uid="{00000000-0004-0000-1500-00004E000000}"/>
    <hyperlink ref="B246" r:id="rId80" display="https://www.eliteprospects.com/team/1163/hc-dukla-jihlava/2019-2020?tab=stats" xr:uid="{00000000-0004-0000-1500-00004F000000}"/>
    <hyperlink ref="C246" r:id="rId81" display="https://www.eliteprospects.com/league/czechia2/stats/2019-2020" xr:uid="{00000000-0004-0000-1500-000050000000}"/>
    <hyperlink ref="K246" r:id="rId82" display="https://www.eliteprospects.com/league/czechia2/stats/2019-2020/playoffs" xr:uid="{00000000-0004-0000-1500-000051000000}"/>
    <hyperlink ref="B247" r:id="rId83" display="https://www.eliteprospects.com/team/1163/hc-dukla-jihlava/2020-2021?tab=stats" xr:uid="{00000000-0004-0000-1500-000052000000}"/>
    <hyperlink ref="C247" r:id="rId84" display="https://www.eliteprospects.com/league/czechia2/stats/2020-2021" xr:uid="{00000000-0004-0000-1500-000053000000}"/>
    <hyperlink ref="K247" r:id="rId85" display="https://www.eliteprospects.com/league/czechia2/stats/2020-2021/playoffs" xr:uid="{00000000-0004-0000-1500-000054000000}"/>
    <hyperlink ref="B248" r:id="rId86" display="https://www.eliteprospects.com/team/155/hc-litvinov/2020-2021?tab=stats" xr:uid="{00000000-0004-0000-1500-000055000000}"/>
    <hyperlink ref="C248" r:id="rId87" display="https://www.eliteprospects.com/league/czechia/stats/2020-2021" xr:uid="{00000000-0004-0000-1500-000056000000}"/>
    <hyperlink ref="K248" r:id="rId88" display="https://www.eliteprospects.com/league/czechia/stats/2020-2021" xr:uid="{00000000-0004-0000-1500-000057000000}"/>
    <hyperlink ref="B249" r:id="rId89" display="https://www.eliteprospects.com/team/1163/hc-dukla-jihlava/2021-2022?tab=stats" xr:uid="{00000000-0004-0000-1500-000058000000}"/>
    <hyperlink ref="C249" r:id="rId90" display="https://www.eliteprospects.com/league/czechia2/stats/2021-2022" xr:uid="{00000000-0004-0000-1500-000059000000}"/>
    <hyperlink ref="K249" r:id="rId91" display="https://www.eliteprospects.com/league/czechia2/stats/2021-2022" xr:uid="{00000000-0004-0000-1500-00005A000000}"/>
    <hyperlink ref="B250" r:id="rId92" display="https://www.eliteprospects.com/team/155/hc-litvinov/2021-2022?tab=stats" xr:uid="{00000000-0004-0000-1500-00005B000000}"/>
    <hyperlink ref="C250" r:id="rId93" display="https://www.eliteprospects.com/league/czechia/stats/2021-2022" xr:uid="{00000000-0004-0000-1500-00005C000000}"/>
    <hyperlink ref="B254" r:id="rId94" display="https://www.eliteprospects.com/team/168/hk-poprad/2018-2019?tab=stats" xr:uid="{00000000-0004-0000-1500-00005D000000}"/>
    <hyperlink ref="C254" r:id="rId95" display="https://www.eliteprospects.com/league/slovakia/stats/2018-2019" xr:uid="{00000000-0004-0000-1500-00005E000000}"/>
    <hyperlink ref="K254" r:id="rId96" display="https://www.eliteprospects.com/league/slovakia/stats/2018-2019/playoffs" xr:uid="{00000000-0004-0000-1500-00005F000000}"/>
    <hyperlink ref="B255" r:id="rId97" display="https://www.eliteprospects.com/team/169/hc-slovan-bratislava/2019-2020?tab=stats" xr:uid="{00000000-0004-0000-1500-000060000000}"/>
    <hyperlink ref="C255" r:id="rId98" display="https://www.eliteprospects.com/league/slovakia/stats/2019-2020" xr:uid="{00000000-0004-0000-1500-000061000000}"/>
    <hyperlink ref="B256" r:id="rId99" display="https://www.eliteprospects.com/team/198/severstal-cherepovets/2020-2021?tab=stats" xr:uid="{00000000-0004-0000-1500-000062000000}"/>
    <hyperlink ref="C256" r:id="rId100" display="https://www.eliteprospects.com/league/khl/stats/2020-2021" xr:uid="{00000000-0004-0000-1500-000063000000}"/>
    <hyperlink ref="K256" r:id="rId101" display="https://www.eliteprospects.com/league/khl/stats/2020-2021/playoffs" xr:uid="{00000000-0004-0000-1500-000064000000}"/>
    <hyperlink ref="B257" r:id="rId102" display="https://www.eliteprospects.com/team/154/hc-motor-%C4%8Ceske-bud%C4%9Bjovice/2021-2022?tab=stats" xr:uid="{00000000-0004-0000-1500-000065000000}"/>
    <hyperlink ref="C257" r:id="rId103" display="https://www.eliteprospects.com/league/czechia/stats/2021-2022" xr:uid="{00000000-0004-0000-1500-000066000000}"/>
    <hyperlink ref="K257" r:id="rId104" display="https://www.eliteprospects.com/league/czechia/stats/2021-2022/playoffs" xr:uid="{00000000-0004-0000-1500-000067000000}"/>
    <hyperlink ref="B261" r:id="rId105" display="https://www.eliteprospects.com/team/9882/orli-znojmo/2018-2019?tab=stats" xr:uid="{00000000-0004-0000-1500-000068000000}"/>
    <hyperlink ref="C261" r:id="rId106" display="https://www.eliteprospects.com/league/ebel/stats/2018-2019" xr:uid="{00000000-0004-0000-1500-000069000000}"/>
    <hyperlink ref="K261" r:id="rId107" display="https://www.eliteprospects.com/league/ebel/stats/2018-2019/playoffs" xr:uid="{00000000-0004-0000-1500-00006A000000}"/>
    <hyperlink ref="B262" r:id="rId108" display="https://www.eliteprospects.com/team/153/hc-energie-karlovy-vary/2019-2020?tab=stats" xr:uid="{00000000-0004-0000-1500-00006B000000}"/>
    <hyperlink ref="C262" r:id="rId109" display="https://www.eliteprospects.com/league/czechia/stats/2019-2020" xr:uid="{00000000-0004-0000-1500-00006C000000}"/>
    <hyperlink ref="K262" r:id="rId110" display="https://www.eliteprospects.com/league/czechia/stats/2019-2020" xr:uid="{00000000-0004-0000-1500-00006D000000}"/>
    <hyperlink ref="B263" r:id="rId111" display="https://www.eliteprospects.com/team/679/pirati-chomutov/2019-2020?tab=stats" xr:uid="{00000000-0004-0000-1500-00006E000000}"/>
    <hyperlink ref="C263" r:id="rId112" display="https://www.eliteprospects.com/league/czechia2/stats/2019-2020" xr:uid="{00000000-0004-0000-1500-00006F000000}"/>
    <hyperlink ref="K263" r:id="rId113" display="https://www.eliteprospects.com/league/czechia2/stats/2019-2020" xr:uid="{00000000-0004-0000-1500-000070000000}"/>
    <hyperlink ref="B264" r:id="rId114" display="https://www.eliteprospects.com/team/646/ryti%C5%99i-kladno/2020-2021?tab=stats" xr:uid="{00000000-0004-0000-1500-000071000000}"/>
    <hyperlink ref="C264" r:id="rId115" display="https://www.eliteprospects.com/league/czechia2/stats/2020-2021" xr:uid="{00000000-0004-0000-1500-000072000000}"/>
    <hyperlink ref="K264" r:id="rId116" display="https://www.eliteprospects.com/league/czechia2/stats/2020-2021/playoffs" xr:uid="{00000000-0004-0000-1500-000073000000}"/>
    <hyperlink ref="B265" r:id="rId117" display="https://www.eliteprospects.com/team/646/ryti%C5%99i-kladno/2021-2022?tab=stats" xr:uid="{00000000-0004-0000-1500-000074000000}"/>
    <hyperlink ref="C265" r:id="rId118" display="https://www.eliteprospects.com/league/czechia/stats/2021-2022" xr:uid="{00000000-0004-0000-1500-000075000000}"/>
    <hyperlink ref="B266" r:id="rId119" display="https://www.eliteprospects.com/team/646/ryti%C5%99i-kladno/2021-2022?tab=stats" xr:uid="{00000000-0004-0000-1500-000076000000}"/>
    <hyperlink ref="C266" r:id="rId120" display="https://www.eliteprospects.com/league/czechia-q/stats/2021-2022" xr:uid="{00000000-0004-0000-1500-000077000000}"/>
    <hyperlink ref="K266" r:id="rId121" display="https://www.eliteprospects.com/league/czechia-q/stats/2021-2022/qualification" xr:uid="{00000000-0004-0000-1500-000078000000}"/>
    <hyperlink ref="B272" r:id="rId122" display="https://www.eliteprospects.com/team/889/rimouski-oceanic/2018-2019?tab=stats" xr:uid="{00000000-0004-0000-1500-000079000000}"/>
    <hyperlink ref="C272" r:id="rId123" display="https://www.eliteprospects.com/league/qmjhl/stats/2018-2019" xr:uid="{00000000-0004-0000-1500-00007A000000}"/>
    <hyperlink ref="K272" r:id="rId124" display="https://www.eliteprospects.com/league/qmjhl/stats/2018-2019/playoffs" xr:uid="{00000000-0004-0000-1500-00007B000000}"/>
    <hyperlink ref="B273" r:id="rId125" display="https://www.eliteprospects.com/team/1601/czechia-u20/2018-2019?tab=stats" xr:uid="{00000000-0004-0000-1500-00007C000000}"/>
    <hyperlink ref="C273" r:id="rId126" display="https://www.eliteprospects.com/league/wjc-20/stats/2018-2019" xr:uid="{00000000-0004-0000-1500-00007D000000}"/>
    <hyperlink ref="K273" r:id="rId127" display="https://www.eliteprospects.com/league/wjc-20/stats/2018-2019" xr:uid="{00000000-0004-0000-1500-00007E000000}"/>
    <hyperlink ref="B274" r:id="rId128" display="https://www.eliteprospects.com/team/9731/czechia-u20-all/2018-2019?tab=stats" xr:uid="{00000000-0004-0000-1500-00007F000000}"/>
    <hyperlink ref="C274" r:id="rId129" display="https://www.eliteprospects.com/league/international-jr/stats/2018-2019" xr:uid="{00000000-0004-0000-1500-000080000000}"/>
    <hyperlink ref="K274" r:id="rId130" display="https://www.eliteprospects.com/league/international-jr/stats/2018-2019" xr:uid="{00000000-0004-0000-1500-000081000000}"/>
    <hyperlink ref="B275" r:id="rId131" display="https://www.eliteprospects.com/team/15659/mountfield-hk/2019-2020?tab=stats" xr:uid="{00000000-0004-0000-1500-000082000000}"/>
    <hyperlink ref="C275" r:id="rId132" display="https://www.eliteprospects.com/league/czechia/stats/2019-2020" xr:uid="{00000000-0004-0000-1500-000083000000}"/>
    <hyperlink ref="K275" r:id="rId133" display="https://www.eliteprospects.com/league/czechia/stats/2019-2020/playoffs" xr:uid="{00000000-0004-0000-1500-000084000000}"/>
    <hyperlink ref="B276" r:id="rId134" display="https://www.eliteprospects.com/team/3461/hc-stadion-litom%C4%9B%C5%99ice/2019-2020?tab=stats" xr:uid="{00000000-0004-0000-1500-000085000000}"/>
    <hyperlink ref="C276" r:id="rId135" display="https://www.eliteprospects.com/league/czechia2/stats/2019-2020" xr:uid="{00000000-0004-0000-1500-000086000000}"/>
    <hyperlink ref="B277" r:id="rId136" display="https://www.eliteprospects.com/team/15659/mountfield-hk/2020-2021?tab=stats" xr:uid="{00000000-0004-0000-1500-000087000000}"/>
    <hyperlink ref="C277" r:id="rId137" display="https://www.eliteprospects.com/league/czechia/stats/2020-2021" xr:uid="{00000000-0004-0000-1500-000088000000}"/>
    <hyperlink ref="K277" r:id="rId138" display="https://www.eliteprospects.com/league/czechia/stats/2020-2021/playoffs" xr:uid="{00000000-0004-0000-1500-000089000000}"/>
    <hyperlink ref="B278" r:id="rId139" display="https://www.eliteprospects.com/team/9763/czechia-all/2020-2021?tab=stats" xr:uid="{00000000-0004-0000-1500-00008A000000}"/>
    <hyperlink ref="C278" r:id="rId140" display="https://www.eliteprospects.com/league/international/stats/2020-2021" xr:uid="{00000000-0004-0000-1500-00008B000000}"/>
    <hyperlink ref="B279" r:id="rId141" display="https://www.eliteprospects.com/team/15659/mountfield-hk/2021-2022?tab=stats" xr:uid="{00000000-0004-0000-1500-00008C000000}"/>
    <hyperlink ref="C279" r:id="rId142" display="https://www.eliteprospects.com/league/czechia/stats/2021-2022" xr:uid="{00000000-0004-0000-1500-00008D000000}"/>
    <hyperlink ref="B280" r:id="rId143" display="https://www.eliteprospects.com/team/2705/sc-kolin/2021-2022?tab=stats" xr:uid="{00000000-0004-0000-1500-00008E000000}"/>
    <hyperlink ref="C280" r:id="rId144" display="https://www.eliteprospects.com/league/czechia2/stats/2021-2022" xr:uid="{00000000-0004-0000-1500-00008F000000}"/>
    <hyperlink ref="K285" r:id="rId145" display="https://www.eliteprospects.com/league/czechia/stats/2021-2022/playoffs" xr:uid="{00000000-0004-0000-1500-000090000000}"/>
    <hyperlink ref="K284" r:id="rId146" display="https://www.eliteprospects.com/league/czechia-q/stats/2021-2022/qualification" xr:uid="{00000000-0004-0000-1500-000091000000}"/>
    <hyperlink ref="B214" r:id="rId147" display="https://www.eliteprospects.com/team/772/hc-vitkovice/2018-2019?tab=stats" xr:uid="{00000000-0004-0000-1500-000092000000}"/>
    <hyperlink ref="C214" r:id="rId148" display="https://www.eliteprospects.com/league/czechia/stats/2018-2019" xr:uid="{00000000-0004-0000-1500-000093000000}"/>
    <hyperlink ref="K214" r:id="rId149" display="https://www.eliteprospects.com/league/czechia/stats/2018-2019/playoffs" xr:uid="{00000000-0004-0000-1500-000094000000}"/>
    <hyperlink ref="B215" r:id="rId150" display="https://www.eliteprospects.com/team/3809/hc-poruba-2011/2018-2019?tab=stats" xr:uid="{00000000-0004-0000-1500-000095000000}"/>
    <hyperlink ref="C215" r:id="rId151" display="https://www.eliteprospects.com/league/czechia2/stats/2018-2019" xr:uid="{00000000-0004-0000-1500-000096000000}"/>
    <hyperlink ref="B216" r:id="rId152" display="https://www.eliteprospects.com/team/9763/czechia-all/2018-2019?tab=stats" xr:uid="{00000000-0004-0000-1500-000097000000}"/>
    <hyperlink ref="C216" r:id="rId153" display="https://www.eliteprospects.com/league/international/stats/2018-2019" xr:uid="{00000000-0004-0000-1500-000098000000}"/>
    <hyperlink ref="K216" r:id="rId154" display="https://www.eliteprospects.com/league/international/stats/2018-2019" xr:uid="{00000000-0004-0000-1500-000099000000}"/>
    <hyperlink ref="B217" r:id="rId155" display="https://www.eliteprospects.com/team/772/hc-vitkovice/2019-2020?tab=stats" xr:uid="{00000000-0004-0000-1500-00009A000000}"/>
    <hyperlink ref="C217" r:id="rId156" display="https://www.eliteprospects.com/league/czechia/stats/2019-2020" xr:uid="{00000000-0004-0000-1500-00009B000000}"/>
    <hyperlink ref="B218" r:id="rId157" display="https://www.eliteprospects.com/team/637/hc-plze%C5%88/2019-2020?tab=stats" xr:uid="{00000000-0004-0000-1500-00009C000000}"/>
    <hyperlink ref="C218" r:id="rId158" display="https://www.eliteprospects.com/league/czechia/stats/2019-2020" xr:uid="{00000000-0004-0000-1500-00009D000000}"/>
    <hyperlink ref="K218" r:id="rId159" display="https://www.eliteprospects.com/league/czechia/stats/2019-2020" xr:uid="{00000000-0004-0000-1500-00009E000000}"/>
    <hyperlink ref="B219" r:id="rId160" display="https://www.eliteprospects.com/team/155/hc-litvinov/2020-2021?tab=stats" xr:uid="{00000000-0004-0000-1500-00009F000000}"/>
    <hyperlink ref="C219" r:id="rId161" display="https://www.eliteprospects.com/league/czechia/stats/2020-2021" xr:uid="{00000000-0004-0000-1500-0000A0000000}"/>
    <hyperlink ref="K219" r:id="rId162" display="https://www.eliteprospects.com/league/czechia/stats/2020-2021/playoffs" xr:uid="{00000000-0004-0000-1500-0000A1000000}"/>
    <hyperlink ref="B220" r:id="rId163" display="https://www.eliteprospects.com/team/9763/czechia-all/2020-2021?tab=stats" xr:uid="{00000000-0004-0000-1500-0000A2000000}"/>
    <hyperlink ref="C220" r:id="rId164" display="https://www.eliteprospects.com/league/international/stats/2020-2021" xr:uid="{00000000-0004-0000-1500-0000A3000000}"/>
    <hyperlink ref="B221" r:id="rId165" display="https://www.eliteprospects.com/team/155/hc-litvinov/2021-2022?tab=stats" xr:uid="{00000000-0004-0000-1500-0000A4000000}"/>
    <hyperlink ref="C221" r:id="rId166" display="https://www.eliteprospects.com/league/czechia/stats/2021-2022" xr:uid="{00000000-0004-0000-1500-0000A5000000}"/>
    <hyperlink ref="B225" r:id="rId167" display="https://www.eliteprospects.com/team/19727/cracovia-krakow-u20/2018-2019?tab=stats" xr:uid="{00000000-0004-0000-1500-0000A6000000}"/>
    <hyperlink ref="C225" r:id="rId168" display="https://www.eliteprospects.com/league/poland-u20/stats/2018-2019" xr:uid="{00000000-0004-0000-1500-0000A7000000}"/>
    <hyperlink ref="K225" r:id="rId169" display="https://www.eliteprospects.com/league/poland-u20/stats/2018-2019" xr:uid="{00000000-0004-0000-1500-0000A8000000}"/>
    <hyperlink ref="B226" r:id="rId170" display="https://www.eliteprospects.com/team/1825/cracovia-krakow/2018-2019?tab=stats" xr:uid="{00000000-0004-0000-1500-0000A9000000}"/>
    <hyperlink ref="C226" r:id="rId171" display="https://www.eliteprospects.com/league/poland/stats/2018-2019" xr:uid="{00000000-0004-0000-1500-0000AA000000}"/>
    <hyperlink ref="K226" r:id="rId172" display="https://www.eliteprospects.com/league/poland/stats/2018-2019/playoffs" xr:uid="{00000000-0004-0000-1500-0000AB000000}"/>
    <hyperlink ref="B227" r:id="rId173" display="https://www.eliteprospects.com/team/26846/pzhl-u23/2018-2019?tab=stats" xr:uid="{00000000-0004-0000-1500-0000AC000000}"/>
    <hyperlink ref="C227" r:id="rId174" display="https://www.eliteprospects.com/league/poland/stats/2018-2019" xr:uid="{00000000-0004-0000-1500-0000AD000000}"/>
    <hyperlink ref="K227" r:id="rId175" display="https://www.eliteprospects.com/league/poland/stats/2018-2019" xr:uid="{00000000-0004-0000-1500-0000AE000000}"/>
    <hyperlink ref="B228" r:id="rId176" display="https://www.eliteprospects.com/team/1719/poland-u20/2018-2019?tab=stats" xr:uid="{00000000-0004-0000-1500-0000AF000000}"/>
    <hyperlink ref="C228" r:id="rId177" display="https://www.eliteprospects.com/league/wjc-20-d1b/stats/2018-2019" xr:uid="{00000000-0004-0000-1500-0000B0000000}"/>
    <hyperlink ref="B229" r:id="rId178" display="https://www.eliteprospects.com/team/14520/poland-all/2018-2019?tab=stats" xr:uid="{00000000-0004-0000-1500-0000B1000000}"/>
    <hyperlink ref="C229" r:id="rId179" display="https://www.eliteprospects.com/league/international/stats/2018-2019" xr:uid="{00000000-0004-0000-1500-0000B2000000}"/>
    <hyperlink ref="K229" r:id="rId180" display="https://www.eliteprospects.com/league/international/stats/2018-2019" xr:uid="{00000000-0004-0000-1500-0000B3000000}"/>
    <hyperlink ref="B230" r:id="rId181" display="https://www.eliteprospects.com/team/155/hc-litvinov/2019-2020?tab=stats" xr:uid="{00000000-0004-0000-1500-0000B4000000}"/>
    <hyperlink ref="C230" r:id="rId182" display="https://www.eliteprospects.com/league/czechia/stats/2019-2020" xr:uid="{00000000-0004-0000-1500-0000B5000000}"/>
    <hyperlink ref="K230" r:id="rId183" display="https://www.eliteprospects.com/league/czechia/stats/2019-2020" xr:uid="{00000000-0004-0000-1500-0000B6000000}"/>
    <hyperlink ref="B231" r:id="rId184" display="https://www.eliteprospects.com/team/1418/sk-trha%C4%8Di-kada%C5%88/2019-2020?tab=stats" xr:uid="{00000000-0004-0000-1500-0000B7000000}"/>
    <hyperlink ref="C231" r:id="rId185" display="https://www.eliteprospects.com/league/czechia2/stats/2019-2020" xr:uid="{00000000-0004-0000-1500-0000B8000000}"/>
    <hyperlink ref="K231" r:id="rId186" display="https://www.eliteprospects.com/league/czechia2/stats/2019-2020" xr:uid="{00000000-0004-0000-1500-0000B9000000}"/>
    <hyperlink ref="B232" r:id="rId187" display="https://www.eliteprospects.com/team/3461/hc-stadion-litom%C4%9B%C5%99ice/2019-2020?tab=stats" xr:uid="{00000000-0004-0000-1500-0000BA000000}"/>
    <hyperlink ref="C232" r:id="rId188" display="https://www.eliteprospects.com/league/czechia2/stats/2019-2020" xr:uid="{00000000-0004-0000-1500-0000BB000000}"/>
    <hyperlink ref="B233" r:id="rId189" display="https://www.eliteprospects.com/team/1648/poland/2019-2020?tab=stats" xr:uid="{00000000-0004-0000-1500-0000BC000000}"/>
    <hyperlink ref="C233" r:id="rId190" display="https://www.eliteprospects.com/league/ogq/stats/2019-2020" xr:uid="{00000000-0004-0000-1500-0000BD000000}"/>
    <hyperlink ref="B234" r:id="rId191" display="https://www.eliteprospects.com/team/14520/poland-all/2019-2020?tab=stats" xr:uid="{00000000-0004-0000-1500-0000BE000000}"/>
    <hyperlink ref="C234" r:id="rId192" display="https://www.eliteprospects.com/league/international/stats/2019-2020" xr:uid="{00000000-0004-0000-1500-0000BF000000}"/>
    <hyperlink ref="K234" r:id="rId193" display="https://www.eliteprospects.com/league/international/stats/2019-2020" xr:uid="{00000000-0004-0000-1500-0000C0000000}"/>
    <hyperlink ref="B235" r:id="rId194" display="https://www.eliteprospects.com/team/155/hc-litvinov/2020-2021?tab=stats" xr:uid="{00000000-0004-0000-1500-0000C1000000}"/>
    <hyperlink ref="C235" r:id="rId195" display="https://www.eliteprospects.com/league/czechia/stats/2020-2021" xr:uid="{00000000-0004-0000-1500-0000C2000000}"/>
    <hyperlink ref="K235" r:id="rId196" display="https://www.eliteprospects.com/league/czechia/stats/2020-2021/playoffs" xr:uid="{00000000-0004-0000-1500-0000C3000000}"/>
    <hyperlink ref="B236" r:id="rId197" display="https://www.eliteprospects.com/team/155/hc-litvinov/2021-2022?tab=stats" xr:uid="{00000000-0004-0000-1500-0000C4000000}"/>
    <hyperlink ref="C236" r:id="rId198" display="https://www.eliteprospects.com/league/czechia/stats/2021-2022" xr:uid="{00000000-0004-0000-1500-0000C5000000}"/>
    <hyperlink ref="K236" r:id="rId199" display="https://www.eliteprospects.com/league/czechia/stats/2021-2022" xr:uid="{00000000-0004-0000-1500-0000C6000000}"/>
    <hyperlink ref="B237" r:id="rId200" display="https://www.eliteprospects.com/team/1648/poland/2021-2022?tab=stats" xr:uid="{00000000-0004-0000-1500-0000C7000000}"/>
    <hyperlink ref="C237" r:id="rId201" display="https://www.eliteprospects.com/league/ogq/stats/2021-2022" xr:uid="{00000000-0004-0000-1500-0000C8000000}"/>
    <hyperlink ref="C238" r:id="rId202" display="https://www.eliteprospects.com/league/wc-d1b/stats/2021-2022" xr:uid="{00000000-0004-0000-1500-0000C9000000}"/>
    <hyperlink ref="U3" r:id="rId203" display="https://www.hokej.cz/hrac/7229427?t=9oss9h1o5rxioi747gkdfhil5zki4mkc2ow%3C%21DOCTYPE%2BHTML%2BPUBLIC" xr:uid="{00000000-0004-0000-1500-0000CA000000}"/>
    <hyperlink ref="U21" r:id="rId204" display="https://www.hokej.cz/hrac/14150?t=9oss9h1o5rxioi747gkdfhil5zki4mkc2ow%3C%21DOCTYPE%2BHTML%2BPUBLIC" xr:uid="{00000000-0004-0000-1500-0000CB000000}"/>
    <hyperlink ref="U7" r:id="rId205" display="https://www.hokej.cz/hrac/10099336?t=9oss9h1o5rxioi747gkdfhil5zki4mkc2ow%3C%21DOCTYPE%2BHTML%2BPUBLIC" xr:uid="{00000000-0004-0000-1500-0000CC000000}"/>
    <hyperlink ref="U26" r:id="rId206" display="https://www.hokej.cz/hrac/15672?t=9oss9h1o5rxioi747gkdfhil5zki4mkc2ow%3C%21DOCTYPE%2BHTML%2BPUBLIC" xr:uid="{00000000-0004-0000-1500-0000CD000000}"/>
    <hyperlink ref="U17" r:id="rId207" display="https://www.hokej.cz/hrac/2491887?t=9oss9h1o5rxioi747gkdfhil5zki4mkc2ow%3C%21DOCTYPE%2BHTML%2BPUBLIC" xr:uid="{00000000-0004-0000-1500-0000CE000000}"/>
    <hyperlink ref="U19" r:id="rId208" display="https://www.hokej.cz/hrac/13667?t=9oss9h1o5rxioi747gkdfhil5zki4mkc2ow%3C%21DOCTYPE%2BHTML%2BPUBLIC" xr:uid="{00000000-0004-0000-1500-0000CF000000}"/>
    <hyperlink ref="U18" r:id="rId209" display="https://www.hokej.cz/hrac/10077703?t=9oss9h1o5rxioi747gkdfhil5zki4mkc2ow%3C%21DOCTYPE%2BHTML%2BPUBLIC" xr:uid="{00000000-0004-0000-1500-0000D0000000}"/>
    <hyperlink ref="U9" r:id="rId210" display="https://www.hokej.cz/hrac/10083186?t=9oss9h1o5rxioi747gkdfhil5zki4mkc2ow%3C%21DOCTYPE%2BHTML%2BPUBLIC" xr:uid="{00000000-0004-0000-1500-0000D1000000}"/>
    <hyperlink ref="U13" r:id="rId211" display="https://www.hokej.cz/hrac/5607414?t=9oss9h1o5rxioi747gkdfhil5zki4mkc2ow%3C%21DOCTYPE%2BHTML%2BPUBLIC" xr:uid="{00000000-0004-0000-1500-0000D2000000}"/>
    <hyperlink ref="U6" r:id="rId212" display="https://www.hokej.cz/hrac/17113?t=9oss9h1o5rxioi747gkdfhil5zki4mkc2ow%3C%21DOCTYPE%2BHTML%2BPUBLIC" xr:uid="{00000000-0004-0000-1500-0000D3000000}"/>
    <hyperlink ref="U12" r:id="rId213" display="https://www.hokej.cz/hrac/10102701?t=9oss9h1o5rxioi747gkdfhil5zki4mkc2ow%3C%21DOCTYPE%2BHTML%2BPUBLIC" xr:uid="{00000000-0004-0000-1500-0000D4000000}"/>
    <hyperlink ref="U22" r:id="rId214" display="https://www.hokej.cz/hrac/10096884?t=9oss9h1o5rxioi747gkdfhil5zki4mkc2ow%3C%21DOCTYPE%2BHTML%2BPUBLIC" xr:uid="{00000000-0004-0000-1500-0000D5000000}"/>
    <hyperlink ref="U23" r:id="rId215" display="https://www.hokej.cz/hrac/11296?t=9oss9h1o5rxioi747gkdfhil5zki4mkc2ow%3C%21DOCTYPE%2BHTML%2BPUBLIC" xr:uid="{00000000-0004-0000-1500-0000D6000000}"/>
    <hyperlink ref="U10" r:id="rId216" display="https://www.hokej.cz/hrac/14203?t=9oss9h1o5rxioi747gkdfhil5zki4mkc2ow%3C%21DOCTYPE%2BHTML%2BPUBLIC" xr:uid="{00000000-0004-0000-1500-0000D7000000}"/>
    <hyperlink ref="U25" r:id="rId217" display="https://www.hokej.cz/hrac/10079557?t=9oss9h1o5rxioi747gkdfhil5zki4mkc2ow%3C%21DOCTYPE%2BHTML%2BPUBLIC" xr:uid="{00000000-0004-0000-1500-0000D8000000}"/>
    <hyperlink ref="U20" r:id="rId218" display="https://www.hokej.cz/hrac/14369?t=9oss9h1o5rxioi747gkdfhil5zki4mkc2ow%3C%21DOCTYPE%2BHTML%2BPUBLIC" xr:uid="{00000000-0004-0000-1500-0000D9000000}"/>
    <hyperlink ref="U5" r:id="rId219" display="https://www.hokej.cz/hrac/51841?t=9oss9h1o5rxioi747gkdfhil5zki4mkc2ow%3C%21DOCTYPE%2BHTML%2BPUBLIC" xr:uid="{00000000-0004-0000-1500-0000DA000000}"/>
    <hyperlink ref="U15" r:id="rId220" display="https://www.hokej.cz/hrac/17112?t=9oss9h1o5rxioi747gkdfhil5zki4mkc2ow%3C%21DOCTYPE%2BHTML%2BPUBLIC" xr:uid="{00000000-0004-0000-1500-0000DB000000}"/>
    <hyperlink ref="U24" r:id="rId221" display="https://www.hokej.cz/hrac/19035?t=9oss9h1o5rxioi747gkdfhil5zki4mkc2ow%3C%21DOCTYPE%2BHTML%2BPUBLIC" xr:uid="{00000000-0004-0000-1500-0000DC000000}"/>
    <hyperlink ref="U14" r:id="rId222" display="https://www.hokej.cz/hrac/51601?t=9oss9h1o5rxioi747gkdfhil5zki4mkc2ow%3C%21DOCTYPE%2BHTML%2BPUBLIC" xr:uid="{00000000-0004-0000-1500-0000DD000000}"/>
    <hyperlink ref="U8" r:id="rId223" display="https://www.hokej.cz/hrac/13198?t=9oss9h1o5rxioi747gkdfhil5zki4mkc2ow%3C%21DOCTYPE%2BHTML%2BPUBLIC" xr:uid="{00000000-0004-0000-1500-0000DE000000}"/>
    <hyperlink ref="U11" r:id="rId224" display="https://www.hokej.cz/hrac/13792?t=9oss9h1o5rxioi747gkdfhil5zki4mkc2ow%3C%21DOCTYPE%2BHTML%2BPUBLIC" xr:uid="{00000000-0004-0000-1500-0000DF000000}"/>
    <hyperlink ref="U16" r:id="rId225" display="https://www.hokej.cz/hrac/18941?t=9oss9h1o5rxioi747gkdfhil5zki4mkc2ow%3C%21DOCTYPE%2BHTML%2BPUBLIC" xr:uid="{00000000-0004-0000-1500-0000E0000000}"/>
    <hyperlink ref="U4" r:id="rId226" display="https://www.hokej.cz/hrac/13305?t=9oss9h1o5rxioi747gkdfhil5zki4mkc2ow%3C%21DOCTYPE%2BHTML%2BPUBLIC" xr:uid="{00000000-0004-0000-1500-0000E1000000}"/>
    <hyperlink ref="B7" r:id="rId227" display="https://www.hokej.cz/hrac/10099336" xr:uid="{00000000-0004-0000-1500-0000E2000000}"/>
    <hyperlink ref="B26" r:id="rId228" display="https://www.hokej.cz/hrac/15672" xr:uid="{00000000-0004-0000-1500-0000E3000000}"/>
    <hyperlink ref="B21" r:id="rId229" display="https://www.hokej.cz/hrac/14150" xr:uid="{00000000-0004-0000-1500-0000E4000000}"/>
    <hyperlink ref="B3" r:id="rId230" display="https://www.hokej.cz/hrac/7229427" xr:uid="{00000000-0004-0000-1500-0000E5000000}"/>
    <hyperlink ref="B19" r:id="rId231" display="https://www.hokej.cz/hrac/13667" xr:uid="{00000000-0004-0000-1500-0000E6000000}"/>
    <hyperlink ref="B13" r:id="rId232" display="https://www.hokej.cz/hrac/5607414" xr:uid="{00000000-0004-0000-1500-0000E7000000}"/>
    <hyperlink ref="B17" r:id="rId233" display="https://www.hokej.cz/hrac/2491887" xr:uid="{00000000-0004-0000-1500-0000E8000000}"/>
    <hyperlink ref="B9" r:id="rId234" display="https://www.hokej.cz/hrac/10083186" xr:uid="{00000000-0004-0000-1500-0000E9000000}"/>
    <hyperlink ref="B18" r:id="rId235" display="https://www.hokej.cz/hrac/10077703" xr:uid="{00000000-0004-0000-1500-0000EA000000}"/>
    <hyperlink ref="B14" r:id="rId236" display="https://www.hokej.cz/hrac/51601" xr:uid="{00000000-0004-0000-1500-0000EB000000}"/>
    <hyperlink ref="B20" r:id="rId237" display="https://www.hokej.cz/hrac/14369" xr:uid="{00000000-0004-0000-1500-0000EC000000}"/>
    <hyperlink ref="B10" r:id="rId238" display="https://www.hokej.cz/hrac/14203" xr:uid="{00000000-0004-0000-1500-0000ED000000}"/>
    <hyperlink ref="B12" r:id="rId239" display="https://www.hokej.cz/hrac/10102701" xr:uid="{00000000-0004-0000-1500-0000EE000000}"/>
    <hyperlink ref="B6" r:id="rId240" display="https://www.hokej.cz/hrac/17113" xr:uid="{00000000-0004-0000-1500-0000EF000000}"/>
    <hyperlink ref="B5" r:id="rId241" display="https://www.hokej.cz/hrac/51841" xr:uid="{00000000-0004-0000-1500-0000F0000000}"/>
    <hyperlink ref="B25" r:id="rId242" display="https://www.hokej.cz/hrac/10079557" xr:uid="{00000000-0004-0000-1500-0000F1000000}"/>
    <hyperlink ref="B11" r:id="rId243" display="https://www.hokej.cz/hrac/13792" xr:uid="{00000000-0004-0000-1500-0000F2000000}"/>
    <hyperlink ref="B16" r:id="rId244" display="https://www.hokej.cz/hrac/18941" xr:uid="{00000000-0004-0000-1500-0000F3000000}"/>
    <hyperlink ref="B4" r:id="rId245" display="https://www.hokej.cz/hrac/13305" xr:uid="{00000000-0004-0000-1500-0000F4000000}"/>
    <hyperlink ref="B22" r:id="rId246" display="https://www.hokej.cz/hrac/10096884" xr:uid="{00000000-0004-0000-1500-0000F5000000}"/>
    <hyperlink ref="B15" r:id="rId247" display="https://www.hokej.cz/hrac/17112" xr:uid="{00000000-0004-0000-1500-0000F6000000}"/>
    <hyperlink ref="B24" r:id="rId248" display="https://www.hokej.cz/hrac/19035" xr:uid="{00000000-0004-0000-1500-0000F7000000}"/>
    <hyperlink ref="B8" r:id="rId249" display="https://www.hokej.cz/hrac/13198" xr:uid="{00000000-0004-0000-1500-0000F8000000}"/>
    <hyperlink ref="B23" r:id="rId250" display="https://www.hokej.cz/hrac/11296" xr:uid="{00000000-0004-0000-1500-0000F9000000}"/>
    <hyperlink ref="U28" r:id="rId251" display="https://www.hokej.cz/hrac/11273?t=9oss9h1o5rxioi747gkdfhil5zki4mkc2ow%3C%21DOCTYPE%2BHTML%2BPUBLIC" xr:uid="{00000000-0004-0000-1500-0000FA000000}"/>
    <hyperlink ref="AN26" r:id="rId252" display="https://www.hokej.cz/hrac/simon-stransky/15672?t=15viya1rz6mv9add4wo7imlpfpzjoh9fo9gr2x5zqz58is07ju9av8k" xr:uid="{00000000-0004-0000-1500-0000FB000000}"/>
    <hyperlink ref="AN7" r:id="rId253" display="https://www.hokej.cz/hrac/giorgio-estephan/10099336?t=15viya1rz6mv9add4wo7imlpfpzjoh9fo9gr2x5zqz58is07ju9av8k" xr:uid="{00000000-0004-0000-1500-0000FC000000}"/>
    <hyperlink ref="AN21" r:id="rId254" display="https://www.hokej.cz/hrac/patrik-zdrahal/14150?t=15viya1rz6mv9add4wo7imlpfpzjoh9fo9gr2x5zqz58is07ju9av8k" xr:uid="{00000000-0004-0000-1500-0000FD000000}"/>
    <hyperlink ref="AN3" r:id="rId255" display="https://www.hokej.cz/hrac/andrej-kudrna/7229427?t=15viya1rz6mv9add4wo7imlpfpzjoh9fo9gr2x5zqz58is07ju9av8k" xr:uid="{00000000-0004-0000-1500-0000FE000000}"/>
    <hyperlink ref="AN17" r:id="rId256" display="https://www.hokej.cz/hrac/matus-sukel/2491887?t=15viya1rz6mv9add4wo7imlpfpzjoh9fo9gr2x5zqz58is07ju9av8k" xr:uid="{00000000-0004-0000-1500-0000FF000000}"/>
    <hyperlink ref="AN19" r:id="rId257" display="https://www.hokej.cz/hrac/nicolas-hlava/13667?t=15viya1rz6mv9add4wo7imlpfpzjoh9fo9gr2x5zqz58is07ju9av8k" xr:uid="{00000000-0004-0000-1500-000000010000}"/>
    <hyperlink ref="AN9" r:id="rId258" display="https://www.hokej.cz/hrac/janis-jaks/10083186?t=15viya1rz6mv9add4wo7imlpfpzjoh9fo9gr2x5zqz58is07ju9av8k" xr:uid="{00000000-0004-0000-1500-000001010000}"/>
    <hyperlink ref="AN10" r:id="rId259" display="https://www.hokej.cz/hrac/jindrich-abdul/14203?t=15viya1rz6mv9add4wo7imlpfpzjoh9fo9gr2x5zqz58is07ju9av8k" xr:uid="{00000000-0004-0000-1500-000002010000}"/>
    <hyperlink ref="AN13" r:id="rId260" display="https://www.hokej.cz/hrac/kristaps-zile/5607414?t=15viya1rz6mv9add4wo7imlpfpzjoh9fo9gr2x5zqz58is07ju9av8k" xr:uid="{00000000-0004-0000-1500-000003010000}"/>
    <hyperlink ref="AN25" r:id="rId261" display="https://www.hokej.cz/hrac/ralfs-freibergs/10079557?t=15viya1rz6mv9add4wo7imlpfpzjoh9fo9gr2x5zqz58is07ju9av8k" xr:uid="{00000000-0004-0000-1500-000004010000}"/>
    <hyperlink ref="AN22" r:id="rId262" display="https://www.hokej.cz/hrac/pawel-zygmunt/10096884?t=15viya1rz6mv9add4wo7imlpfpzjoh9fo9gr2x5zqz58is07ju9av8k" xr:uid="{00000000-0004-0000-1500-000005010000}"/>
    <hyperlink ref="AN5" r:id="rId263" display="https://www.hokej.cz/hrac/denis-zeman/51841?t=15viya1rz6mv9add4wo7imlpfpzjoh9fo9gr2x5zqz58is07ju9av8k" xr:uid="{00000000-0004-0000-1500-000006010000}"/>
    <hyperlink ref="AN20" r:id="rId264" display="https://www.hokej.cz/hrac/patrik-demel/14369?t=15viya1rz6mv9add4wo7imlpfpzjoh9fo9gr2x5zqz58is07ju9av8k" xr:uid="{00000000-0004-0000-1500-000007010000}"/>
    <hyperlink ref="AN18" r:id="rId265" display="https://www.hokej.cz/hrac/michal-gut/10077703?t=15viya1rz6mv9add4wo7imlpfpzjoh9fo9gr2x5zqz58is07ju9av8k" xr:uid="{00000000-0004-0000-1500-000008010000}"/>
    <hyperlink ref="AN28" r:id="rId266" display="https://www.hokej.cz/hrac/ondrej-jurcik/11273?t=15viya1rz6mv9add4wo7imlpfpzjoh9fo9gr2x5zqz58is07ju9av8k" xr:uid="{00000000-0004-0000-1500-000009010000}"/>
    <hyperlink ref="AN6" r:id="rId267" display="https://www.hokej.cz/hrac/filip-helt/17113?t=15viya1rz6mv9add4wo7imlpfpzjoh9fo9gr2x5zqz58is07ju9av8k" xr:uid="{00000000-0004-0000-1500-00000A010000}"/>
    <hyperlink ref="AN23" r:id="rId268" display="https://www.hokej.cz/hrac/petr-straka/11296?t=15viya1rz6mv9add4wo7imlpfpzjoh9fo9gr2x5zqz58is07ju9av8k" xr:uid="{00000000-0004-0000-1500-00000B010000}"/>
    <hyperlink ref="AN15" r:id="rId269" display="https://www.hokej.cz/hrac/martin-havelka/17112?t=15viya1rz6mv9add4wo7imlpfpzjoh9fo9gr2x5zqz58is07ju9av8k" xr:uid="{00000000-0004-0000-1500-00000C010000}"/>
    <hyperlink ref="AN12" r:id="rId270" display="https://www.hokej.cz/hrac/joshua-jared-wesley/10102701?t=15viya1rz6mv9add4wo7imlpfpzjoh9fo9gr2x5zqz58is07ju9av8k" xr:uid="{00000000-0004-0000-1500-00000D010000}"/>
    <hyperlink ref="AN14" r:id="rId271" display="https://www.hokej.cz/hrac/marek-berka/51601?t=15viya1rz6mv9add4wo7imlpfpzjoh9fo9gr2x5zqz58is07ju9av8k" xr:uid="{00000000-0004-0000-1500-00000E010000}"/>
    <hyperlink ref="AN8" r:id="rId272" display="https://www.hokej.cz/hrac/jan-strejcek/13198?t=15viya1rz6mv9add4wo7imlpfpzjoh9fo9gr2x5zqz58is07ju9av8k" xr:uid="{00000000-0004-0000-1500-00000F010000}"/>
    <hyperlink ref="AN32" r:id="rId273" display="https://www.hokej.cz/hrac/lukas-valek/14465?t=15viya1rz6mv9add4wo7imlpfpzjoh9fo9gr2x5zqz58is07ju9av8k" xr:uid="{00000000-0004-0000-1500-000010010000}"/>
    <hyperlink ref="AN11" r:id="rId274" display="https://www.hokej.cz/hrac/jiri-fronk/13792?t=15viya1rz6mv9add4wo7imlpfpzjoh9fo9gr2x5zqz58is07ju9av8k" xr:uid="{00000000-0004-0000-1500-000011010000}"/>
    <hyperlink ref="AN16" r:id="rId275" display="https://www.hokej.cz/hrac/matej-chalupa/18941?t=15viya1rz6mv9add4wo7imlpfpzjoh9fo9gr2x5zqz58is07ju9av8k" xr:uid="{00000000-0004-0000-1500-000012010000}"/>
    <hyperlink ref="AN24" r:id="rId276" display="https://www.hokej.cz/hrac/radim-salda/19035?t=15viya1rz6mv9add4wo7imlpfpzjoh9fo9gr2x5zqz58is07ju9av8k" xr:uid="{00000000-0004-0000-1500-000013010000}"/>
    <hyperlink ref="AN30" r:id="rId277" display="https://www.hokej.cz/hrac/tim-danielcak/10098484?t=15viya1rz6mv9add4wo7imlpfpzjoh9fo9gr2x5zqz58is07ju9av8k" xr:uid="{00000000-0004-0000-1500-000014010000}"/>
    <hyperlink ref="AN31" r:id="rId278" display="https://www.hokej.cz/hrac/lukas-stehlik/10077692?t=15viya1rz6mv9add4wo7imlpfpzjoh9fo9gr2x5zqz58is07ju9av8k" xr:uid="{00000000-0004-0000-1500-000015010000}"/>
    <hyperlink ref="AN4" r:id="rId279" display="https://www.hokej.cz/hrac/daniel-kolar/13305?t=15viya1rz6mv9add4wo7imlpfpzjoh9fo9gr2x5zqz58is07ju9av8k" xr:uid="{00000000-0004-0000-1500-000016010000}"/>
    <hyperlink ref="C80" r:id="rId280" display="https://www.eliteprospects.com/team/3714/hc-litvinov-u20/2020-2021?tab=stats" xr:uid="{00000000-0004-0000-1500-000017010000}"/>
    <hyperlink ref="D80" r:id="rId281" display="https://www.eliteprospects.com/league/czechia-u20/stats/2020-2021" xr:uid="{00000000-0004-0000-1500-000018010000}"/>
    <hyperlink ref="C81" r:id="rId282" display="https://www.eliteprospects.com/team/3461/hc-stadion-litom%C4%9B%C5%99ice/2020-2021?tab=stats" xr:uid="{00000000-0004-0000-1500-000019010000}"/>
    <hyperlink ref="D81" r:id="rId283" display="https://www.eliteprospects.com/league/czechia2/stats/2020-2021" xr:uid="{00000000-0004-0000-1500-00001A010000}"/>
    <hyperlink ref="L81" r:id="rId284" display="https://www.eliteprospects.com/league/czechia2/stats/2020-2021/playoffs" xr:uid="{00000000-0004-0000-1500-00001B010000}"/>
    <hyperlink ref="C82" r:id="rId285" display="https://www.eliteprospects.com/team/155/hc-litvinov/2021-2022?tab=stats" xr:uid="{00000000-0004-0000-1500-00001C010000}"/>
    <hyperlink ref="D82" r:id="rId286" display="https://www.eliteprospects.com/league/czechia/stats/2021-2022" xr:uid="{00000000-0004-0000-1500-00001D010000}"/>
    <hyperlink ref="L82" r:id="rId287" display="https://www.eliteprospects.com/league/czechia/stats/2021-2022" xr:uid="{00000000-0004-0000-1500-00001E010000}"/>
    <hyperlink ref="C83" r:id="rId288" display="https://www.eliteprospects.com/team/3461/hc-stadion-litom%C4%9B%C5%99ice/2021-2022?tab=stats" xr:uid="{00000000-0004-0000-1500-00001F010000}"/>
    <hyperlink ref="D83" r:id="rId289" display="https://www.eliteprospects.com/league/czechia2/stats/2021-2022" xr:uid="{00000000-0004-0000-1500-000020010000}"/>
    <hyperlink ref="L83" r:id="rId290" display="https://www.eliteprospects.com/league/czechia2/stats/2021-2022/playoffs" xr:uid="{00000000-0004-0000-1500-000021010000}"/>
    <hyperlink ref="C84" r:id="rId291" display="https://www.eliteprospects.com/team/1907/hc-d%C4%9B%C4%8Din/2021-2022?tab=stats" xr:uid="{00000000-0004-0000-1500-000022010000}"/>
    <hyperlink ref="D84" r:id="rId292" display="https://www.eliteprospects.com/league/czechia3/stats/2021-2022" xr:uid="{00000000-0004-0000-1500-000023010000}"/>
    <hyperlink ref="L84" r:id="rId293" display="https://www.eliteprospects.com/league/czechia3/stats/2021-2022" xr:uid="{00000000-0004-0000-1500-000024010000}"/>
    <hyperlink ref="C85" r:id="rId294" display="https://www.eliteprospects.com/team/155/hc-litvinov/2022-2023?tab=stats" xr:uid="{00000000-0004-0000-1500-000025010000}"/>
    <hyperlink ref="D85" r:id="rId295" display="https://www.eliteprospects.com/league/czechia/stats/2022-2023" xr:uid="{00000000-0004-0000-1500-000026010000}"/>
    <hyperlink ref="C86" r:id="rId296" display="https://www.eliteprospects.com/team/1565/hc-banik-sokolov/2022-2023?tab=stats" xr:uid="{00000000-0004-0000-1500-000027010000}"/>
    <hyperlink ref="D86" r:id="rId297" display="https://www.eliteprospects.com/league/czechia2/stats/2022-2023" xr:uid="{00000000-0004-0000-1500-000028010000}"/>
    <hyperlink ref="L86" r:id="rId298" display="https://www.eliteprospects.com/league/czechia2/stats/2022-2023" xr:uid="{00000000-0004-0000-1500-000029010000}"/>
    <hyperlink ref="C87" r:id="rId299" display="https://www.eliteprospects.com/team/3461/hc-stadion-litom%C4%9B%C5%99ice/2022-2023?tab=stats" xr:uid="{00000000-0004-0000-1500-00002A010000}"/>
    <hyperlink ref="D87" r:id="rId300" display="https://www.eliteprospects.com/league/czechia2/stats/2022-2023" xr:uid="{00000000-0004-0000-1500-00002B010000}"/>
    <hyperlink ref="C91" r:id="rId301" display="https://www.eliteprospects.com/team/3714/hc-litvinov-u20/2020-2021?tab=stats" xr:uid="{00000000-0004-0000-1500-00002C010000}"/>
    <hyperlink ref="D91" r:id="rId302" display="https://www.eliteprospects.com/league/czechia-u20/stats/2020-2021" xr:uid="{00000000-0004-0000-1500-00002D010000}"/>
    <hyperlink ref="L91" r:id="rId303" display="https://www.eliteprospects.com/league/czechia-u20/stats/2020-2021" xr:uid="{00000000-0004-0000-1500-00002E010000}"/>
    <hyperlink ref="C92" r:id="rId304" display="https://www.eliteprospects.com/team/155/hc-litvinov/2020-2021?tab=stats" xr:uid="{00000000-0004-0000-1500-00002F010000}"/>
    <hyperlink ref="D92" r:id="rId305" display="https://www.eliteprospects.com/league/czechia/stats/2020-2021" xr:uid="{00000000-0004-0000-1500-000030010000}"/>
    <hyperlink ref="L92" r:id="rId306" display="https://www.eliteprospects.com/league/czechia/stats/2020-2021" xr:uid="{00000000-0004-0000-1500-000031010000}"/>
    <hyperlink ref="C93" r:id="rId307" display="https://www.eliteprospects.com/team/3461/hc-stadion-litom%C4%9B%C5%99ice/2020-2021?tab=stats" xr:uid="{00000000-0004-0000-1500-000032010000}"/>
    <hyperlink ref="D93" r:id="rId308" display="https://www.eliteprospects.com/league/czechia2/stats/2020-2021" xr:uid="{00000000-0004-0000-1500-000033010000}"/>
    <hyperlink ref="L93" r:id="rId309" display="https://www.eliteprospects.com/league/czechia2/stats/2020-2021/playoffs" xr:uid="{00000000-0004-0000-1500-000034010000}"/>
    <hyperlink ref="C94" r:id="rId310" display="https://www.eliteprospects.com/team/9731/czechia-u20-all/2020-2021?tab=stats" xr:uid="{00000000-0004-0000-1500-000035010000}"/>
    <hyperlink ref="D94" r:id="rId311" display="https://www.eliteprospects.com/league/international-jr/stats/2020-2021" xr:uid="{00000000-0004-0000-1500-000036010000}"/>
    <hyperlink ref="C95" r:id="rId312" display="https://www.eliteprospects.com/team/3714/hc-litvinov-u20/2021-2022?tab=stats" xr:uid="{00000000-0004-0000-1500-000037010000}"/>
    <hyperlink ref="D95" r:id="rId313" display="https://www.eliteprospects.com/league/czechia-u20/stats/2021-2022" xr:uid="{00000000-0004-0000-1500-000038010000}"/>
    <hyperlink ref="L95" r:id="rId314" display="https://www.eliteprospects.com/league/czechia-u20/stats/2021-2022/relegation" xr:uid="{00000000-0004-0000-1500-000039010000}"/>
    <hyperlink ref="C96" r:id="rId315" display="https://www.eliteprospects.com/team/155/hc-litvinov/2021-2022?tab=stats" xr:uid="{00000000-0004-0000-1500-00003A010000}"/>
    <hyperlink ref="D96" r:id="rId316" display="https://www.eliteprospects.com/league/czechia/stats/2021-2022" xr:uid="{00000000-0004-0000-1500-00003B010000}"/>
    <hyperlink ref="L96" r:id="rId317" display="https://www.eliteprospects.com/league/czechia/stats/2021-2022" xr:uid="{00000000-0004-0000-1500-00003C010000}"/>
    <hyperlink ref="C97" r:id="rId318" display="https://www.eliteprospects.com/team/3461/hc-stadion-litom%C4%9B%C5%99ice/2021-2022?tab=stats" xr:uid="{00000000-0004-0000-1500-00003D010000}"/>
    <hyperlink ref="D97" r:id="rId319" display="https://www.eliteprospects.com/league/czechia2/stats/2021-2022" xr:uid="{00000000-0004-0000-1500-00003E010000}"/>
    <hyperlink ref="C98" r:id="rId320" display="https://www.eliteprospects.com/team/9731/czechia-u20-all/2021-2022?tab=stats" xr:uid="{00000000-0004-0000-1500-00003F010000}"/>
    <hyperlink ref="D98" r:id="rId321" display="https://www.eliteprospects.com/league/international-jr/stats/2021-2022" xr:uid="{00000000-0004-0000-1500-000040010000}"/>
    <hyperlink ref="C99" r:id="rId322" display="https://www.eliteprospects.com/team/1565/hc-banik-sokolov/2022-2023?tab=stats" xr:uid="{00000000-0004-0000-1500-000041010000}"/>
    <hyperlink ref="D99" r:id="rId323" display="https://www.eliteprospects.com/league/czechia2/stats/2022-2023" xr:uid="{00000000-0004-0000-1500-000042010000}"/>
    <hyperlink ref="C100" r:id="rId324" display="https://www.eliteprospects.com/team/162/hc-slavia-praha/2022-2023?tab=stats" xr:uid="{00000000-0004-0000-1500-000043010000}"/>
    <hyperlink ref="D100" r:id="rId325" display="https://www.eliteprospects.com/league/czechia2/stats/2022-2023" xr:uid="{00000000-0004-0000-1500-000044010000}"/>
    <hyperlink ref="C101" r:id="rId326" display="https://www.eliteprospects.com/team/155/hc-litvinov/2022-2023?tab=stats" xr:uid="{00000000-0004-0000-1500-000045010000}"/>
    <hyperlink ref="D101" r:id="rId327" display="https://www.eliteprospects.com/league/czechia/stats/2022-2023" xr:uid="{00000000-0004-0000-1500-000046010000}"/>
    <hyperlink ref="C105" r:id="rId328" display="https://www.eliteprospects.com/team/3714/hc-litvinov-u20/2020-2021?tab=stats" xr:uid="{00000000-0004-0000-1500-000047010000}"/>
    <hyperlink ref="D105" r:id="rId329" display="https://www.eliteprospects.com/league/czechia-u20/stats/2020-2021" xr:uid="{00000000-0004-0000-1500-000048010000}"/>
    <hyperlink ref="C106" r:id="rId330" display="https://www.eliteprospects.com/team/155/hc-litvinov/2020-2021?tab=stats" xr:uid="{00000000-0004-0000-1500-000049010000}"/>
    <hyperlink ref="D106" r:id="rId331" display="https://www.eliteprospects.com/league/czechia/stats/2020-2021" xr:uid="{00000000-0004-0000-1500-00004A010000}"/>
    <hyperlink ref="L106" r:id="rId332" display="https://www.eliteprospects.com/league/czechia/stats/2020-2021" xr:uid="{00000000-0004-0000-1500-00004B010000}"/>
    <hyperlink ref="D107" r:id="rId333" display="https://www.eliteprospects.com/league/czechia-u20/stats/2021-2022" xr:uid="{00000000-0004-0000-1500-00004C010000}"/>
    <hyperlink ref="L107" r:id="rId334" display="https://www.eliteprospects.com/league/czechia-u20/stats/2021-2022/relegation" xr:uid="{00000000-0004-0000-1500-00004D010000}"/>
    <hyperlink ref="C108" r:id="rId335" display="https://www.eliteprospects.com/team/155/hc-litvinov/2021-2022?tab=stats" xr:uid="{00000000-0004-0000-1500-00004E010000}"/>
    <hyperlink ref="D108" r:id="rId336" display="https://www.eliteprospects.com/league/czechia/stats/2021-2022" xr:uid="{00000000-0004-0000-1500-00004F010000}"/>
    <hyperlink ref="L108" r:id="rId337" display="https://www.eliteprospects.com/league/czechia/stats/2021-2022" xr:uid="{00000000-0004-0000-1500-000050010000}"/>
    <hyperlink ref="C109" r:id="rId338" display="https://www.eliteprospects.com/team/9875/czechia-u19-all/2021-2022?tab=stats" xr:uid="{00000000-0004-0000-1500-000051010000}"/>
    <hyperlink ref="D109" r:id="rId339" display="https://www.eliteprospects.com/league/international-jr/stats/2021-2022" xr:uid="{00000000-0004-0000-1500-000052010000}"/>
    <hyperlink ref="D110" r:id="rId340" display="https://www.eliteprospects.com/league/czechia-u20/stats/2022-2023" xr:uid="{00000000-0004-0000-1500-000053010000}"/>
    <hyperlink ref="C111" r:id="rId341" display="https://www.eliteprospects.com/team/162/hc-slavia-praha/2022-2023?tab=stats" xr:uid="{00000000-0004-0000-1500-000054010000}"/>
    <hyperlink ref="D111" r:id="rId342" display="https://www.eliteprospects.com/league/czechia2/stats/2022-2023" xr:uid="{00000000-0004-0000-1500-000055010000}"/>
    <hyperlink ref="C112" r:id="rId343" display="https://www.eliteprospects.com/team/24585/moste%C4%8Dti-lvi/2022-2023?tab=stats" xr:uid="{00000000-0004-0000-1500-000056010000}"/>
    <hyperlink ref="D112" r:id="rId344" display="https://www.eliteprospects.com/league/czechia3/stats/2022-2023" xr:uid="{00000000-0004-0000-1500-000057010000}"/>
    <hyperlink ref="C113" r:id="rId345" display="https://www.eliteprospects.com/team/1565/hc-banik-sokolov/2022-2023?tab=stats" xr:uid="{00000000-0004-0000-1500-000058010000}"/>
    <hyperlink ref="D113" r:id="rId346" display="https://www.eliteprospects.com/league/czechia2/stats/2022-2023" xr:uid="{00000000-0004-0000-1500-000059010000}"/>
    <hyperlink ref="C117" r:id="rId347" display="https://www.eliteprospects.com/team/3714/hc-litvinov-u20/2020-2021?tab=stats" xr:uid="{00000000-0004-0000-1500-00005A010000}"/>
    <hyperlink ref="D117" r:id="rId348" display="https://www.eliteprospects.com/league/czechia-u20/stats/2020-2021" xr:uid="{00000000-0004-0000-1500-00005B010000}"/>
    <hyperlink ref="C118" r:id="rId349" display="https://www.eliteprospects.com/team/30841/boston-advantage/2021-2022?tab=stats" xr:uid="{00000000-0004-0000-1500-00005C010000}"/>
    <hyperlink ref="D118" r:id="rId350" display="https://www.eliteprospects.com/league/ncdc/stats/2021-2022" xr:uid="{00000000-0004-0000-1500-00005D010000}"/>
    <hyperlink ref="C119" r:id="rId351" display="https://www.eliteprospects.com/team/24585/moste%C4%8Dti-lvi/2021-2022?tab=stats" xr:uid="{00000000-0004-0000-1500-00005E010000}"/>
    <hyperlink ref="D119" r:id="rId352" display="https://www.eliteprospects.com/league/czechia3/stats/2021-2022" xr:uid="{00000000-0004-0000-1500-00005F010000}"/>
    <hyperlink ref="L119" r:id="rId353" display="https://www.eliteprospects.com/league/czechia3/stats/2021-2022/playoffs" xr:uid="{00000000-0004-0000-1500-000060010000}"/>
    <hyperlink ref="C120" r:id="rId354" display="https://www.eliteprospects.com/team/24585/moste%C4%8Dti-lvi/2022-2023?tab=stats" xr:uid="{00000000-0004-0000-1500-000061010000}"/>
    <hyperlink ref="D120" r:id="rId355" display="https://www.eliteprospects.com/league/czechia3/stats/2022-2023" xr:uid="{00000000-0004-0000-1500-000062010000}"/>
    <hyperlink ref="L120" r:id="rId356" display="https://www.eliteprospects.com/league/czechia3/stats/2022-2023" xr:uid="{00000000-0004-0000-1500-000063010000}"/>
    <hyperlink ref="C121" r:id="rId357" display="https://www.eliteprospects.com/team/1342/lhk-jest%C5%99abi-prost%C4%9Bjov/2022-2023?tab=stats" xr:uid="{00000000-0004-0000-1500-000064010000}"/>
    <hyperlink ref="D121" r:id="rId358" display="https://www.eliteprospects.com/league/czechia2/stats/2022-2023" xr:uid="{00000000-0004-0000-1500-000065010000}"/>
    <hyperlink ref="L121" r:id="rId359" display="https://www.eliteprospects.com/league/czechia2/stats/2022-2023" xr:uid="{00000000-0004-0000-1500-000066010000}"/>
    <hyperlink ref="C122" r:id="rId360" display="https://www.eliteprospects.com/team/1565/hc-banik-sokolov/2022-2023?tab=stats" xr:uid="{00000000-0004-0000-1500-000067010000}"/>
    <hyperlink ref="D122" r:id="rId361" display="https://www.eliteprospects.com/league/czechia2/stats/2022-2023" xr:uid="{00000000-0004-0000-1500-000068010000}"/>
    <hyperlink ref="C126" r:id="rId362" display="https://www.eliteprospects.com/team/3714/hc-litvinov-u20/2020-2021?tab=stats" xr:uid="{00000000-0004-0000-1500-000069010000}"/>
    <hyperlink ref="D126" r:id="rId363" display="https://www.eliteprospects.com/league/czechia-u20/stats/2020-2021" xr:uid="{00000000-0004-0000-1500-00006A010000}"/>
    <hyperlink ref="C127" r:id="rId364" display="https://www.eliteprospects.com/team/3461/hc-stadion-litom%C4%9B%C5%99ice/2020-2021?tab=stats" xr:uid="{00000000-0004-0000-1500-00006B010000}"/>
    <hyperlink ref="D127" r:id="rId365" display="https://www.eliteprospects.com/league/czechia2/stats/2020-2021" xr:uid="{00000000-0004-0000-1500-00006C010000}"/>
    <hyperlink ref="L127" r:id="rId366" display="https://www.eliteprospects.com/league/czechia2/stats/2020-2021/playoffs" xr:uid="{00000000-0004-0000-1500-00006D010000}"/>
    <hyperlink ref="C128" r:id="rId367" display="https://www.eliteprospects.com/team/9731/czechia-u20-all/2020-2021?tab=stats" xr:uid="{00000000-0004-0000-1500-00006E010000}"/>
    <hyperlink ref="D128" r:id="rId368" display="https://www.eliteprospects.com/league/international-jr/stats/2020-2021" xr:uid="{00000000-0004-0000-1500-00006F010000}"/>
    <hyperlink ref="C129" r:id="rId369" display="https://www.eliteprospects.com/team/3714/hc-litvinov-u20/2021-2022?tab=stats" xr:uid="{00000000-0004-0000-1500-000070010000}"/>
    <hyperlink ref="D129" r:id="rId370" display="https://www.eliteprospects.com/league/czechia-u20/stats/2021-2022" xr:uid="{00000000-0004-0000-1500-000071010000}"/>
    <hyperlink ref="L129" r:id="rId371" display="https://www.eliteprospects.com/league/czechia-u20/stats/2021-2022/relegation" xr:uid="{00000000-0004-0000-1500-000072010000}"/>
    <hyperlink ref="C130" r:id="rId372" display="https://www.eliteprospects.com/team/155/hc-litvinov/2021-2022?tab=stats" xr:uid="{00000000-0004-0000-1500-000073010000}"/>
    <hyperlink ref="D130" r:id="rId373" display="https://www.eliteprospects.com/league/czechia/stats/2021-2022" xr:uid="{00000000-0004-0000-1500-000074010000}"/>
    <hyperlink ref="C131" r:id="rId374" display="https://www.eliteprospects.com/team/3461/hc-stadion-litom%C4%9B%C5%99ice/2021-2022?tab=stats" xr:uid="{00000000-0004-0000-1500-000075010000}"/>
    <hyperlink ref="D131" r:id="rId375" display="https://www.eliteprospects.com/league/czechia2/stats/2021-2022" xr:uid="{00000000-0004-0000-1500-000076010000}"/>
    <hyperlink ref="C132" r:id="rId376" display="https://www.eliteprospects.com/team/9731/czechia-u20-all/2021-2022?tab=stats" xr:uid="{00000000-0004-0000-1500-000077010000}"/>
    <hyperlink ref="D132" r:id="rId377" display="https://www.eliteprospects.com/league/international-jr/stats/2021-2022" xr:uid="{00000000-0004-0000-1500-000078010000}"/>
    <hyperlink ref="C133" r:id="rId378" display="https://www.eliteprospects.com/team/155/hc-litvinov/2022-2023?tab=stats" xr:uid="{00000000-0004-0000-1500-000079010000}"/>
    <hyperlink ref="D133" r:id="rId379" display="https://www.eliteprospects.com/league/czechia/stats/2022-2023" xr:uid="{00000000-0004-0000-1500-00007A010000}"/>
    <hyperlink ref="C134" r:id="rId380" display="https://www.eliteprospects.com/team/1565/hc-banik-sokolov/2022-2023?tab=stats" xr:uid="{00000000-0004-0000-1500-00007B010000}"/>
    <hyperlink ref="D134" r:id="rId381" display="https://www.eliteprospects.com/league/czechia2/stats/2022-2023" xr:uid="{00000000-0004-0000-1500-00007C010000}"/>
    <hyperlink ref="C138" r:id="rId382" display="https://www.eliteprospects.com/team/155/hc-litvinov/2020-2021?tab=stats" xr:uid="{00000000-0004-0000-1500-00007D010000}"/>
    <hyperlink ref="D138" r:id="rId383" display="https://www.eliteprospects.com/league/czechia/stats/2020-2021" xr:uid="{00000000-0004-0000-1500-00007E010000}"/>
    <hyperlink ref="L138" r:id="rId384" display="https://www.eliteprospects.com/league/czechia/stats/2020-2021/playoffs" xr:uid="{00000000-0004-0000-1500-00007F010000}"/>
    <hyperlink ref="C139" r:id="rId385" display="https://www.eliteprospects.com/team/1418/sk-trha%C4%8Di-kada%C5%88/2020-2021?tab=stats" xr:uid="{00000000-0004-0000-1500-000080010000}"/>
    <hyperlink ref="D139" r:id="rId386" display="https://www.eliteprospects.com/league/czechia2/stats/2020-2021" xr:uid="{00000000-0004-0000-1500-000081010000}"/>
    <hyperlink ref="C140" r:id="rId387" display="https://www.eliteprospects.com/team/1163/hc-dukla-jihlava/2021-2022?tab=stats" xr:uid="{00000000-0004-0000-1500-000082010000}"/>
    <hyperlink ref="D140" r:id="rId388" display="https://www.eliteprospects.com/league/czechia2/stats/2021-2022" xr:uid="{00000000-0004-0000-1500-000083010000}"/>
    <hyperlink ref="L140" r:id="rId389" display="https://www.eliteprospects.com/league/czechia2/stats/2021-2022/playoffs" xr:uid="{00000000-0004-0000-1500-000084010000}"/>
    <hyperlink ref="C141" r:id="rId390" display="https://www.eliteprospects.com/team/1163/hc-dukla-jihlava/2021-2022?tab=stats" xr:uid="{00000000-0004-0000-1500-000085010000}"/>
    <hyperlink ref="D141" r:id="rId391" display="https://www.eliteprospects.com/league/czechia-q/stats/2021-2022" xr:uid="{00000000-0004-0000-1500-000086010000}"/>
    <hyperlink ref="L141" r:id="rId392" display="https://www.eliteprospects.com/league/czechia-q/stats/2021-2022/qualification" xr:uid="{00000000-0004-0000-1500-000087010000}"/>
    <hyperlink ref="C142" r:id="rId393" display="https://www.eliteprospects.com/team/155/hc-litvinov/2021-2022?tab=stats" xr:uid="{00000000-0004-0000-1500-000088010000}"/>
    <hyperlink ref="D142" r:id="rId394" display="https://www.eliteprospects.com/league/czechia/stats/2021-2022" xr:uid="{00000000-0004-0000-1500-000089010000}"/>
    <hyperlink ref="L142" r:id="rId395" display="https://www.eliteprospects.com/league/czechia/stats/2021-2022" xr:uid="{00000000-0004-0000-1500-00008A010000}"/>
    <hyperlink ref="C143" r:id="rId396" display="https://www.eliteprospects.com/team/155/hc-litvinov/2022-2023?tab=stats" xr:uid="{00000000-0004-0000-1500-00008B010000}"/>
    <hyperlink ref="D143" r:id="rId397" display="https://www.eliteprospects.com/league/czechia/stats/2022-2023" xr:uid="{00000000-0004-0000-1500-00008C010000}"/>
    <hyperlink ref="L143" r:id="rId398" display="https://www.eliteprospects.com/league/czechia/stats/2022-2023" xr:uid="{00000000-0004-0000-1500-00008D010000}"/>
    <hyperlink ref="C144" r:id="rId399" display="https://www.eliteprospects.com/team/1565/hc-banik-sokolov/2022-2023?tab=stats" xr:uid="{00000000-0004-0000-1500-00008E010000}"/>
    <hyperlink ref="D144" r:id="rId400" display="https://www.eliteprospects.com/league/czechia2/stats/2022-2023" xr:uid="{00000000-0004-0000-1500-00008F010000}"/>
    <hyperlink ref="BG26" r:id="rId401" display="https://www.hokej.cz/hrac/simon-stransky/15672?t=q94l5kqneoefeyergn06ztwli3a2tnoolx2a5wly0eo09lh9mjh20nm" xr:uid="{00000000-0004-0000-1500-000090010000}"/>
    <hyperlink ref="BG7" r:id="rId402" display="https://www.hokej.cz/hrac/giorgio-estephan/10099336?t=q94l5kqneoefeyergn06ztwli3a2tnoolx2a5wly0eo09lh9mjh20nm" xr:uid="{00000000-0004-0000-1500-000091010000}"/>
    <hyperlink ref="BG21" r:id="rId403" display="https://www.hokej.cz/hrac/patrik-zdrahal/14150?t=q94l5kqneoefeyergn06ztwli3a2tnoolx2a5wly0eo09lh9mjh20nm" xr:uid="{00000000-0004-0000-1500-000092010000}"/>
    <hyperlink ref="BG3" r:id="rId404" display="https://www.hokej.cz/hrac/andrej-kudrna/7229427?t=q94l5kqneoefeyergn06ztwli3a2tnoolx2a5wly0eo09lh9mjh20nm" xr:uid="{00000000-0004-0000-1500-000093010000}"/>
    <hyperlink ref="BG17" r:id="rId405" display="https://www.hokej.cz/hrac/matus-sukel/2491887?t=q94l5kqneoefeyergn06ztwli3a2tnoolx2a5wly0eo09lh9mjh20nm" xr:uid="{00000000-0004-0000-1500-000094010000}"/>
    <hyperlink ref="BG19" r:id="rId406" display="https://www.hokej.cz/hrac/nicolas-hlava/13667?t=q94l5kqneoefeyergn06ztwli3a2tnoolx2a5wly0eo09lh9mjh20nm" xr:uid="{00000000-0004-0000-1500-000095010000}"/>
    <hyperlink ref="BG9" r:id="rId407" display="https://www.hokej.cz/hrac/janis-jaks/10083186?t=q94l5kqneoefeyergn06ztwli3a2tnoolx2a5wly0eo09lh9mjh20nm" xr:uid="{00000000-0004-0000-1500-000096010000}"/>
    <hyperlink ref="BG10" r:id="rId408" display="https://www.hokej.cz/hrac/jindrich-abdul/14203?t=q94l5kqneoefeyergn06ztwli3a2tnoolx2a5wly0eo09lh9mjh20nm" xr:uid="{00000000-0004-0000-1500-000097010000}"/>
    <hyperlink ref="BG13" r:id="rId409" display="https://www.hokej.cz/hrac/kristaps-zile/5607414?t=q94l5kqneoefeyergn06ztwli3a2tnoolx2a5wly0eo09lh9mjh20nm" xr:uid="{00000000-0004-0000-1500-000098010000}"/>
    <hyperlink ref="BG25" r:id="rId410" display="https://www.hokej.cz/hrac/ralfs-freibergs/10079557?t=q94l5kqneoefeyergn06ztwli3a2tnoolx2a5wly0eo09lh9mjh20nm" xr:uid="{00000000-0004-0000-1500-000099010000}"/>
    <hyperlink ref="BG20" r:id="rId411" display="https://www.hokej.cz/hrac/patrik-demel/14369?t=q94l5kqneoefeyergn06ztwli3a2tnoolx2a5wly0eo09lh9mjh20nm" xr:uid="{00000000-0004-0000-1500-00009A010000}"/>
    <hyperlink ref="BG22" r:id="rId412" display="https://www.hokej.cz/hrac/pawel-zygmunt/10096884?t=q94l5kqneoefeyergn06ztwli3a2tnoolx2a5wly0eo09lh9mjh20nm" xr:uid="{00000000-0004-0000-1500-00009B010000}"/>
    <hyperlink ref="BG5" r:id="rId413" display="https://www.hokej.cz/hrac/denis-zeman/51841?t=q94l5kqneoefeyergn06ztwli3a2tnoolx2a5wly0eo09lh9mjh20nm" xr:uid="{00000000-0004-0000-1500-00009C010000}"/>
    <hyperlink ref="BG18" r:id="rId414" display="https://www.hokej.cz/hrac/michal-gut/10077703?t=q94l5kqneoefeyergn06ztwli3a2tnoolx2a5wly0eo09lh9mjh20nm" xr:uid="{00000000-0004-0000-1500-00009D010000}"/>
    <hyperlink ref="BG23" r:id="rId415" display="https://www.hokej.cz/hrac/petr-straka/11296?t=q94l5kqneoefeyergn06ztwli3a2tnoolx2a5wly0eo09lh9mjh20nm" xr:uid="{00000000-0004-0000-1500-00009E010000}"/>
    <hyperlink ref="BG28" r:id="rId416" display="https://www.hokej.cz/hrac/ondrej-jurcik/11273?t=q94l5kqneoefeyergn06ztwli3a2tnoolx2a5wly0eo09lh9mjh20nm" xr:uid="{00000000-0004-0000-1500-00009F010000}"/>
    <hyperlink ref="BG15" r:id="rId417" display="https://www.hokej.cz/hrac/martin-havelka/17112?t=q94l5kqneoefeyergn06ztwli3a2tnoolx2a5wly0eo09lh9mjh20nm" xr:uid="{00000000-0004-0000-1500-0000A0010000}"/>
    <hyperlink ref="BG6" r:id="rId418" display="https://www.hokej.cz/hrac/filip-helt/17113?t=q94l5kqneoefeyergn06ztwli3a2tnoolx2a5wly0eo09lh9mjh20nm" xr:uid="{00000000-0004-0000-1500-0000A1010000}"/>
    <hyperlink ref="BG12" r:id="rId419" display="https://www.hokej.cz/hrac/joshua-jared-wesley/10102701?t=q94l5kqneoefeyergn06ztwli3a2tnoolx2a5wly0eo09lh9mjh20nm" xr:uid="{00000000-0004-0000-1500-0000A2010000}"/>
    <hyperlink ref="BG14" r:id="rId420" display="https://www.hokej.cz/hrac/marek-berka/51601?t=q94l5kqneoefeyergn06ztwli3a2tnoolx2a5wly0eo09lh9mjh20nm" xr:uid="{00000000-0004-0000-1500-0000A3010000}"/>
    <hyperlink ref="BG8" r:id="rId421" display="https://www.hokej.cz/hrac/jan-strejcek/13198?t=q94l5kqneoefeyergn06ztwli3a2tnoolx2a5wly0eo09lh9mjh20nm" xr:uid="{00000000-0004-0000-1500-0000A4010000}"/>
    <hyperlink ref="BG24" r:id="rId422" display="https://www.hokej.cz/hrac/radim-salda/19035?t=q94l5kqneoefeyergn06ztwli3a2tnoolx2a5wly0eo09lh9mjh20nm" xr:uid="{00000000-0004-0000-1500-0000A5010000}"/>
    <hyperlink ref="BG32" r:id="rId423" display="https://www.hokej.cz/hrac/lukas-valek/14465?t=q94l5kqneoefeyergn06ztwli3a2tnoolx2a5wly0eo09lh9mjh20nm" xr:uid="{00000000-0004-0000-1500-0000A6010000}"/>
    <hyperlink ref="BG16" r:id="rId424" display="https://www.hokej.cz/hrac/matej-chalupa/18941?t=q94l5kqneoefeyergn06ztwli3a2tnoolx2a5wly0eo09lh9mjh20nm" xr:uid="{00000000-0004-0000-1500-0000A7010000}"/>
    <hyperlink ref="BG11" r:id="rId425" display="https://www.hokej.cz/hrac/jiri-fronk/13792?t=q94l5kqneoefeyergn06ztwli3a2tnoolx2a5wly0eo09lh9mjh20nm" xr:uid="{00000000-0004-0000-1500-0000A8010000}"/>
    <hyperlink ref="BG30" r:id="rId426" display="https://www.hokej.cz/hrac/tim-danielcak/10098484?t=q94l5kqneoefeyergn06ztwli3a2tnoolx2a5wly0eo09lh9mjh20nm" xr:uid="{00000000-0004-0000-1500-0000A9010000}"/>
    <hyperlink ref="BG34" r:id="rId427" display="https://www.hokej.cz/hrac/josef-jicha/15400?t=q94l5kqneoefeyergn06ztwli3a2tnoolx2a5wly0eo09lh9mjh20nm" xr:uid="{00000000-0004-0000-1500-0000AA010000}"/>
    <hyperlink ref="BG31" r:id="rId428" display="https://www.hokej.cz/hrac/lukas-stehlik/10077692?t=q94l5kqneoefeyergn06ztwli3a2tnoolx2a5wly0eo09lh9mjh20nm" xr:uid="{00000000-0004-0000-1500-0000AB010000}"/>
    <hyperlink ref="BG4" r:id="rId429" display="https://www.hokej.cz/hrac/daniel-kolar/13305?t=q94l5kqneoefeyergn06ztwli3a2tnoolx2a5wly0eo09lh9mjh20nm" xr:uid="{00000000-0004-0000-1500-0000AC010000}"/>
    <hyperlink ref="B149" r:id="rId430" display="https://www.eliteprospects.com/league/nhl/stats/all-time" xr:uid="{00000000-0004-0000-1500-0000AD010000}"/>
    <hyperlink ref="B152" r:id="rId431" display="https://www.eliteprospects.com/league/ncaa/stats/all-time" xr:uid="{00000000-0004-0000-1500-0000AE010000}"/>
    <hyperlink ref="B153" r:id="rId432" display="https://www.eliteprospects.com/league/liiga/stats/all-time" xr:uid="{00000000-0004-0000-1500-0000AF010000}"/>
    <hyperlink ref="B151" r:id="rId433" display="https://www.eliteprospects.com/league/echl/stats/all-time" xr:uid="{00000000-0004-0000-1500-0000B0010000}"/>
    <hyperlink ref="B150" r:id="rId434" display="https://www.eliteprospects.com/league/ahl/stats/all-time" xr:uid="{00000000-0004-0000-1500-0000B1010000}"/>
    <hyperlink ref="B156" r:id="rId435" display="https://www.eliteprospects.com/league/ahl/stats/all-time" xr:uid="{00000000-0004-0000-1500-0000B2010000}"/>
    <hyperlink ref="B158" r:id="rId436" display="https://www.eliteprospects.com/league/czechia/stats/all-time" xr:uid="{00000000-0004-0000-1500-0000B3010000}"/>
    <hyperlink ref="B157" r:id="rId437" display="https://www.eliteprospects.com/league/echl/stats/all-time" xr:uid="{00000000-0004-0000-1500-0000B4010000}"/>
  </hyperlinks>
  <pageMargins left="0.7" right="0.7" top="0.78740157499999996" bottom="0.78740157499999996" header="0.3" footer="0.3"/>
  <pageSetup paperSize="9" orientation="portrait" r:id="rId438"/>
  <drawing r:id="rId439"/>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AC98"/>
  <sheetViews>
    <sheetView topLeftCell="K1" workbookViewId="0">
      <selection activeCell="L12" sqref="L12"/>
    </sheetView>
  </sheetViews>
  <sheetFormatPr defaultRowHeight="14.4" x14ac:dyDescent="0.3"/>
  <cols>
    <col min="3" max="3" width="16.5546875" customWidth="1"/>
    <col min="4" max="4" width="20.5546875" customWidth="1"/>
    <col min="5" max="5" width="13.6640625" customWidth="1"/>
    <col min="6" max="6" width="17.33203125" customWidth="1"/>
    <col min="7" max="7" width="9.109375" style="2"/>
    <col min="8" max="8" width="22.6640625" style="2" customWidth="1"/>
    <col min="9" max="9" width="31.109375" style="2" customWidth="1"/>
    <col min="10" max="10" width="13.44140625" style="2" customWidth="1"/>
    <col min="12" max="12" width="3.6640625" customWidth="1"/>
    <col min="15" max="15" width="19.33203125" customWidth="1"/>
    <col min="16" max="16" width="14.33203125" customWidth="1"/>
    <col min="17" max="17" width="15.33203125" customWidth="1"/>
    <col min="18" max="18" width="12.109375" customWidth="1"/>
    <col min="19" max="19" width="9.109375" style="2"/>
    <col min="20" max="22" width="27.44140625" style="2" customWidth="1"/>
    <col min="23" max="23" width="8.6640625" customWidth="1"/>
    <col min="24" max="24" width="4" customWidth="1"/>
    <col min="26" max="26" width="21" style="2" customWidth="1"/>
    <col min="28" max="28" width="13.44140625" style="2" customWidth="1"/>
    <col min="29" max="29" width="9.109375" style="2"/>
  </cols>
  <sheetData>
    <row r="1" spans="2:27" x14ac:dyDescent="0.3">
      <c r="B1" s="1153" t="s">
        <v>5502</v>
      </c>
      <c r="C1" s="1153"/>
      <c r="D1" s="1153"/>
      <c r="E1" s="1153"/>
      <c r="F1" s="1153"/>
      <c r="G1" s="1153"/>
      <c r="H1" s="2" t="s">
        <v>5503</v>
      </c>
      <c r="I1" s="2" t="s">
        <v>5504</v>
      </c>
      <c r="J1" s="2" t="s">
        <v>5505</v>
      </c>
      <c r="N1" s="1153" t="s">
        <v>5586</v>
      </c>
      <c r="O1" s="1153"/>
      <c r="P1" s="1153"/>
      <c r="Q1" s="1153"/>
      <c r="R1" s="1153"/>
      <c r="S1" s="1153"/>
      <c r="T1" s="2" t="s">
        <v>5503</v>
      </c>
      <c r="U1" s="2" t="s">
        <v>5504</v>
      </c>
      <c r="V1" s="2" t="s">
        <v>5505</v>
      </c>
      <c r="Z1" s="2" t="s">
        <v>5505</v>
      </c>
      <c r="AA1" t="s">
        <v>5588</v>
      </c>
    </row>
    <row r="2" spans="2:27" ht="15.6" thickBot="1" x14ac:dyDescent="0.35">
      <c r="B2" s="912" t="s">
        <v>5399</v>
      </c>
      <c r="C2" s="913" t="s">
        <v>5400</v>
      </c>
      <c r="D2" s="914" t="s">
        <v>5401</v>
      </c>
      <c r="E2" s="913" t="s">
        <v>244</v>
      </c>
      <c r="F2" s="913" t="s">
        <v>5402</v>
      </c>
      <c r="G2" s="2" t="s">
        <v>5403</v>
      </c>
      <c r="J2" s="2" t="s">
        <v>5403</v>
      </c>
      <c r="N2" s="912" t="s">
        <v>399</v>
      </c>
      <c r="O2" s="913" t="s">
        <v>5506</v>
      </c>
      <c r="P2" s="914" t="s">
        <v>331</v>
      </c>
      <c r="Q2" s="913" t="s">
        <v>5425</v>
      </c>
      <c r="R2" s="913" t="s">
        <v>244</v>
      </c>
      <c r="S2" s="2" t="s">
        <v>5507</v>
      </c>
      <c r="V2" s="60">
        <v>8.4722222222222213E-2</v>
      </c>
      <c r="Z2" s="60">
        <v>8.4722222222222213E-2</v>
      </c>
      <c r="AA2">
        <v>6</v>
      </c>
    </row>
    <row r="3" spans="2:27" ht="15.6" thickBot="1" x14ac:dyDescent="0.35">
      <c r="B3" s="915" t="s">
        <v>394</v>
      </c>
      <c r="C3" s="916" t="s">
        <v>5404</v>
      </c>
      <c r="D3" s="917" t="s">
        <v>5401</v>
      </c>
      <c r="E3" s="916" t="s">
        <v>244</v>
      </c>
      <c r="F3" s="916" t="s">
        <v>5405</v>
      </c>
      <c r="G3" s="2" t="s">
        <v>5406</v>
      </c>
      <c r="J3" s="60">
        <v>8.4722222222222213E-2</v>
      </c>
      <c r="N3" s="915" t="s">
        <v>370</v>
      </c>
      <c r="O3" s="916" t="s">
        <v>5508</v>
      </c>
      <c r="P3" s="917" t="s">
        <v>6086</v>
      </c>
      <c r="Q3" s="916" t="s">
        <v>5429</v>
      </c>
      <c r="R3" s="916" t="s">
        <v>244</v>
      </c>
      <c r="S3" s="2" t="s">
        <v>5509</v>
      </c>
      <c r="V3" s="60">
        <v>0.16874999999999998</v>
      </c>
      <c r="Z3" s="60">
        <v>0.12638888888888888</v>
      </c>
      <c r="AA3">
        <v>6</v>
      </c>
    </row>
    <row r="4" spans="2:27" ht="30.6" thickBot="1" x14ac:dyDescent="0.35">
      <c r="B4" s="912" t="s">
        <v>441</v>
      </c>
      <c r="C4" s="913" t="s">
        <v>5407</v>
      </c>
      <c r="D4" s="914" t="s">
        <v>5401</v>
      </c>
      <c r="E4" s="913" t="s">
        <v>244</v>
      </c>
      <c r="F4" s="913" t="s">
        <v>5408</v>
      </c>
      <c r="G4" s="2" t="s">
        <v>5409</v>
      </c>
      <c r="J4" s="2" t="s">
        <v>5409</v>
      </c>
      <c r="N4" s="912" t="s">
        <v>380</v>
      </c>
      <c r="O4" s="913" t="s">
        <v>5510</v>
      </c>
      <c r="P4" s="914" t="s">
        <v>1274</v>
      </c>
      <c r="Q4" s="913" t="s">
        <v>4593</v>
      </c>
      <c r="R4" s="913" t="s">
        <v>244</v>
      </c>
      <c r="S4" s="2" t="s">
        <v>5511</v>
      </c>
      <c r="V4" s="60">
        <v>8.4027777777777771E-2</v>
      </c>
      <c r="Z4" s="60">
        <v>4.1666666666666664E-2</v>
      </c>
      <c r="AA4">
        <v>5</v>
      </c>
    </row>
    <row r="5" spans="2:27" ht="30.6" thickBot="1" x14ac:dyDescent="0.35">
      <c r="B5" s="915" t="s">
        <v>5410</v>
      </c>
      <c r="C5" s="916" t="s">
        <v>5411</v>
      </c>
      <c r="D5" s="917" t="s">
        <v>5401</v>
      </c>
      <c r="E5" s="916" t="s">
        <v>244</v>
      </c>
      <c r="F5" s="916" t="s">
        <v>5412</v>
      </c>
      <c r="G5" s="2" t="s">
        <v>5413</v>
      </c>
      <c r="J5" s="2" t="s">
        <v>5413</v>
      </c>
      <c r="N5" s="915" t="s">
        <v>445</v>
      </c>
      <c r="O5" s="916" t="s">
        <v>5512</v>
      </c>
      <c r="P5" s="917" t="s">
        <v>5513</v>
      </c>
      <c r="Q5" s="916" t="s">
        <v>5443</v>
      </c>
      <c r="R5" s="916" t="s">
        <v>244</v>
      </c>
      <c r="S5" s="2" t="s">
        <v>5436</v>
      </c>
      <c r="V5" s="60">
        <v>4.1666666666666664E-2</v>
      </c>
      <c r="Z5" s="60">
        <v>0.12569444444444444</v>
      </c>
      <c r="AA5">
        <v>5</v>
      </c>
    </row>
    <row r="6" spans="2:27" ht="30.6" thickBot="1" x14ac:dyDescent="0.35">
      <c r="B6" s="912" t="s">
        <v>376</v>
      </c>
      <c r="C6" s="913" t="s">
        <v>5414</v>
      </c>
      <c r="D6" s="914" t="s">
        <v>5401</v>
      </c>
      <c r="E6" s="913" t="s">
        <v>244</v>
      </c>
      <c r="F6" s="913" t="s">
        <v>5415</v>
      </c>
      <c r="G6" s="2" t="s">
        <v>5416</v>
      </c>
      <c r="H6" s="2">
        <v>1</v>
      </c>
      <c r="J6" s="60">
        <v>8.4027777777777771E-2</v>
      </c>
      <c r="N6" s="912" t="s">
        <v>5514</v>
      </c>
      <c r="O6" s="913" t="s">
        <v>5515</v>
      </c>
      <c r="P6" s="914" t="s">
        <v>6076</v>
      </c>
      <c r="Q6" s="913" t="s">
        <v>5402</v>
      </c>
      <c r="R6" s="913" t="s">
        <v>244</v>
      </c>
      <c r="S6" s="2" t="s">
        <v>5491</v>
      </c>
      <c r="V6" s="60">
        <v>4.3055555555555562E-2</v>
      </c>
      <c r="Z6" s="60">
        <v>0.1673611111111111</v>
      </c>
      <c r="AA6">
        <v>4</v>
      </c>
    </row>
    <row r="7" spans="2:27" ht="30.6" thickBot="1" x14ac:dyDescent="0.35">
      <c r="B7" s="915" t="s">
        <v>383</v>
      </c>
      <c r="C7" s="916" t="s">
        <v>5417</v>
      </c>
      <c r="D7" s="917" t="s">
        <v>5401</v>
      </c>
      <c r="E7" s="916" t="s">
        <v>244</v>
      </c>
      <c r="F7" s="916" t="s">
        <v>5418</v>
      </c>
      <c r="G7" s="2" t="s">
        <v>5419</v>
      </c>
      <c r="J7" s="2" t="s">
        <v>5419</v>
      </c>
      <c r="N7" s="915" t="s">
        <v>438</v>
      </c>
      <c r="O7" s="916" t="s">
        <v>5516</v>
      </c>
      <c r="P7" s="917" t="s">
        <v>5517</v>
      </c>
      <c r="Q7" s="916" t="s">
        <v>5439</v>
      </c>
      <c r="R7" s="916" t="s">
        <v>244</v>
      </c>
      <c r="S7" s="2" t="s">
        <v>5518</v>
      </c>
      <c r="V7" s="60">
        <v>0.12638888888888888</v>
      </c>
      <c r="Z7" s="60">
        <v>4.3055555555555562E-2</v>
      </c>
      <c r="AA7">
        <v>3</v>
      </c>
    </row>
    <row r="8" spans="2:27" ht="30.6" thickBot="1" x14ac:dyDescent="0.35">
      <c r="B8" s="912" t="s">
        <v>373</v>
      </c>
      <c r="C8" s="913" t="s">
        <v>5420</v>
      </c>
      <c r="D8" s="914" t="s">
        <v>5401</v>
      </c>
      <c r="E8" s="913" t="s">
        <v>244</v>
      </c>
      <c r="F8" s="913" t="s">
        <v>5421</v>
      </c>
      <c r="G8" s="2" t="s">
        <v>5422</v>
      </c>
      <c r="J8" s="2" t="s">
        <v>5422</v>
      </c>
      <c r="N8" s="912" t="s">
        <v>5519</v>
      </c>
      <c r="O8" s="913" t="s">
        <v>5520</v>
      </c>
      <c r="P8" s="914" t="s">
        <v>334</v>
      </c>
      <c r="Q8" s="913" t="s">
        <v>5405</v>
      </c>
      <c r="R8" s="913" t="s">
        <v>244</v>
      </c>
      <c r="S8" s="2" t="s">
        <v>5419</v>
      </c>
      <c r="V8" s="60">
        <v>0.1673611111111111</v>
      </c>
      <c r="Z8" s="60">
        <v>8.3333333333333329E-2</v>
      </c>
      <c r="AA8">
        <v>3</v>
      </c>
    </row>
    <row r="9" spans="2:27" ht="15.6" thickBot="1" x14ac:dyDescent="0.35">
      <c r="B9" s="915" t="s">
        <v>5423</v>
      </c>
      <c r="C9" s="916" t="s">
        <v>5424</v>
      </c>
      <c r="D9" s="917" t="s">
        <v>5401</v>
      </c>
      <c r="E9" s="916" t="s">
        <v>244</v>
      </c>
      <c r="F9" s="916" t="s">
        <v>5425</v>
      </c>
      <c r="G9" s="2" t="s">
        <v>5426</v>
      </c>
      <c r="J9" s="2" t="s">
        <v>5426</v>
      </c>
      <c r="N9" s="915" t="s">
        <v>368</v>
      </c>
      <c r="O9" s="916" t="s">
        <v>5521</v>
      </c>
      <c r="P9" s="917" t="s">
        <v>5513</v>
      </c>
      <c r="Q9" s="916" t="s">
        <v>5435</v>
      </c>
      <c r="R9" s="916" t="s">
        <v>244</v>
      </c>
      <c r="S9" s="2" t="s">
        <v>5444</v>
      </c>
      <c r="V9" s="60">
        <v>0.12916666666666668</v>
      </c>
      <c r="Z9" s="60">
        <v>8.4027777777777771E-2</v>
      </c>
      <c r="AA9">
        <v>3</v>
      </c>
    </row>
    <row r="10" spans="2:27" ht="30.6" thickBot="1" x14ac:dyDescent="0.35">
      <c r="B10" s="912" t="s">
        <v>5427</v>
      </c>
      <c r="C10" s="913" t="s">
        <v>5428</v>
      </c>
      <c r="D10" s="914" t="s">
        <v>5401</v>
      </c>
      <c r="E10" s="913" t="s">
        <v>244</v>
      </c>
      <c r="F10" s="913" t="s">
        <v>5429</v>
      </c>
      <c r="G10" s="2" t="s">
        <v>5416</v>
      </c>
      <c r="J10" s="2" t="s">
        <v>5416</v>
      </c>
      <c r="N10" s="912" t="s">
        <v>5522</v>
      </c>
      <c r="O10" s="913" t="s">
        <v>5523</v>
      </c>
      <c r="P10" s="914" t="s">
        <v>6179</v>
      </c>
      <c r="Q10" s="913" t="s">
        <v>5408</v>
      </c>
      <c r="R10" s="913" t="s">
        <v>244</v>
      </c>
      <c r="S10" s="2" t="s">
        <v>5524</v>
      </c>
      <c r="V10" s="60">
        <v>0.21180555555555555</v>
      </c>
      <c r="Z10" s="60">
        <v>0.21180555555555555</v>
      </c>
      <c r="AA10">
        <v>3</v>
      </c>
    </row>
    <row r="11" spans="2:27" ht="15.6" thickBot="1" x14ac:dyDescent="0.35">
      <c r="B11" s="915" t="s">
        <v>5430</v>
      </c>
      <c r="C11" s="916" t="s">
        <v>5431</v>
      </c>
      <c r="D11" s="917" t="s">
        <v>5401</v>
      </c>
      <c r="E11" s="916" t="s">
        <v>244</v>
      </c>
      <c r="F11" s="916" t="s">
        <v>4593</v>
      </c>
      <c r="G11" s="2" t="s">
        <v>5432</v>
      </c>
      <c r="J11" s="2" t="s">
        <v>5432</v>
      </c>
      <c r="N11" s="915" t="s">
        <v>5525</v>
      </c>
      <c r="O11" s="916" t="s">
        <v>5526</v>
      </c>
      <c r="P11" s="917" t="s">
        <v>326</v>
      </c>
      <c r="Q11" s="916" t="s">
        <v>5412</v>
      </c>
      <c r="R11" s="916" t="s">
        <v>244</v>
      </c>
      <c r="S11" s="2" t="s">
        <v>5527</v>
      </c>
      <c r="V11" s="60">
        <v>0.21180555555555555</v>
      </c>
      <c r="Z11" s="60">
        <v>4.2361111111111106E-2</v>
      </c>
      <c r="AA11">
        <v>2</v>
      </c>
    </row>
    <row r="12" spans="2:27" ht="30.6" thickBot="1" x14ac:dyDescent="0.35">
      <c r="B12" s="912" t="s">
        <v>5433</v>
      </c>
      <c r="C12" s="913" t="s">
        <v>5434</v>
      </c>
      <c r="D12" s="914" t="s">
        <v>5401</v>
      </c>
      <c r="E12" s="913" t="s">
        <v>244</v>
      </c>
      <c r="F12" s="913" t="s">
        <v>5435</v>
      </c>
      <c r="G12" s="2" t="s">
        <v>5436</v>
      </c>
      <c r="J12" s="2" t="s">
        <v>5436</v>
      </c>
      <c r="N12" s="912" t="s">
        <v>5528</v>
      </c>
      <c r="O12" s="913" t="s">
        <v>5529</v>
      </c>
      <c r="P12" s="914" t="s">
        <v>626</v>
      </c>
      <c r="Q12" s="913" t="s">
        <v>5415</v>
      </c>
      <c r="R12" s="913" t="s">
        <v>244</v>
      </c>
      <c r="S12" s="2" t="s">
        <v>5530</v>
      </c>
      <c r="V12" s="60">
        <v>0.21111111111111111</v>
      </c>
      <c r="Z12" s="60">
        <v>4.3750000000000004E-2</v>
      </c>
      <c r="AA12">
        <v>2</v>
      </c>
    </row>
    <row r="13" spans="2:27" ht="15.6" thickBot="1" x14ac:dyDescent="0.35">
      <c r="B13" s="915" t="s">
        <v>5437</v>
      </c>
      <c r="C13" s="916" t="s">
        <v>5438</v>
      </c>
      <c r="D13" s="917" t="s">
        <v>5401</v>
      </c>
      <c r="E13" s="916" t="s">
        <v>244</v>
      </c>
      <c r="F13" s="916" t="s">
        <v>5439</v>
      </c>
      <c r="G13" s="2" t="s">
        <v>5440</v>
      </c>
      <c r="J13" s="2" t="s">
        <v>5440</v>
      </c>
      <c r="N13" s="915" t="s">
        <v>5531</v>
      </c>
      <c r="O13" s="916" t="s">
        <v>5532</v>
      </c>
      <c r="P13" s="917" t="s">
        <v>610</v>
      </c>
      <c r="Q13" s="916" t="s">
        <v>5418</v>
      </c>
      <c r="R13" s="916" t="s">
        <v>244</v>
      </c>
      <c r="S13" s="2" t="s">
        <v>5456</v>
      </c>
      <c r="V13" s="60">
        <v>0.12708333333333333</v>
      </c>
      <c r="Z13" s="60">
        <v>4.4444444444444446E-2</v>
      </c>
      <c r="AA13">
        <v>2</v>
      </c>
    </row>
    <row r="14" spans="2:27" ht="30.6" thickBot="1" x14ac:dyDescent="0.35">
      <c r="B14" s="912" t="s">
        <v>5441</v>
      </c>
      <c r="C14" s="913" t="s">
        <v>5442</v>
      </c>
      <c r="D14" s="914" t="s">
        <v>5401</v>
      </c>
      <c r="E14" s="913" t="s">
        <v>244</v>
      </c>
      <c r="F14" s="913" t="s">
        <v>5443</v>
      </c>
      <c r="G14" s="2" t="s">
        <v>5444</v>
      </c>
      <c r="H14" s="2">
        <v>2</v>
      </c>
      <c r="J14" s="60">
        <v>0.16874999999999998</v>
      </c>
      <c r="N14" s="912" t="s">
        <v>5533</v>
      </c>
      <c r="O14" s="913" t="s">
        <v>5534</v>
      </c>
      <c r="P14" s="914" t="s">
        <v>327</v>
      </c>
      <c r="Q14" s="913" t="s">
        <v>5421</v>
      </c>
      <c r="R14" s="913" t="s">
        <v>244</v>
      </c>
      <c r="S14" s="2" t="s">
        <v>5535</v>
      </c>
      <c r="V14" s="60">
        <v>0.17083333333333331</v>
      </c>
      <c r="Z14" s="60">
        <v>0.12708333333333333</v>
      </c>
      <c r="AA14">
        <v>2</v>
      </c>
    </row>
    <row r="15" spans="2:27" ht="15.6" thickBot="1" x14ac:dyDescent="0.35">
      <c r="B15" s="915" t="s">
        <v>5445</v>
      </c>
      <c r="C15" s="916" t="s">
        <v>5446</v>
      </c>
      <c r="D15" s="917" t="s">
        <v>5401</v>
      </c>
      <c r="E15" s="916" t="s">
        <v>244</v>
      </c>
      <c r="F15" s="916" t="s">
        <v>5402</v>
      </c>
      <c r="G15" s="2" t="s">
        <v>5447</v>
      </c>
      <c r="H15" s="2">
        <v>1</v>
      </c>
      <c r="J15" s="2" t="s">
        <v>5440</v>
      </c>
      <c r="N15" s="915" t="s">
        <v>5536</v>
      </c>
      <c r="O15" s="916" t="s">
        <v>5537</v>
      </c>
      <c r="P15" s="917" t="s">
        <v>331</v>
      </c>
      <c r="Q15" s="916" t="s">
        <v>5425</v>
      </c>
      <c r="R15" s="916" t="s">
        <v>244</v>
      </c>
      <c r="S15" s="2" t="s">
        <v>5527</v>
      </c>
      <c r="V15" s="60">
        <v>0.21180555555555555</v>
      </c>
      <c r="Z15" s="60">
        <v>0.12916666666666668</v>
      </c>
      <c r="AA15">
        <v>2</v>
      </c>
    </row>
    <row r="16" spans="2:27" ht="30.6" thickBot="1" x14ac:dyDescent="0.35">
      <c r="B16" s="912" t="s">
        <v>5448</v>
      </c>
      <c r="C16" s="913" t="s">
        <v>5449</v>
      </c>
      <c r="D16" s="914" t="s">
        <v>5401</v>
      </c>
      <c r="E16" s="913" t="s">
        <v>244</v>
      </c>
      <c r="F16" s="913" t="s">
        <v>5405</v>
      </c>
      <c r="G16" s="2" t="s">
        <v>5450</v>
      </c>
      <c r="I16" s="2">
        <v>1</v>
      </c>
      <c r="J16" s="2" t="s">
        <v>5509</v>
      </c>
      <c r="N16" s="912" t="s">
        <v>5538</v>
      </c>
      <c r="O16" s="913" t="s">
        <v>5539</v>
      </c>
      <c r="P16" s="914" t="s">
        <v>6086</v>
      </c>
      <c r="Q16" s="913" t="s">
        <v>5429</v>
      </c>
      <c r="R16" s="913" t="s">
        <v>244</v>
      </c>
      <c r="S16" s="2" t="s">
        <v>5507</v>
      </c>
      <c r="V16" s="60">
        <v>8.4722222222222213E-2</v>
      </c>
      <c r="Z16" s="60">
        <v>0.16874999999999998</v>
      </c>
      <c r="AA16">
        <v>2</v>
      </c>
    </row>
    <row r="17" spans="2:27" ht="30.6" thickBot="1" x14ac:dyDescent="0.35">
      <c r="B17" s="915" t="s">
        <v>5451</v>
      </c>
      <c r="C17" s="916" t="s">
        <v>5452</v>
      </c>
      <c r="D17" s="917" t="s">
        <v>5401</v>
      </c>
      <c r="E17" s="916" t="s">
        <v>244</v>
      </c>
      <c r="F17" s="916" t="s">
        <v>5408</v>
      </c>
      <c r="G17" s="2" t="s">
        <v>5453</v>
      </c>
      <c r="J17" s="2" t="s">
        <v>5453</v>
      </c>
      <c r="N17" s="915" t="s">
        <v>5540</v>
      </c>
      <c r="O17" s="916" t="s">
        <v>5541</v>
      </c>
      <c r="P17" s="917" t="s">
        <v>1274</v>
      </c>
      <c r="Q17" s="916" t="s">
        <v>4593</v>
      </c>
      <c r="R17" s="916" t="s">
        <v>244</v>
      </c>
      <c r="S17" s="2" t="s">
        <v>5491</v>
      </c>
      <c r="V17" s="60">
        <v>4.3055555555555562E-2</v>
      </c>
      <c r="Z17" s="60">
        <v>0.20833333333333334</v>
      </c>
      <c r="AA17">
        <v>2</v>
      </c>
    </row>
    <row r="18" spans="2:27" ht="15.6" thickBot="1" x14ac:dyDescent="0.35">
      <c r="B18" s="912" t="s">
        <v>5454</v>
      </c>
      <c r="C18" s="913" t="s">
        <v>5455</v>
      </c>
      <c r="D18" s="914" t="s">
        <v>5401</v>
      </c>
      <c r="E18" s="913" t="s">
        <v>244</v>
      </c>
      <c r="F18" s="913" t="s">
        <v>5412</v>
      </c>
      <c r="G18" s="2" t="s">
        <v>5456</v>
      </c>
      <c r="J18" s="60">
        <v>0.12708333333333333</v>
      </c>
      <c r="N18" s="912" t="s">
        <v>5542</v>
      </c>
      <c r="O18" s="913" t="s">
        <v>5543</v>
      </c>
      <c r="P18" s="914" t="s">
        <v>5513</v>
      </c>
      <c r="Q18" s="913" t="s">
        <v>5435</v>
      </c>
      <c r="R18" s="913" t="s">
        <v>244</v>
      </c>
      <c r="S18" s="2" t="s">
        <v>5436</v>
      </c>
      <c r="V18" s="60">
        <v>4.1666666666666664E-2</v>
      </c>
      <c r="Z18" s="2" t="s">
        <v>5436</v>
      </c>
      <c r="AA18">
        <v>2</v>
      </c>
    </row>
    <row r="19" spans="2:27" ht="30.6" thickBot="1" x14ac:dyDescent="0.35">
      <c r="B19" s="915" t="s">
        <v>5457</v>
      </c>
      <c r="C19" s="916" t="s">
        <v>5458</v>
      </c>
      <c r="D19" s="917" t="s">
        <v>5401</v>
      </c>
      <c r="E19" s="916" t="s">
        <v>244</v>
      </c>
      <c r="F19" s="916" t="s">
        <v>5415</v>
      </c>
      <c r="G19" s="2" t="s">
        <v>5447</v>
      </c>
      <c r="J19" s="2" t="s">
        <v>5447</v>
      </c>
      <c r="N19" s="915" t="s">
        <v>5544</v>
      </c>
      <c r="O19" s="916" t="s">
        <v>5545</v>
      </c>
      <c r="P19" s="917" t="s">
        <v>5517</v>
      </c>
      <c r="Q19" s="916" t="s">
        <v>5439</v>
      </c>
      <c r="R19" s="916" t="s">
        <v>244</v>
      </c>
      <c r="S19" s="2" t="s">
        <v>5546</v>
      </c>
      <c r="V19" s="60">
        <v>0.20833333333333334</v>
      </c>
      <c r="Z19" s="2" t="s">
        <v>5447</v>
      </c>
      <c r="AA19">
        <v>2</v>
      </c>
    </row>
    <row r="20" spans="2:27" ht="30.6" thickBot="1" x14ac:dyDescent="0.35">
      <c r="B20" s="912" t="s">
        <v>5459</v>
      </c>
      <c r="C20" s="913" t="s">
        <v>5460</v>
      </c>
      <c r="D20" s="914" t="s">
        <v>5401</v>
      </c>
      <c r="E20" s="913" t="s">
        <v>244</v>
      </c>
      <c r="F20" s="913" t="s">
        <v>5418</v>
      </c>
      <c r="G20" s="2" t="s">
        <v>5461</v>
      </c>
      <c r="J20" s="60">
        <v>8.4722222222222213E-2</v>
      </c>
      <c r="N20" s="912" t="s">
        <v>5547</v>
      </c>
      <c r="O20" s="913" t="s">
        <v>5548</v>
      </c>
      <c r="P20" s="914" t="s">
        <v>5513</v>
      </c>
      <c r="Q20" s="913" t="s">
        <v>5443</v>
      </c>
      <c r="R20" s="913" t="s">
        <v>244</v>
      </c>
      <c r="S20" s="2" t="s">
        <v>5549</v>
      </c>
      <c r="V20" s="60">
        <v>4.6527777777777779E-2</v>
      </c>
      <c r="Z20" s="2" t="s">
        <v>5413</v>
      </c>
      <c r="AA20">
        <v>2</v>
      </c>
    </row>
    <row r="21" spans="2:27" ht="15.6" thickBot="1" x14ac:dyDescent="0.35">
      <c r="B21" s="915" t="s">
        <v>5462</v>
      </c>
      <c r="C21" s="916" t="s">
        <v>5463</v>
      </c>
      <c r="D21" s="917" t="s">
        <v>5401</v>
      </c>
      <c r="E21" s="916" t="s">
        <v>244</v>
      </c>
      <c r="F21" s="916" t="s">
        <v>5421</v>
      </c>
      <c r="G21" s="2" t="s">
        <v>5464</v>
      </c>
      <c r="J21" s="2" t="s">
        <v>5464</v>
      </c>
      <c r="N21" s="915" t="s">
        <v>5550</v>
      </c>
      <c r="O21" s="916" t="s">
        <v>5551</v>
      </c>
      <c r="P21" s="917" t="s">
        <v>6076</v>
      </c>
      <c r="Q21" s="916" t="s">
        <v>5402</v>
      </c>
      <c r="R21" s="916" t="s">
        <v>244</v>
      </c>
      <c r="S21" s="2" t="s">
        <v>5552</v>
      </c>
      <c r="V21" s="60">
        <v>8.3333333333333329E-2</v>
      </c>
      <c r="Z21" s="60">
        <v>4.6527777777777779E-2</v>
      </c>
      <c r="AA21">
        <v>1</v>
      </c>
    </row>
    <row r="22" spans="2:27" ht="15.6" thickBot="1" x14ac:dyDescent="0.35">
      <c r="B22" s="912" t="s">
        <v>5465</v>
      </c>
      <c r="C22" s="913" t="s">
        <v>5466</v>
      </c>
      <c r="D22" s="914" t="s">
        <v>5401</v>
      </c>
      <c r="E22" s="913" t="s">
        <v>244</v>
      </c>
      <c r="F22" s="913" t="s">
        <v>5425</v>
      </c>
      <c r="G22" s="2" t="s">
        <v>5432</v>
      </c>
      <c r="J22" s="2" t="s">
        <v>5432</v>
      </c>
      <c r="N22" s="912" t="s">
        <v>5553</v>
      </c>
      <c r="O22" s="913" t="s">
        <v>5554</v>
      </c>
      <c r="P22" s="914" t="s">
        <v>334</v>
      </c>
      <c r="Q22" s="913" t="s">
        <v>5405</v>
      </c>
      <c r="R22" s="913" t="s">
        <v>244</v>
      </c>
      <c r="S22" s="2" t="s">
        <v>5432</v>
      </c>
      <c r="V22" s="60">
        <v>4.4444444444444446E-2</v>
      </c>
      <c r="Z22" s="60">
        <v>8.5416666666666655E-2</v>
      </c>
      <c r="AA22">
        <v>1</v>
      </c>
    </row>
    <row r="23" spans="2:27" ht="30.6" thickBot="1" x14ac:dyDescent="0.35">
      <c r="B23" s="915" t="s">
        <v>5467</v>
      </c>
      <c r="C23" s="916" t="s">
        <v>5468</v>
      </c>
      <c r="D23" s="917" t="s">
        <v>5401</v>
      </c>
      <c r="E23" s="916" t="s">
        <v>244</v>
      </c>
      <c r="F23" s="916" t="s">
        <v>5429</v>
      </c>
      <c r="G23" s="2" t="s">
        <v>5416</v>
      </c>
      <c r="J23" s="2" t="s">
        <v>5416</v>
      </c>
      <c r="N23" s="915" t="s">
        <v>5555</v>
      </c>
      <c r="O23" s="916" t="s">
        <v>5556</v>
      </c>
      <c r="P23" s="917" t="s">
        <v>6179</v>
      </c>
      <c r="Q23" s="916" t="s">
        <v>5408</v>
      </c>
      <c r="R23" s="916" t="s">
        <v>244</v>
      </c>
      <c r="S23" s="2" t="s">
        <v>5491</v>
      </c>
      <c r="V23" s="60">
        <v>4.3055555555555562E-2</v>
      </c>
      <c r="Z23" s="60">
        <v>0.125</v>
      </c>
      <c r="AA23">
        <v>1</v>
      </c>
    </row>
    <row r="24" spans="2:27" ht="15.6" thickBot="1" x14ac:dyDescent="0.35">
      <c r="B24" s="912" t="s">
        <v>5469</v>
      </c>
      <c r="C24" s="913" t="s">
        <v>5470</v>
      </c>
      <c r="D24" s="914" t="s">
        <v>5401</v>
      </c>
      <c r="E24" s="913" t="s">
        <v>244</v>
      </c>
      <c r="F24" s="913" t="s">
        <v>4593</v>
      </c>
      <c r="G24" s="2" t="s">
        <v>5471</v>
      </c>
      <c r="H24" s="2">
        <v>1</v>
      </c>
      <c r="J24" s="2" t="s">
        <v>5447</v>
      </c>
      <c r="N24" s="912" t="s">
        <v>5557</v>
      </c>
      <c r="O24" s="913" t="s">
        <v>5558</v>
      </c>
      <c r="P24" s="914" t="s">
        <v>326</v>
      </c>
      <c r="Q24" s="913" t="s">
        <v>5412</v>
      </c>
      <c r="R24" s="913" t="s">
        <v>244</v>
      </c>
      <c r="S24" s="2" t="s">
        <v>5447</v>
      </c>
      <c r="U24" s="2">
        <v>1</v>
      </c>
      <c r="V24" s="60">
        <v>8.5416666666666655E-2</v>
      </c>
      <c r="Z24" s="60">
        <v>0.17083333333333331</v>
      </c>
      <c r="AA24">
        <v>1</v>
      </c>
    </row>
    <row r="25" spans="2:27" ht="15.6" thickBot="1" x14ac:dyDescent="0.35">
      <c r="B25" s="915" t="s">
        <v>5472</v>
      </c>
      <c r="C25" s="916" t="s">
        <v>5473</v>
      </c>
      <c r="D25" s="917" t="s">
        <v>5401</v>
      </c>
      <c r="E25" s="916" t="s">
        <v>244</v>
      </c>
      <c r="F25" s="916" t="s">
        <v>5435</v>
      </c>
      <c r="G25" s="2" t="s">
        <v>5432</v>
      </c>
      <c r="J25" s="2" t="s">
        <v>5432</v>
      </c>
      <c r="N25" s="915" t="s">
        <v>5559</v>
      </c>
      <c r="O25" s="916" t="s">
        <v>5560</v>
      </c>
      <c r="P25" s="917" t="s">
        <v>626</v>
      </c>
      <c r="Q25" s="916" t="s">
        <v>5415</v>
      </c>
      <c r="R25" s="916" t="s">
        <v>244</v>
      </c>
      <c r="S25" s="2" t="s">
        <v>5422</v>
      </c>
      <c r="T25" s="2">
        <v>1</v>
      </c>
      <c r="V25" s="60">
        <v>0.12638888888888888</v>
      </c>
      <c r="Z25" s="60">
        <v>0.21111111111111111</v>
      </c>
      <c r="AA25">
        <v>1</v>
      </c>
    </row>
    <row r="26" spans="2:27" ht="45.6" thickBot="1" x14ac:dyDescent="0.35">
      <c r="B26" s="912" t="s">
        <v>5474</v>
      </c>
      <c r="C26" s="913" t="s">
        <v>5475</v>
      </c>
      <c r="D26" s="914" t="s">
        <v>5401</v>
      </c>
      <c r="E26" s="913" t="s">
        <v>244</v>
      </c>
      <c r="F26" s="913" t="s">
        <v>5439</v>
      </c>
      <c r="G26" s="2" t="s">
        <v>5413</v>
      </c>
      <c r="J26" s="2" t="s">
        <v>5413</v>
      </c>
      <c r="N26" s="912" t="s">
        <v>5561</v>
      </c>
      <c r="O26" s="913" t="s">
        <v>5562</v>
      </c>
      <c r="P26" s="914" t="s">
        <v>610</v>
      </c>
      <c r="Q26" s="913" t="s">
        <v>5418</v>
      </c>
      <c r="R26" s="913" t="s">
        <v>244</v>
      </c>
      <c r="S26" s="2" t="s">
        <v>5552</v>
      </c>
      <c r="T26" s="2">
        <v>1</v>
      </c>
      <c r="V26" s="60">
        <v>4.1666666666666664E-2</v>
      </c>
      <c r="Z26" s="2" t="s">
        <v>5422</v>
      </c>
      <c r="AA26">
        <v>1</v>
      </c>
    </row>
    <row r="27" spans="2:27" ht="15.6" thickBot="1" x14ac:dyDescent="0.35">
      <c r="B27" s="915" t="s">
        <v>5476</v>
      </c>
      <c r="C27" s="916" t="s">
        <v>5477</v>
      </c>
      <c r="D27" s="917" t="s">
        <v>5401</v>
      </c>
      <c r="E27" s="916" t="s">
        <v>244</v>
      </c>
      <c r="F27" s="916" t="s">
        <v>5443</v>
      </c>
      <c r="G27" s="2" t="s">
        <v>5478</v>
      </c>
      <c r="J27" s="2" t="s">
        <v>5478</v>
      </c>
      <c r="N27" s="915" t="s">
        <v>5563</v>
      </c>
      <c r="O27" s="916" t="s">
        <v>5564</v>
      </c>
      <c r="P27" s="917" t="s">
        <v>327</v>
      </c>
      <c r="Q27" s="916" t="s">
        <v>5421</v>
      </c>
      <c r="R27" s="916" t="s">
        <v>244</v>
      </c>
      <c r="S27" s="2" t="s">
        <v>5552</v>
      </c>
      <c r="V27" s="60">
        <v>8.3333333333333329E-2</v>
      </c>
      <c r="Z27" s="2" t="s">
        <v>5509</v>
      </c>
      <c r="AA27">
        <v>1</v>
      </c>
    </row>
    <row r="28" spans="2:27" ht="60.6" thickBot="1" x14ac:dyDescent="0.35">
      <c r="B28" s="912" t="s">
        <v>5479</v>
      </c>
      <c r="C28" s="913" t="s">
        <v>5480</v>
      </c>
      <c r="D28" s="914" t="s">
        <v>5401</v>
      </c>
      <c r="E28" s="913" t="s">
        <v>244</v>
      </c>
      <c r="F28" s="913" t="s">
        <v>5421</v>
      </c>
      <c r="G28" s="2" t="s">
        <v>5481</v>
      </c>
      <c r="J28" s="2" t="s">
        <v>5481</v>
      </c>
      <c r="N28" s="912" t="s">
        <v>5565</v>
      </c>
      <c r="O28" s="913" t="s">
        <v>5566</v>
      </c>
      <c r="P28" s="914" t="s">
        <v>5567</v>
      </c>
      <c r="Q28" s="913" t="s">
        <v>5421</v>
      </c>
      <c r="R28" s="913" t="s">
        <v>244</v>
      </c>
      <c r="S28" s="2" t="s">
        <v>5453</v>
      </c>
      <c r="V28" s="60">
        <v>0.12569444444444444</v>
      </c>
      <c r="Z28" s="2" t="s">
        <v>5481</v>
      </c>
      <c r="AA28">
        <v>1</v>
      </c>
    </row>
    <row r="29" spans="2:27" ht="60.6" thickBot="1" x14ac:dyDescent="0.35">
      <c r="B29" s="915" t="s">
        <v>5482</v>
      </c>
      <c r="C29" s="916" t="s">
        <v>5483</v>
      </c>
      <c r="D29" s="917" t="s">
        <v>5401</v>
      </c>
      <c r="E29" s="916" t="s">
        <v>244</v>
      </c>
      <c r="F29" s="916" t="s">
        <v>5421</v>
      </c>
      <c r="G29" s="2" t="s">
        <v>5432</v>
      </c>
      <c r="H29" s="2">
        <v>1</v>
      </c>
      <c r="J29" s="2" t="s">
        <v>5416</v>
      </c>
      <c r="N29" s="915" t="s">
        <v>5568</v>
      </c>
      <c r="O29" s="916" t="s">
        <v>5569</v>
      </c>
      <c r="P29" s="917" t="s">
        <v>5567</v>
      </c>
      <c r="Q29" s="916" t="s">
        <v>5421</v>
      </c>
      <c r="R29" s="916" t="s">
        <v>244</v>
      </c>
      <c r="S29" s="2" t="s">
        <v>5461</v>
      </c>
      <c r="V29" s="60">
        <v>8.4722222222222213E-2</v>
      </c>
      <c r="Z29" s="2" t="s">
        <v>5478</v>
      </c>
      <c r="AA29">
        <v>1</v>
      </c>
    </row>
    <row r="30" spans="2:27" ht="45.6" thickBot="1" x14ac:dyDescent="0.35">
      <c r="B30" s="912" t="s">
        <v>5484</v>
      </c>
      <c r="C30" s="913" t="s">
        <v>5485</v>
      </c>
      <c r="D30" s="914" t="s">
        <v>5401</v>
      </c>
      <c r="E30" s="913" t="s">
        <v>244</v>
      </c>
      <c r="F30" s="913" t="s">
        <v>5421</v>
      </c>
      <c r="G30" s="2" t="s">
        <v>5486</v>
      </c>
      <c r="J30" s="60">
        <v>4.2361111111111106E-2</v>
      </c>
      <c r="N30" s="912" t="s">
        <v>5570</v>
      </c>
      <c r="O30" s="913" t="s">
        <v>5571</v>
      </c>
      <c r="P30" s="914" t="s">
        <v>5572</v>
      </c>
      <c r="Q30" s="913" t="s">
        <v>5408</v>
      </c>
      <c r="R30" s="913" t="s">
        <v>244</v>
      </c>
      <c r="S30" s="2" t="s">
        <v>5573</v>
      </c>
      <c r="V30" s="60">
        <v>0.125</v>
      </c>
      <c r="Z30" s="2" t="s">
        <v>5409</v>
      </c>
      <c r="AA30">
        <v>1</v>
      </c>
    </row>
    <row r="31" spans="2:27" ht="45.6" thickBot="1" x14ac:dyDescent="0.35">
      <c r="B31" s="915" t="s">
        <v>5487</v>
      </c>
      <c r="C31" s="916" t="s">
        <v>5488</v>
      </c>
      <c r="D31" s="917" t="s">
        <v>5401</v>
      </c>
      <c r="E31" s="916" t="s">
        <v>244</v>
      </c>
      <c r="F31" s="916" t="s">
        <v>5408</v>
      </c>
      <c r="G31" s="2" t="s">
        <v>5440</v>
      </c>
      <c r="J31" s="2" t="s">
        <v>5440</v>
      </c>
      <c r="N31" s="915" t="s">
        <v>5574</v>
      </c>
      <c r="O31" s="916" t="s">
        <v>5575</v>
      </c>
      <c r="P31" s="917" t="s">
        <v>5572</v>
      </c>
      <c r="Q31" s="916" t="s">
        <v>5408</v>
      </c>
      <c r="R31" s="916" t="s">
        <v>244</v>
      </c>
      <c r="S31" s="2" t="s">
        <v>5432</v>
      </c>
      <c r="U31" s="2">
        <v>1</v>
      </c>
      <c r="V31" s="60">
        <v>4.3750000000000004E-2</v>
      </c>
      <c r="Z31" s="2" t="s">
        <v>5464</v>
      </c>
      <c r="AA31">
        <v>1</v>
      </c>
    </row>
    <row r="32" spans="2:27" ht="45.6" thickBot="1" x14ac:dyDescent="0.35">
      <c r="B32" s="912" t="s">
        <v>5489</v>
      </c>
      <c r="C32" s="913" t="s">
        <v>5490</v>
      </c>
      <c r="D32" s="914" t="s">
        <v>5401</v>
      </c>
      <c r="E32" s="913" t="s">
        <v>244</v>
      </c>
      <c r="F32" s="913" t="s">
        <v>5408</v>
      </c>
      <c r="G32" s="2" t="s">
        <v>5491</v>
      </c>
      <c r="J32" s="2" t="s">
        <v>5491</v>
      </c>
      <c r="N32" s="912" t="s">
        <v>5576</v>
      </c>
      <c r="O32" s="913" t="s">
        <v>5577</v>
      </c>
      <c r="P32" s="914" t="s">
        <v>5578</v>
      </c>
      <c r="Q32" s="913" t="s">
        <v>5405</v>
      </c>
      <c r="R32" s="913" t="s">
        <v>244</v>
      </c>
      <c r="S32" s="2" t="s">
        <v>5453</v>
      </c>
      <c r="V32" s="60">
        <v>0.12569444444444444</v>
      </c>
    </row>
    <row r="33" spans="2:29" ht="45.6" thickBot="1" x14ac:dyDescent="0.35">
      <c r="B33" s="915" t="s">
        <v>5492</v>
      </c>
      <c r="C33" s="916" t="s">
        <v>5493</v>
      </c>
      <c r="D33" s="917" t="s">
        <v>5401</v>
      </c>
      <c r="E33" s="916" t="s">
        <v>244</v>
      </c>
      <c r="F33" s="916" t="s">
        <v>5408</v>
      </c>
      <c r="G33" s="2" t="s">
        <v>5461</v>
      </c>
      <c r="J33" s="60">
        <v>8.4722222222222213E-2</v>
      </c>
      <c r="N33" s="915" t="s">
        <v>5579</v>
      </c>
      <c r="O33" s="916" t="s">
        <v>5580</v>
      </c>
      <c r="P33" s="917" t="s">
        <v>5578</v>
      </c>
      <c r="Q33" s="916" t="s">
        <v>5405</v>
      </c>
      <c r="R33" s="916" t="s">
        <v>244</v>
      </c>
      <c r="S33" s="2" t="s">
        <v>5518</v>
      </c>
      <c r="V33" s="60">
        <v>0.12638888888888888</v>
      </c>
      <c r="Z33" s="60" t="s">
        <v>5589</v>
      </c>
      <c r="AA33" s="2">
        <v>69</v>
      </c>
    </row>
    <row r="34" spans="2:29" ht="30.6" thickBot="1" x14ac:dyDescent="0.35">
      <c r="B34" s="912" t="s">
        <v>5494</v>
      </c>
      <c r="C34" s="913" t="s">
        <v>5495</v>
      </c>
      <c r="D34" s="914" t="s">
        <v>5401</v>
      </c>
      <c r="E34" s="913" t="s">
        <v>244</v>
      </c>
      <c r="F34" s="913" t="s">
        <v>5405</v>
      </c>
      <c r="G34" s="2" t="s">
        <v>5436</v>
      </c>
      <c r="J34" s="2" t="s">
        <v>5436</v>
      </c>
      <c r="N34" s="912" t="s">
        <v>5581</v>
      </c>
      <c r="O34" s="913" t="s">
        <v>5582</v>
      </c>
      <c r="P34" s="914" t="s">
        <v>5578</v>
      </c>
      <c r="Q34" s="913" t="s">
        <v>5405</v>
      </c>
      <c r="R34" s="913" t="s">
        <v>244</v>
      </c>
      <c r="S34" s="2" t="s">
        <v>5583</v>
      </c>
      <c r="V34" s="60">
        <v>4.2361111111111106E-2</v>
      </c>
      <c r="Z34" s="60" t="s">
        <v>5590</v>
      </c>
      <c r="AA34" s="2">
        <v>38</v>
      </c>
      <c r="AB34" s="120">
        <f>(AA34/AA33)*100</f>
        <v>55.072463768115945</v>
      </c>
      <c r="AC34" s="2" t="s">
        <v>783</v>
      </c>
    </row>
    <row r="35" spans="2:29" ht="30.6" thickBot="1" x14ac:dyDescent="0.35">
      <c r="B35" s="915" t="s">
        <v>5496</v>
      </c>
      <c r="C35" s="916" t="s">
        <v>5497</v>
      </c>
      <c r="D35" s="917" t="s">
        <v>5401</v>
      </c>
      <c r="E35" s="916" t="s">
        <v>244</v>
      </c>
      <c r="F35" s="916" t="s">
        <v>5405</v>
      </c>
      <c r="G35" s="2" t="s">
        <v>5498</v>
      </c>
      <c r="H35" s="2">
        <v>1</v>
      </c>
      <c r="J35" s="2" t="s">
        <v>5587</v>
      </c>
      <c r="N35" s="915" t="s">
        <v>5584</v>
      </c>
      <c r="O35" s="916" t="s">
        <v>5585</v>
      </c>
      <c r="P35" s="917" t="s">
        <v>5578</v>
      </c>
      <c r="Q35" s="916" t="s">
        <v>5405</v>
      </c>
      <c r="R35" s="916" t="s">
        <v>244</v>
      </c>
      <c r="S35" s="2" t="s">
        <v>5552</v>
      </c>
      <c r="T35" s="2">
        <v>1</v>
      </c>
      <c r="V35" s="60">
        <v>4.1666666666666664E-2</v>
      </c>
      <c r="Z35" s="60" t="s">
        <v>5591</v>
      </c>
      <c r="AA35" s="2">
        <v>20</v>
      </c>
      <c r="AB35" s="120">
        <f>(AA35/AA33)*100</f>
        <v>28.985507246376812</v>
      </c>
      <c r="AC35" s="2" t="s">
        <v>783</v>
      </c>
    </row>
    <row r="36" spans="2:29" ht="30.6" thickBot="1" x14ac:dyDescent="0.35">
      <c r="B36" s="912" t="s">
        <v>5499</v>
      </c>
      <c r="C36" s="913" t="s">
        <v>5500</v>
      </c>
      <c r="D36" s="914" t="s">
        <v>5401</v>
      </c>
      <c r="E36" s="913" t="s">
        <v>244</v>
      </c>
      <c r="F36" s="913" t="s">
        <v>5405</v>
      </c>
      <c r="G36" s="2" t="s">
        <v>5501</v>
      </c>
      <c r="J36" s="2" t="s">
        <v>5501</v>
      </c>
    </row>
    <row r="37" spans="2:29" x14ac:dyDescent="0.3">
      <c r="V37" s="60"/>
      <c r="Z37" s="60"/>
    </row>
    <row r="38" spans="2:29" x14ac:dyDescent="0.3">
      <c r="Z38" s="60"/>
    </row>
    <row r="39" spans="2:29" x14ac:dyDescent="0.3">
      <c r="Z39" s="60"/>
    </row>
    <row r="40" spans="2:29" x14ac:dyDescent="0.3">
      <c r="V40" s="60"/>
    </row>
    <row r="42" spans="2:29" x14ac:dyDescent="0.3">
      <c r="Z42" s="60"/>
    </row>
    <row r="44" spans="2:29" x14ac:dyDescent="0.3">
      <c r="Z44" s="60"/>
    </row>
    <row r="46" spans="2:29" x14ac:dyDescent="0.3">
      <c r="Z46" s="60"/>
    </row>
    <row r="47" spans="2:29" x14ac:dyDescent="0.3">
      <c r="Z47" s="60"/>
    </row>
    <row r="48" spans="2:29" x14ac:dyDescent="0.3">
      <c r="V48" s="60"/>
      <c r="Z48" s="60"/>
    </row>
    <row r="49" spans="22:26" x14ac:dyDescent="0.3">
      <c r="Z49" s="60"/>
    </row>
    <row r="50" spans="22:26" x14ac:dyDescent="0.3">
      <c r="Z50" s="60"/>
    </row>
    <row r="51" spans="22:26" x14ac:dyDescent="0.3">
      <c r="Z51" s="60"/>
    </row>
    <row r="52" spans="22:26" x14ac:dyDescent="0.3">
      <c r="V52" s="60"/>
    </row>
    <row r="54" spans="22:26" x14ac:dyDescent="0.3">
      <c r="V54" s="60"/>
    </row>
    <row r="55" spans="22:26" x14ac:dyDescent="0.3">
      <c r="Z55" s="60"/>
    </row>
    <row r="56" spans="22:26" x14ac:dyDescent="0.3">
      <c r="Z56" s="60"/>
    </row>
    <row r="60" spans="22:26" x14ac:dyDescent="0.3">
      <c r="Z60" s="60"/>
    </row>
    <row r="64" spans="22:26" x14ac:dyDescent="0.3">
      <c r="V64" s="60"/>
    </row>
    <row r="66" spans="22:26" x14ac:dyDescent="0.3">
      <c r="Z66" s="60"/>
    </row>
    <row r="67" spans="22:26" x14ac:dyDescent="0.3">
      <c r="V67" s="60"/>
    </row>
    <row r="69" spans="22:26" x14ac:dyDescent="0.3">
      <c r="Z69" s="60"/>
    </row>
    <row r="70" spans="22:26" x14ac:dyDescent="0.3">
      <c r="Z70" s="60"/>
    </row>
    <row r="71" spans="22:26" x14ac:dyDescent="0.3">
      <c r="Z71" s="60"/>
    </row>
    <row r="72" spans="22:26" x14ac:dyDescent="0.3">
      <c r="Z72" s="60"/>
    </row>
    <row r="73" spans="22:26" x14ac:dyDescent="0.3">
      <c r="Z73" s="60"/>
    </row>
    <row r="74" spans="22:26" x14ac:dyDescent="0.3">
      <c r="Z74" s="60"/>
    </row>
    <row r="75" spans="22:26" x14ac:dyDescent="0.3">
      <c r="Z75" s="60"/>
    </row>
    <row r="76" spans="22:26" x14ac:dyDescent="0.3">
      <c r="Z76" s="60"/>
    </row>
    <row r="77" spans="22:26" x14ac:dyDescent="0.3">
      <c r="Z77" s="60"/>
    </row>
    <row r="78" spans="22:26" x14ac:dyDescent="0.3">
      <c r="Z78" s="60"/>
    </row>
    <row r="79" spans="22:26" x14ac:dyDescent="0.3">
      <c r="Z79" s="60"/>
    </row>
    <row r="80" spans="22:26" x14ac:dyDescent="0.3">
      <c r="Z80" s="60"/>
    </row>
    <row r="81" spans="26:26" x14ac:dyDescent="0.3">
      <c r="Z81" s="60"/>
    </row>
    <row r="82" spans="26:26" x14ac:dyDescent="0.3">
      <c r="Z82" s="60"/>
    </row>
    <row r="83" spans="26:26" x14ac:dyDescent="0.3">
      <c r="Z83" s="60"/>
    </row>
    <row r="84" spans="26:26" x14ac:dyDescent="0.3">
      <c r="Z84" s="60"/>
    </row>
    <row r="85" spans="26:26" x14ac:dyDescent="0.3">
      <c r="Z85" s="60"/>
    </row>
    <row r="86" spans="26:26" x14ac:dyDescent="0.3">
      <c r="Z86" s="60"/>
    </row>
    <row r="87" spans="26:26" x14ac:dyDescent="0.3">
      <c r="Z87" s="60"/>
    </row>
    <row r="88" spans="26:26" x14ac:dyDescent="0.3">
      <c r="Z88" s="60"/>
    </row>
    <row r="89" spans="26:26" x14ac:dyDescent="0.3">
      <c r="Z89" s="60"/>
    </row>
    <row r="90" spans="26:26" x14ac:dyDescent="0.3">
      <c r="Z90" s="60"/>
    </row>
    <row r="91" spans="26:26" x14ac:dyDescent="0.3">
      <c r="Z91" s="60"/>
    </row>
    <row r="92" spans="26:26" x14ac:dyDescent="0.3">
      <c r="Z92" s="60"/>
    </row>
    <row r="93" spans="26:26" x14ac:dyDescent="0.3">
      <c r="Z93" s="60"/>
    </row>
    <row r="94" spans="26:26" x14ac:dyDescent="0.3">
      <c r="Z94" s="60"/>
    </row>
    <row r="95" spans="26:26" x14ac:dyDescent="0.3">
      <c r="Z95" s="60"/>
    </row>
    <row r="96" spans="26:26" x14ac:dyDescent="0.3">
      <c r="Z96" s="60"/>
    </row>
    <row r="97" spans="26:26" x14ac:dyDescent="0.3">
      <c r="Z97" s="60"/>
    </row>
    <row r="98" spans="26:26" x14ac:dyDescent="0.3">
      <c r="Z98" s="60"/>
    </row>
  </sheetData>
  <autoFilter ref="Z1:AA31" xr:uid="{00000000-0009-0000-0000-000016000000}">
    <sortState xmlns:xlrd2="http://schemas.microsoft.com/office/spreadsheetml/2017/richdata2" ref="Z2:AA31">
      <sortCondition descending="1" ref="AA1:AA31"/>
    </sortState>
  </autoFilter>
  <mergeCells count="2">
    <mergeCell ref="B1:G1"/>
    <mergeCell ref="N1:S1"/>
  </mergeCells>
  <pageMargins left="0.7" right="0.7" top="0.78740157499999996" bottom="0.78740157499999996"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3:AM179"/>
  <sheetViews>
    <sheetView topLeftCell="A56" workbookViewId="0">
      <selection activeCell="K94" sqref="K94"/>
    </sheetView>
  </sheetViews>
  <sheetFormatPr defaultRowHeight="14.4" x14ac:dyDescent="0.3"/>
  <cols>
    <col min="1" max="1" width="27.5546875" customWidth="1"/>
    <col min="2" max="2" width="20.33203125" customWidth="1"/>
    <col min="3" max="3" width="12.44140625" style="2" customWidth="1"/>
    <col min="4" max="4" width="17" style="2" customWidth="1"/>
    <col min="5" max="5" width="15" style="2" customWidth="1"/>
    <col min="6" max="6" width="10.109375" style="2" bestFit="1" customWidth="1"/>
    <col min="7" max="7" width="20.44140625" style="2" customWidth="1"/>
    <col min="8" max="8" width="23.109375" style="2" customWidth="1"/>
    <col min="9" max="9" width="10.109375" style="2" customWidth="1"/>
    <col min="10" max="10" width="12.5546875" customWidth="1"/>
    <col min="11" max="11" width="38.5546875" customWidth="1"/>
    <col min="12" max="12" width="25.109375" customWidth="1"/>
    <col min="13" max="13" width="19.88671875" customWidth="1"/>
    <col min="14" max="14" width="24.44140625" customWidth="1"/>
    <col min="15" max="15" width="14.33203125" style="2" customWidth="1"/>
    <col min="16" max="16" width="22.109375" customWidth="1"/>
    <col min="17" max="17" width="19.6640625" customWidth="1"/>
    <col min="18" max="18" width="11.5546875" customWidth="1"/>
    <col min="19" max="19" width="14" customWidth="1"/>
    <col min="20" max="20" width="27.88671875" customWidth="1"/>
    <col min="21" max="21" width="26.109375" customWidth="1"/>
    <col min="22" max="22" width="27.5546875" customWidth="1"/>
    <col min="31" max="31" width="13.6640625" customWidth="1"/>
    <col min="32" max="32" width="15.33203125" customWidth="1"/>
    <col min="35" max="35" width="12.44140625" customWidth="1"/>
    <col min="36" max="36" width="17.44140625" customWidth="1"/>
    <col min="37" max="37" width="13.6640625" customWidth="1"/>
    <col min="38" max="38" width="16" customWidth="1"/>
  </cols>
  <sheetData>
    <row r="3" spans="1:38" x14ac:dyDescent="0.3">
      <c r="A3" s="2" t="s">
        <v>4809</v>
      </c>
      <c r="B3" s="2" t="s">
        <v>785</v>
      </c>
      <c r="C3" s="2" t="s">
        <v>14</v>
      </c>
      <c r="D3" s="2" t="s">
        <v>15</v>
      </c>
      <c r="E3" s="2" t="s">
        <v>11</v>
      </c>
      <c r="F3" s="2" t="s">
        <v>12</v>
      </c>
      <c r="G3" s="2" t="s">
        <v>13</v>
      </c>
      <c r="H3" s="2" t="s">
        <v>157</v>
      </c>
      <c r="I3" s="2" t="s">
        <v>833</v>
      </c>
      <c r="J3" s="2"/>
      <c r="K3" s="8"/>
    </row>
    <row r="4" spans="1:38" x14ac:dyDescent="0.3">
      <c r="B4" s="2">
        <v>1</v>
      </c>
      <c r="C4" s="2">
        <v>1</v>
      </c>
      <c r="D4" s="2" t="s">
        <v>327</v>
      </c>
      <c r="E4" s="4">
        <v>45184</v>
      </c>
      <c r="F4" s="2" t="s">
        <v>18</v>
      </c>
      <c r="G4" s="2" t="s">
        <v>16</v>
      </c>
      <c r="H4" s="60">
        <v>4.5138888888888888E-2</v>
      </c>
      <c r="I4" s="60" t="s">
        <v>834</v>
      </c>
      <c r="L4" s="2"/>
      <c r="M4" s="2"/>
      <c r="N4" s="2"/>
      <c r="AE4" s="1153"/>
      <c r="AF4" s="1153"/>
      <c r="AK4" s="1153"/>
      <c r="AL4" s="1153"/>
    </row>
    <row r="5" spans="1:38" x14ac:dyDescent="0.3">
      <c r="B5" s="2">
        <v>2</v>
      </c>
      <c r="C5" s="2">
        <v>2</v>
      </c>
      <c r="D5" s="2" t="s">
        <v>331</v>
      </c>
      <c r="E5" s="4">
        <v>45186</v>
      </c>
      <c r="F5" s="2" t="s">
        <v>19</v>
      </c>
      <c r="G5" s="2" t="s">
        <v>17</v>
      </c>
      <c r="H5" s="60">
        <v>0.16805555555555554</v>
      </c>
      <c r="I5" s="60" t="s">
        <v>834</v>
      </c>
      <c r="AE5" s="2"/>
      <c r="AF5" s="2"/>
      <c r="AK5" s="2"/>
      <c r="AL5" s="2"/>
    </row>
    <row r="6" spans="1:38" ht="15" thickBot="1" x14ac:dyDescent="0.35">
      <c r="B6" s="2">
        <v>3</v>
      </c>
      <c r="C6" s="2">
        <v>3</v>
      </c>
      <c r="D6" s="2" t="s">
        <v>6179</v>
      </c>
      <c r="E6" s="4">
        <v>45191</v>
      </c>
      <c r="F6" s="2" t="s">
        <v>18</v>
      </c>
      <c r="G6" s="2" t="s">
        <v>16</v>
      </c>
      <c r="H6" s="60">
        <v>0.12638888888888888</v>
      </c>
      <c r="I6" s="60"/>
      <c r="K6" s="2"/>
      <c r="L6" s="2"/>
      <c r="M6" s="2"/>
      <c r="N6" s="4"/>
      <c r="AE6" s="4"/>
      <c r="AF6" s="60"/>
      <c r="AK6" s="4"/>
      <c r="AL6" s="60"/>
    </row>
    <row r="7" spans="1:38" ht="15" thickBot="1" x14ac:dyDescent="0.35">
      <c r="B7" s="2">
        <v>4</v>
      </c>
      <c r="C7" s="2">
        <v>4</v>
      </c>
      <c r="D7" s="2" t="s">
        <v>610</v>
      </c>
      <c r="E7" s="4">
        <v>45193</v>
      </c>
      <c r="F7" s="2" t="s">
        <v>19</v>
      </c>
      <c r="G7" s="2" t="s">
        <v>17</v>
      </c>
      <c r="H7" s="60">
        <v>0.1673611111111111</v>
      </c>
      <c r="I7" s="60" t="s">
        <v>834</v>
      </c>
      <c r="K7" s="1163" t="s">
        <v>5272</v>
      </c>
      <c r="L7" s="1164"/>
      <c r="M7" s="1164"/>
      <c r="N7" s="1164"/>
      <c r="O7" s="1164"/>
      <c r="P7" s="1165"/>
      <c r="X7" t="s">
        <v>315</v>
      </c>
      <c r="Y7" s="2" t="s">
        <v>5105</v>
      </c>
      <c r="AE7" s="4"/>
      <c r="AF7" s="60"/>
      <c r="AK7" s="4"/>
      <c r="AL7" s="60"/>
    </row>
    <row r="8" spans="1:38" x14ac:dyDescent="0.3">
      <c r="B8" s="2">
        <v>5</v>
      </c>
      <c r="C8" s="2">
        <v>5</v>
      </c>
      <c r="D8" s="2" t="s">
        <v>1274</v>
      </c>
      <c r="E8" s="4">
        <v>45196</v>
      </c>
      <c r="F8" s="2" t="s">
        <v>21</v>
      </c>
      <c r="G8" s="2" t="s">
        <v>16</v>
      </c>
      <c r="H8" s="60" t="s">
        <v>352</v>
      </c>
      <c r="I8" s="60"/>
      <c r="K8" s="185" t="s">
        <v>220</v>
      </c>
      <c r="L8" s="96" t="s">
        <v>14</v>
      </c>
      <c r="M8" s="96" t="s">
        <v>15</v>
      </c>
      <c r="N8" s="96" t="s">
        <v>11</v>
      </c>
      <c r="O8" s="96" t="s">
        <v>1047</v>
      </c>
      <c r="P8" s="186" t="s">
        <v>1051</v>
      </c>
      <c r="X8" s="60">
        <v>0.1673611111111111</v>
      </c>
      <c r="Y8" s="2">
        <v>5</v>
      </c>
      <c r="AE8" s="4"/>
      <c r="AF8" s="60"/>
      <c r="AK8" s="4"/>
      <c r="AL8" s="60"/>
    </row>
    <row r="9" spans="1:38" x14ac:dyDescent="0.3">
      <c r="B9" s="2">
        <v>6</v>
      </c>
      <c r="C9" s="2">
        <v>6</v>
      </c>
      <c r="D9" s="2" t="s">
        <v>6086</v>
      </c>
      <c r="E9" s="4">
        <v>45198</v>
      </c>
      <c r="F9" s="2" t="s">
        <v>18</v>
      </c>
      <c r="G9" s="2" t="s">
        <v>17</v>
      </c>
      <c r="H9" s="60">
        <v>0.20972222222222223</v>
      </c>
      <c r="I9" s="60" t="s">
        <v>834</v>
      </c>
      <c r="K9" s="106" t="s">
        <v>4782</v>
      </c>
      <c r="L9" s="2">
        <v>1</v>
      </c>
      <c r="M9" s="2" t="s">
        <v>327</v>
      </c>
      <c r="N9" s="4">
        <v>45184</v>
      </c>
      <c r="O9" s="60">
        <v>4.5138888888888888E-2</v>
      </c>
      <c r="P9" s="99" t="s">
        <v>743</v>
      </c>
      <c r="X9" s="60">
        <v>0.16805555555555554</v>
      </c>
      <c r="Y9" s="2">
        <v>4</v>
      </c>
      <c r="AE9" s="4"/>
      <c r="AF9" s="60"/>
      <c r="AK9" s="4"/>
      <c r="AL9" s="60"/>
    </row>
    <row r="10" spans="1:38" ht="15" thickBot="1" x14ac:dyDescent="0.35">
      <c r="B10" s="2">
        <v>7</v>
      </c>
      <c r="C10" s="2">
        <v>7</v>
      </c>
      <c r="D10" s="2" t="s">
        <v>334</v>
      </c>
      <c r="E10" s="4">
        <v>45200</v>
      </c>
      <c r="F10" s="2" t="s">
        <v>19</v>
      </c>
      <c r="G10" s="2" t="s">
        <v>17</v>
      </c>
      <c r="H10" s="60">
        <v>0.25277777777777777</v>
      </c>
      <c r="I10" s="60" t="s">
        <v>834</v>
      </c>
      <c r="K10" s="106" t="s">
        <v>5637</v>
      </c>
      <c r="L10" s="2">
        <v>8</v>
      </c>
      <c r="M10" s="2" t="s">
        <v>6076</v>
      </c>
      <c r="N10" s="4">
        <v>45205</v>
      </c>
      <c r="O10" s="60">
        <v>0.1673611111111111</v>
      </c>
      <c r="P10" s="99" t="s">
        <v>16</v>
      </c>
      <c r="X10" s="60">
        <v>8.4722222222222213E-2</v>
      </c>
      <c r="Y10" s="2">
        <v>3</v>
      </c>
      <c r="AE10" s="4"/>
      <c r="AF10" s="60"/>
      <c r="AK10" s="4"/>
      <c r="AL10" s="60"/>
    </row>
    <row r="11" spans="1:38" x14ac:dyDescent="0.3">
      <c r="B11" s="2">
        <v>8</v>
      </c>
      <c r="C11" s="2">
        <v>8</v>
      </c>
      <c r="D11" s="2" t="s">
        <v>6076</v>
      </c>
      <c r="E11" s="4">
        <v>45205</v>
      </c>
      <c r="F11" s="2" t="s">
        <v>18</v>
      </c>
      <c r="G11" s="2" t="s">
        <v>16</v>
      </c>
      <c r="H11" s="60">
        <v>0.1673611111111111</v>
      </c>
      <c r="I11" s="60" t="s">
        <v>834</v>
      </c>
      <c r="K11" s="106" t="s">
        <v>5637</v>
      </c>
      <c r="L11" s="2">
        <v>20</v>
      </c>
      <c r="M11" s="2" t="s">
        <v>334</v>
      </c>
      <c r="N11" s="4">
        <v>45249</v>
      </c>
      <c r="O11" s="60" t="s">
        <v>351</v>
      </c>
      <c r="P11" s="99" t="s">
        <v>16</v>
      </c>
      <c r="T11" s="95" t="s">
        <v>191</v>
      </c>
      <c r="U11" s="96" t="s">
        <v>221</v>
      </c>
      <c r="V11" s="97" t="s">
        <v>222</v>
      </c>
      <c r="X11" s="60">
        <v>4.3750000000000004E-2</v>
      </c>
      <c r="Y11" s="2">
        <v>3</v>
      </c>
      <c r="AE11" s="4"/>
      <c r="AF11" s="60"/>
      <c r="AK11" s="4"/>
      <c r="AL11" s="60"/>
    </row>
    <row r="12" spans="1:38" x14ac:dyDescent="0.3">
      <c r="B12" s="2">
        <v>9</v>
      </c>
      <c r="C12" s="2">
        <v>9</v>
      </c>
      <c r="D12" s="2" t="s">
        <v>6091</v>
      </c>
      <c r="E12" s="4">
        <v>45207</v>
      </c>
      <c r="F12" s="2" t="s">
        <v>19</v>
      </c>
      <c r="G12" s="2" t="s">
        <v>17</v>
      </c>
      <c r="H12" s="60">
        <v>0.16874999999999998</v>
      </c>
      <c r="I12" s="60" t="s">
        <v>834</v>
      </c>
      <c r="K12" s="106" t="s">
        <v>4782</v>
      </c>
      <c r="L12" s="2">
        <v>24</v>
      </c>
      <c r="M12" s="2" t="s">
        <v>332</v>
      </c>
      <c r="N12" s="4">
        <v>45261</v>
      </c>
      <c r="O12" s="60">
        <v>2.0833333333333333E-3</v>
      </c>
      <c r="P12" s="99" t="s">
        <v>743</v>
      </c>
      <c r="T12" s="105" t="s">
        <v>184</v>
      </c>
      <c r="U12" s="62">
        <v>5</v>
      </c>
      <c r="V12" s="549">
        <v>5</v>
      </c>
      <c r="X12" s="60">
        <v>8.6805555555555566E-2</v>
      </c>
      <c r="Y12" s="2">
        <v>3</v>
      </c>
      <c r="AE12" s="4"/>
      <c r="AF12" s="60"/>
      <c r="AK12" s="4"/>
      <c r="AL12" s="60"/>
    </row>
    <row r="13" spans="1:38" x14ac:dyDescent="0.3">
      <c r="B13" s="2">
        <v>10</v>
      </c>
      <c r="C13" s="2">
        <v>10</v>
      </c>
      <c r="D13" s="2" t="s">
        <v>325</v>
      </c>
      <c r="E13" s="4">
        <v>45212</v>
      </c>
      <c r="F13" s="2" t="s">
        <v>18</v>
      </c>
      <c r="G13" s="2" t="s">
        <v>17</v>
      </c>
      <c r="H13" s="60">
        <v>0.16805555555555554</v>
      </c>
      <c r="I13" s="60" t="s">
        <v>834</v>
      </c>
      <c r="K13" s="106" t="s">
        <v>4782</v>
      </c>
      <c r="L13" s="2">
        <v>50</v>
      </c>
      <c r="M13" s="2" t="s">
        <v>332</v>
      </c>
      <c r="N13" s="4">
        <v>45349</v>
      </c>
      <c r="O13" s="60">
        <v>1.3888888888888889E-3</v>
      </c>
      <c r="P13" s="99" t="s">
        <v>743</v>
      </c>
      <c r="T13" s="105" t="s">
        <v>185</v>
      </c>
      <c r="U13" s="635">
        <v>10</v>
      </c>
      <c r="V13" s="549">
        <v>10</v>
      </c>
      <c r="X13" s="60">
        <v>0.25208333333333333</v>
      </c>
      <c r="Y13" s="2">
        <v>3</v>
      </c>
      <c r="AE13" s="4"/>
      <c r="AF13" s="60"/>
      <c r="AK13" s="4"/>
      <c r="AL13" s="60"/>
    </row>
    <row r="14" spans="1:38" x14ac:dyDescent="0.3">
      <c r="B14" s="2">
        <v>11</v>
      </c>
      <c r="C14" s="2">
        <v>11</v>
      </c>
      <c r="D14" s="2" t="s">
        <v>332</v>
      </c>
      <c r="E14" s="4">
        <v>45214</v>
      </c>
      <c r="F14" s="2" t="s">
        <v>19</v>
      </c>
      <c r="G14" s="2" t="s">
        <v>17</v>
      </c>
      <c r="H14" s="60" t="s">
        <v>601</v>
      </c>
      <c r="I14" s="60" t="s">
        <v>834</v>
      </c>
      <c r="K14" s="106" t="s">
        <v>5637</v>
      </c>
      <c r="L14" s="2">
        <v>52</v>
      </c>
      <c r="M14" s="2" t="s">
        <v>626</v>
      </c>
      <c r="N14" s="4">
        <v>45354</v>
      </c>
      <c r="O14" s="60" t="s">
        <v>159</v>
      </c>
      <c r="P14" s="99" t="s">
        <v>16</v>
      </c>
      <c r="T14" s="105" t="s">
        <v>186</v>
      </c>
      <c r="U14" s="635">
        <v>9</v>
      </c>
      <c r="V14" s="549">
        <v>9</v>
      </c>
      <c r="X14" s="60">
        <v>4.5138888888888888E-2</v>
      </c>
      <c r="Y14" s="2">
        <v>2</v>
      </c>
      <c r="AE14" s="4"/>
      <c r="AF14" s="60"/>
      <c r="AK14" s="4"/>
      <c r="AL14" s="60"/>
    </row>
    <row r="15" spans="1:38" x14ac:dyDescent="0.3">
      <c r="B15" s="2">
        <v>12</v>
      </c>
      <c r="C15" s="2">
        <v>12</v>
      </c>
      <c r="D15" s="2" t="s">
        <v>328</v>
      </c>
      <c r="E15" s="4">
        <v>45219</v>
      </c>
      <c r="F15" s="2" t="s">
        <v>18</v>
      </c>
      <c r="G15" s="2" t="s">
        <v>17</v>
      </c>
      <c r="H15" s="60">
        <v>0.25208333333333333</v>
      </c>
      <c r="I15" s="60" t="s">
        <v>834</v>
      </c>
      <c r="K15" s="106" t="s">
        <v>5771</v>
      </c>
      <c r="L15" s="2" t="s">
        <v>5770</v>
      </c>
      <c r="M15" s="2" t="s">
        <v>331</v>
      </c>
      <c r="N15" s="4">
        <v>45360</v>
      </c>
      <c r="O15" s="60" t="s">
        <v>160</v>
      </c>
      <c r="P15" s="99" t="s">
        <v>16</v>
      </c>
      <c r="T15" s="105" t="s">
        <v>187</v>
      </c>
      <c r="U15" s="2">
        <v>6</v>
      </c>
      <c r="V15" s="99">
        <v>12</v>
      </c>
      <c r="X15" s="60">
        <v>4.2361111111111106E-2</v>
      </c>
      <c r="Y15" s="2">
        <v>3</v>
      </c>
      <c r="AE15" s="4"/>
      <c r="AF15" s="60"/>
      <c r="AK15" s="4"/>
      <c r="AL15" s="60"/>
    </row>
    <row r="16" spans="1:38" x14ac:dyDescent="0.3">
      <c r="B16" s="2">
        <v>13</v>
      </c>
      <c r="C16" s="2">
        <v>13</v>
      </c>
      <c r="D16" s="2" t="s">
        <v>626</v>
      </c>
      <c r="E16" s="4">
        <v>45221</v>
      </c>
      <c r="F16" s="2" t="s">
        <v>19</v>
      </c>
      <c r="G16" s="2" t="s">
        <v>16</v>
      </c>
      <c r="H16" s="60">
        <v>4.3055555555555562E-2</v>
      </c>
      <c r="I16" s="60"/>
      <c r="K16" s="106"/>
      <c r="O16" s="60"/>
      <c r="P16" s="99"/>
      <c r="T16" s="105" t="s">
        <v>188</v>
      </c>
      <c r="U16" s="2">
        <v>12</v>
      </c>
      <c r="V16" s="99">
        <v>9</v>
      </c>
      <c r="X16" s="60">
        <v>0.12638888888888888</v>
      </c>
      <c r="Y16" s="2">
        <v>2</v>
      </c>
      <c r="AE16" s="4"/>
      <c r="AF16" s="60"/>
      <c r="AK16" s="4"/>
      <c r="AL16" s="60"/>
    </row>
    <row r="17" spans="1:38" x14ac:dyDescent="0.3">
      <c r="A17" s="2"/>
      <c r="B17" s="2">
        <v>14</v>
      </c>
      <c r="C17" s="2">
        <v>14</v>
      </c>
      <c r="D17" s="2" t="s">
        <v>327</v>
      </c>
      <c r="E17" s="4">
        <v>45226</v>
      </c>
      <c r="F17" s="2" t="s">
        <v>18</v>
      </c>
      <c r="G17" s="2" t="s">
        <v>17</v>
      </c>
      <c r="H17" s="60">
        <v>0.1673611111111111</v>
      </c>
      <c r="I17" s="60"/>
      <c r="K17" s="106"/>
      <c r="L17" s="2"/>
      <c r="M17" s="2"/>
      <c r="N17" s="4"/>
      <c r="O17" s="60"/>
      <c r="P17" s="99"/>
      <c r="T17" s="105" t="s">
        <v>189</v>
      </c>
      <c r="U17" s="2">
        <v>6</v>
      </c>
      <c r="V17" s="99">
        <v>4</v>
      </c>
      <c r="X17" s="60">
        <v>0.16874999999999998</v>
      </c>
      <c r="Y17" s="2">
        <v>2</v>
      </c>
      <c r="AE17" s="4"/>
      <c r="AF17" s="60"/>
      <c r="AK17" s="4"/>
      <c r="AL17" s="60"/>
    </row>
    <row r="18" spans="1:38" x14ac:dyDescent="0.3">
      <c r="B18" s="2">
        <v>15</v>
      </c>
      <c r="C18" s="2">
        <v>15</v>
      </c>
      <c r="D18" s="2" t="s">
        <v>331</v>
      </c>
      <c r="E18" s="4">
        <v>45228</v>
      </c>
      <c r="F18" s="2" t="s">
        <v>19</v>
      </c>
      <c r="G18" s="2" t="s">
        <v>16</v>
      </c>
      <c r="H18" s="60">
        <v>8.6805555555555566E-2</v>
      </c>
      <c r="K18" s="106"/>
      <c r="L18" s="2"/>
      <c r="M18" s="2"/>
      <c r="N18" s="4"/>
      <c r="O18" s="60"/>
      <c r="P18" s="99"/>
      <c r="T18" s="105" t="s">
        <v>190</v>
      </c>
      <c r="U18" s="2">
        <v>6</v>
      </c>
      <c r="V18" s="99">
        <v>6</v>
      </c>
      <c r="X18" s="60">
        <v>0.20972222222222223</v>
      </c>
      <c r="Y18" s="2">
        <v>2</v>
      </c>
      <c r="AE18" s="4"/>
      <c r="AF18" s="60"/>
      <c r="AK18" s="4"/>
      <c r="AL18" s="60"/>
    </row>
    <row r="19" spans="1:38" x14ac:dyDescent="0.3">
      <c r="B19" s="2">
        <v>16</v>
      </c>
      <c r="C19" s="2">
        <v>16</v>
      </c>
      <c r="D19" s="2" t="s">
        <v>6179</v>
      </c>
      <c r="E19" s="4">
        <v>45230</v>
      </c>
      <c r="F19" s="2" t="s">
        <v>20</v>
      </c>
      <c r="G19" s="2" t="s">
        <v>17</v>
      </c>
      <c r="H19" s="60">
        <v>0.25208333333333333</v>
      </c>
      <c r="I19" s="2" t="s">
        <v>834</v>
      </c>
      <c r="K19" s="106"/>
      <c r="L19" s="2"/>
      <c r="M19" s="2"/>
      <c r="N19" s="4"/>
      <c r="O19" s="60"/>
      <c r="P19" s="99"/>
      <c r="T19" s="105" t="s">
        <v>855</v>
      </c>
      <c r="U19" s="2">
        <v>1</v>
      </c>
      <c r="V19" s="99"/>
      <c r="X19" s="60">
        <v>0.25277777777777777</v>
      </c>
      <c r="Y19" s="2">
        <v>2</v>
      </c>
      <c r="AE19" s="4"/>
      <c r="AF19" s="60"/>
      <c r="AK19" s="4"/>
      <c r="AL19" s="60"/>
    </row>
    <row r="20" spans="1:38" x14ac:dyDescent="0.3">
      <c r="B20" s="2">
        <v>17</v>
      </c>
      <c r="C20" s="2">
        <v>17</v>
      </c>
      <c r="D20" s="2" t="s">
        <v>610</v>
      </c>
      <c r="E20" s="4">
        <v>45233</v>
      </c>
      <c r="F20" s="2" t="s">
        <v>18</v>
      </c>
      <c r="G20" s="2" t="s">
        <v>16</v>
      </c>
      <c r="H20" s="60">
        <v>8.6805555555555566E-2</v>
      </c>
      <c r="I20" s="60"/>
      <c r="K20" s="106"/>
      <c r="L20" s="2"/>
      <c r="M20" s="2"/>
      <c r="N20" s="4"/>
      <c r="O20" s="60"/>
      <c r="P20" s="99"/>
      <c r="T20" s="105" t="s">
        <v>5165</v>
      </c>
      <c r="U20" s="2"/>
      <c r="V20" s="99"/>
      <c r="X20" s="60">
        <v>1.3888888888888889E-3</v>
      </c>
      <c r="Y20" s="2">
        <v>2</v>
      </c>
      <c r="AE20" s="4"/>
      <c r="AF20" s="60"/>
      <c r="AK20" s="4"/>
      <c r="AL20" s="60"/>
    </row>
    <row r="21" spans="1:38" x14ac:dyDescent="0.3">
      <c r="B21" s="2">
        <v>18</v>
      </c>
      <c r="C21" s="2">
        <v>18</v>
      </c>
      <c r="D21" s="2" t="s">
        <v>1274</v>
      </c>
      <c r="E21" s="4">
        <v>45235</v>
      </c>
      <c r="F21" s="2" t="s">
        <v>19</v>
      </c>
      <c r="G21" s="2" t="s">
        <v>17</v>
      </c>
      <c r="H21" s="60">
        <v>1.3888888888888889E-3</v>
      </c>
      <c r="K21" s="106"/>
      <c r="L21" s="2"/>
      <c r="M21" s="2"/>
      <c r="N21" s="4"/>
      <c r="P21" s="99"/>
      <c r="T21" s="106"/>
      <c r="U21" s="2">
        <f>SUM(U12:U20)</f>
        <v>55</v>
      </c>
      <c r="V21" s="99">
        <f>SUM(V12:V20)</f>
        <v>55</v>
      </c>
      <c r="X21" s="60">
        <v>0.12708333333333333</v>
      </c>
      <c r="Y21" s="2">
        <v>2</v>
      </c>
      <c r="AE21" s="4"/>
      <c r="AF21" s="60"/>
      <c r="AK21" s="4"/>
      <c r="AL21" s="60"/>
    </row>
    <row r="22" spans="1:38" ht="15" thickBot="1" x14ac:dyDescent="0.35">
      <c r="B22" s="2">
        <v>19</v>
      </c>
      <c r="C22" s="2">
        <v>19</v>
      </c>
      <c r="D22" s="2" t="s">
        <v>6086</v>
      </c>
      <c r="E22" s="4">
        <v>45247</v>
      </c>
      <c r="F22" s="2" t="s">
        <v>18</v>
      </c>
      <c r="G22" s="2" t="s">
        <v>16</v>
      </c>
      <c r="H22" s="60">
        <v>3.472222222222222E-3</v>
      </c>
      <c r="I22" s="60"/>
      <c r="K22" s="187"/>
      <c r="L22" s="103"/>
      <c r="M22" s="103"/>
      <c r="N22" s="255"/>
      <c r="O22" s="103"/>
      <c r="P22" s="104"/>
      <c r="T22" s="106"/>
      <c r="V22" s="100"/>
      <c r="X22" s="60">
        <v>6.9444444444444447E-4</v>
      </c>
      <c r="Y22" s="2">
        <v>1</v>
      </c>
      <c r="AE22" s="4"/>
      <c r="AF22" s="60"/>
      <c r="AK22" s="4"/>
      <c r="AL22" s="60"/>
    </row>
    <row r="23" spans="1:38" ht="15" thickBot="1" x14ac:dyDescent="0.35">
      <c r="B23" s="2">
        <v>20</v>
      </c>
      <c r="C23" s="2">
        <v>20</v>
      </c>
      <c r="D23" s="2" t="s">
        <v>334</v>
      </c>
      <c r="E23" s="4">
        <v>45249</v>
      </c>
      <c r="F23" s="2" t="s">
        <v>19</v>
      </c>
      <c r="G23" s="2" t="s">
        <v>16</v>
      </c>
      <c r="H23" s="60" t="s">
        <v>351</v>
      </c>
      <c r="I23" s="2" t="s">
        <v>834</v>
      </c>
      <c r="K23" s="187" t="s">
        <v>726</v>
      </c>
      <c r="L23" s="104">
        <f>COUNT(L9:L22)</f>
        <v>6</v>
      </c>
      <c r="M23" s="2"/>
      <c r="N23" s="4"/>
      <c r="T23" s="105" t="s">
        <v>191</v>
      </c>
      <c r="U23" s="2" t="s">
        <v>221</v>
      </c>
      <c r="V23" s="101" t="s">
        <v>222</v>
      </c>
      <c r="X23" s="60">
        <v>4.3055555555555562E-2</v>
      </c>
      <c r="Y23" s="2">
        <v>1</v>
      </c>
      <c r="AE23" s="4"/>
      <c r="AF23" s="60"/>
      <c r="AK23" s="4"/>
      <c r="AL23" s="60"/>
    </row>
    <row r="24" spans="1:38" x14ac:dyDescent="0.3">
      <c r="B24" s="2">
        <v>21</v>
      </c>
      <c r="C24" s="2">
        <v>21</v>
      </c>
      <c r="D24" s="2" t="s">
        <v>6076</v>
      </c>
      <c r="E24" s="4">
        <v>45254</v>
      </c>
      <c r="F24" s="2" t="s">
        <v>18</v>
      </c>
      <c r="G24" s="2" t="s">
        <v>17</v>
      </c>
      <c r="H24" s="60">
        <v>0.25277777777777777</v>
      </c>
      <c r="I24" s="60" t="s">
        <v>834</v>
      </c>
      <c r="K24" s="2"/>
      <c r="L24" s="2"/>
      <c r="M24" s="2"/>
      <c r="N24" s="4"/>
      <c r="T24" s="105" t="s">
        <v>198</v>
      </c>
      <c r="U24" s="62"/>
      <c r="V24" s="98"/>
      <c r="X24" s="60">
        <v>8.5416666666666655E-2</v>
      </c>
      <c r="Y24" s="2">
        <v>1</v>
      </c>
      <c r="AE24" s="4"/>
      <c r="AF24" s="60"/>
      <c r="AK24" s="4"/>
      <c r="AL24" s="60"/>
    </row>
    <row r="25" spans="1:38" x14ac:dyDescent="0.3">
      <c r="B25" s="2">
        <v>22</v>
      </c>
      <c r="C25" s="2">
        <v>22</v>
      </c>
      <c r="D25" s="2" t="s">
        <v>6091</v>
      </c>
      <c r="E25" s="4">
        <v>45256</v>
      </c>
      <c r="F25" s="2" t="s">
        <v>19</v>
      </c>
      <c r="G25" s="2" t="s">
        <v>16</v>
      </c>
      <c r="H25" s="60">
        <v>6.9444444444444447E-4</v>
      </c>
      <c r="I25" s="60"/>
      <c r="L25" s="2"/>
      <c r="M25" s="2"/>
      <c r="N25" s="4"/>
      <c r="T25" s="105" t="s">
        <v>199</v>
      </c>
      <c r="U25" s="2">
        <v>11</v>
      </c>
      <c r="V25" s="99">
        <v>11</v>
      </c>
      <c r="X25" s="60">
        <v>2.0833333333333333E-3</v>
      </c>
      <c r="Y25" s="2">
        <v>1</v>
      </c>
      <c r="AE25" s="4"/>
      <c r="AF25" s="60"/>
      <c r="AK25" s="4"/>
      <c r="AL25" s="60"/>
    </row>
    <row r="26" spans="1:38" x14ac:dyDescent="0.3">
      <c r="B26" s="2">
        <v>23</v>
      </c>
      <c r="C26" s="2">
        <v>23</v>
      </c>
      <c r="D26" s="2" t="s">
        <v>325</v>
      </c>
      <c r="E26" s="4">
        <v>45258</v>
      </c>
      <c r="F26" s="2" t="s">
        <v>20</v>
      </c>
      <c r="G26" s="2" t="s">
        <v>16</v>
      </c>
      <c r="H26" s="60">
        <v>4.3750000000000004E-2</v>
      </c>
      <c r="I26" s="60"/>
      <c r="L26" s="2"/>
      <c r="M26" s="2"/>
      <c r="N26" s="4"/>
      <c r="T26" s="105" t="s">
        <v>200</v>
      </c>
      <c r="U26" s="2">
        <v>14</v>
      </c>
      <c r="V26" s="99">
        <v>18</v>
      </c>
      <c r="X26" s="60">
        <v>4.5833333333333337E-2</v>
      </c>
      <c r="Y26" s="2">
        <v>1</v>
      </c>
      <c r="AE26" s="4"/>
      <c r="AF26" s="60"/>
      <c r="AK26" s="4"/>
      <c r="AL26" s="60"/>
    </row>
    <row r="27" spans="1:38" x14ac:dyDescent="0.3">
      <c r="B27" s="2">
        <v>24</v>
      </c>
      <c r="C27" s="2">
        <v>24</v>
      </c>
      <c r="D27" s="2" t="s">
        <v>332</v>
      </c>
      <c r="E27" s="4">
        <v>45261</v>
      </c>
      <c r="F27" s="2" t="s">
        <v>18</v>
      </c>
      <c r="G27" s="2" t="s">
        <v>16</v>
      </c>
      <c r="H27" s="60">
        <v>2.0833333333333333E-3</v>
      </c>
      <c r="I27" s="60" t="s">
        <v>834</v>
      </c>
      <c r="L27" s="2"/>
      <c r="M27" s="2"/>
      <c r="N27" s="4"/>
      <c r="T27" s="105" t="s">
        <v>201</v>
      </c>
      <c r="U27" s="2">
        <v>13</v>
      </c>
      <c r="V27" s="99">
        <v>9</v>
      </c>
      <c r="X27" s="60">
        <v>8.7500000000000008E-2</v>
      </c>
      <c r="Y27" s="2">
        <v>1</v>
      </c>
      <c r="AE27" s="4"/>
      <c r="AF27" s="60"/>
      <c r="AK27" s="4"/>
      <c r="AL27" s="60"/>
    </row>
    <row r="28" spans="1:38" x14ac:dyDescent="0.3">
      <c r="B28" s="2">
        <v>25</v>
      </c>
      <c r="C28" s="2">
        <v>25</v>
      </c>
      <c r="D28" s="2" t="s">
        <v>328</v>
      </c>
      <c r="E28" s="4">
        <v>45263</v>
      </c>
      <c r="F28" s="2" t="s">
        <v>19</v>
      </c>
      <c r="G28" s="2" t="s">
        <v>16</v>
      </c>
      <c r="H28" s="60">
        <v>8.7500000000000008E-2</v>
      </c>
      <c r="I28" s="60"/>
      <c r="L28" s="2"/>
      <c r="M28" s="2"/>
      <c r="N28" s="4"/>
      <c r="T28" s="105" t="s">
        <v>202</v>
      </c>
      <c r="U28" s="2">
        <v>5</v>
      </c>
      <c r="V28" s="99">
        <v>7</v>
      </c>
      <c r="X28" s="60">
        <v>0.13055555555555556</v>
      </c>
      <c r="Y28" s="2">
        <v>1</v>
      </c>
      <c r="AE28" s="4"/>
      <c r="AF28" s="60"/>
      <c r="AK28" s="4"/>
      <c r="AL28" s="60"/>
    </row>
    <row r="29" spans="1:38" x14ac:dyDescent="0.3">
      <c r="B29" s="2">
        <v>26</v>
      </c>
      <c r="C29" s="2">
        <v>26</v>
      </c>
      <c r="D29" s="2" t="s">
        <v>626</v>
      </c>
      <c r="E29" s="4">
        <v>45268</v>
      </c>
      <c r="F29" s="2" t="s">
        <v>18</v>
      </c>
      <c r="G29" s="2" t="s">
        <v>17</v>
      </c>
      <c r="H29" s="60" t="s">
        <v>589</v>
      </c>
      <c r="I29" s="60"/>
      <c r="L29" s="2"/>
      <c r="M29" s="2"/>
      <c r="N29" s="4"/>
      <c r="T29" s="105" t="s">
        <v>203</v>
      </c>
      <c r="U29" s="2">
        <v>7</v>
      </c>
      <c r="V29" s="99">
        <v>6</v>
      </c>
      <c r="X29" s="60">
        <v>0.21180555555555555</v>
      </c>
      <c r="Y29" s="2">
        <v>1</v>
      </c>
      <c r="AE29" s="4"/>
      <c r="AF29" s="60"/>
    </row>
    <row r="30" spans="1:38" x14ac:dyDescent="0.3">
      <c r="B30" s="2">
        <v>27</v>
      </c>
      <c r="C30" s="2">
        <v>27</v>
      </c>
      <c r="D30" s="2" t="s">
        <v>327</v>
      </c>
      <c r="E30" s="4">
        <v>45270</v>
      </c>
      <c r="F30" s="2" t="s">
        <v>19</v>
      </c>
      <c r="G30" s="2" t="s">
        <v>16</v>
      </c>
      <c r="H30" s="60">
        <v>0.16805555555555554</v>
      </c>
      <c r="I30" s="60"/>
      <c r="L30" s="2"/>
      <c r="M30" s="2"/>
      <c r="N30" s="4"/>
      <c r="T30" s="105" t="s">
        <v>204</v>
      </c>
      <c r="U30" s="2">
        <v>4</v>
      </c>
      <c r="V30" s="99">
        <v>3</v>
      </c>
      <c r="X30" s="60">
        <v>8.7500000000000008E-2</v>
      </c>
      <c r="Y30" s="2">
        <v>1</v>
      </c>
      <c r="AE30" s="4"/>
      <c r="AF30" s="60"/>
    </row>
    <row r="31" spans="1:38" x14ac:dyDescent="0.3">
      <c r="B31" s="2">
        <v>28</v>
      </c>
      <c r="C31" s="2">
        <v>28</v>
      </c>
      <c r="D31" s="2" t="s">
        <v>331</v>
      </c>
      <c r="E31" s="4">
        <v>45280</v>
      </c>
      <c r="F31" s="2" t="s">
        <v>21</v>
      </c>
      <c r="G31" s="2" t="s">
        <v>17</v>
      </c>
      <c r="H31" s="60" t="s">
        <v>161</v>
      </c>
      <c r="I31" s="60" t="s">
        <v>834</v>
      </c>
      <c r="L31" s="2"/>
      <c r="M31" s="2"/>
      <c r="N31" s="4"/>
      <c r="T31" s="105" t="s">
        <v>205</v>
      </c>
      <c r="U31" s="2"/>
      <c r="V31" s="99"/>
      <c r="X31" s="60">
        <v>0.12916666666666668</v>
      </c>
      <c r="Y31" s="2">
        <v>1</v>
      </c>
      <c r="AE31" s="4"/>
      <c r="AF31" s="60"/>
    </row>
    <row r="32" spans="1:38" x14ac:dyDescent="0.3">
      <c r="B32" s="2">
        <v>29</v>
      </c>
      <c r="C32" s="2">
        <v>30</v>
      </c>
      <c r="D32" s="2" t="s">
        <v>610</v>
      </c>
      <c r="E32" s="4">
        <v>45286</v>
      </c>
      <c r="F32" s="2" t="s">
        <v>20</v>
      </c>
      <c r="G32" s="2" t="s">
        <v>17</v>
      </c>
      <c r="H32" s="60">
        <v>0.25208333333333333</v>
      </c>
      <c r="I32" s="60" t="s">
        <v>834</v>
      </c>
      <c r="K32" s="2"/>
      <c r="L32" s="2"/>
      <c r="M32" s="2"/>
      <c r="N32" s="4"/>
      <c r="T32" s="105" t="s">
        <v>3429</v>
      </c>
      <c r="U32" s="2">
        <v>1</v>
      </c>
      <c r="V32" s="99">
        <v>1</v>
      </c>
      <c r="X32" s="60">
        <v>0.29444444444444445</v>
      </c>
      <c r="Y32" s="2">
        <v>1</v>
      </c>
      <c r="AE32" s="4"/>
      <c r="AF32" s="60"/>
    </row>
    <row r="33" spans="2:39" ht="15" thickBot="1" x14ac:dyDescent="0.35">
      <c r="B33" s="2">
        <v>30</v>
      </c>
      <c r="C33" s="2">
        <v>31</v>
      </c>
      <c r="D33" s="2" t="s">
        <v>1274</v>
      </c>
      <c r="E33" s="4">
        <v>45288</v>
      </c>
      <c r="F33" s="2" t="s">
        <v>22</v>
      </c>
      <c r="G33" s="2" t="s">
        <v>16</v>
      </c>
      <c r="H33" s="60">
        <v>0.20902777777777778</v>
      </c>
      <c r="L33" s="2"/>
      <c r="M33" s="2"/>
      <c r="N33" s="4"/>
      <c r="T33" s="102"/>
      <c r="U33" s="103">
        <f>SUM(U24:U32)</f>
        <v>55</v>
      </c>
      <c r="V33" s="104">
        <f>SUM(V24:V32)</f>
        <v>55</v>
      </c>
      <c r="X33" s="60">
        <v>0.20902777777777778</v>
      </c>
      <c r="Y33" s="2">
        <v>1</v>
      </c>
      <c r="AE33" s="4"/>
      <c r="AF33" s="60"/>
    </row>
    <row r="34" spans="2:39" ht="15" thickBot="1" x14ac:dyDescent="0.35">
      <c r="B34" s="2">
        <v>31</v>
      </c>
      <c r="C34" s="2">
        <v>32</v>
      </c>
      <c r="D34" s="2" t="s">
        <v>6086</v>
      </c>
      <c r="E34" s="4">
        <v>45290</v>
      </c>
      <c r="F34" s="2" t="s">
        <v>23</v>
      </c>
      <c r="G34" s="2" t="s">
        <v>17</v>
      </c>
      <c r="H34" s="60">
        <v>0.25069444444444444</v>
      </c>
      <c r="I34" s="60"/>
      <c r="L34" s="2"/>
      <c r="M34" s="2"/>
      <c r="N34" s="4"/>
      <c r="X34" s="60">
        <v>0.21041666666666667</v>
      </c>
      <c r="Y34" s="2">
        <v>1</v>
      </c>
      <c r="AE34" s="4"/>
      <c r="AF34" s="60"/>
    </row>
    <row r="35" spans="2:39" x14ac:dyDescent="0.3">
      <c r="B35" s="2">
        <v>32</v>
      </c>
      <c r="C35" s="2">
        <v>47</v>
      </c>
      <c r="D35" s="2" t="s">
        <v>6076</v>
      </c>
      <c r="E35" s="4">
        <v>45294</v>
      </c>
      <c r="F35" s="2" t="s">
        <v>21</v>
      </c>
      <c r="G35" s="425" t="s">
        <v>17</v>
      </c>
      <c r="H35" s="60">
        <v>4.5833333333333337E-2</v>
      </c>
      <c r="I35" s="60" t="s">
        <v>834</v>
      </c>
      <c r="L35" s="2"/>
      <c r="M35" s="2"/>
      <c r="N35" s="4"/>
      <c r="U35" s="395" t="s">
        <v>3438</v>
      </c>
      <c r="V35" s="186" t="s">
        <v>3437</v>
      </c>
      <c r="X35" s="60">
        <v>0.25069444444444444</v>
      </c>
      <c r="Y35" s="2">
        <v>1</v>
      </c>
      <c r="AE35" s="4"/>
      <c r="AF35" s="60"/>
    </row>
    <row r="36" spans="2:39" ht="15" thickBot="1" x14ac:dyDescent="0.35">
      <c r="B36" s="2">
        <v>33</v>
      </c>
      <c r="C36" s="2">
        <v>33</v>
      </c>
      <c r="D36" s="2" t="s">
        <v>334</v>
      </c>
      <c r="E36" s="4">
        <v>45296</v>
      </c>
      <c r="F36" s="2" t="s">
        <v>18</v>
      </c>
      <c r="G36" s="2" t="s">
        <v>17</v>
      </c>
      <c r="H36" s="60">
        <v>0.20972222222222223</v>
      </c>
      <c r="I36" s="60" t="s">
        <v>834</v>
      </c>
      <c r="L36" s="2"/>
      <c r="M36" s="2"/>
      <c r="N36" s="4"/>
      <c r="U36" s="396">
        <f>(V15+V16+V17+V18+V19+V20)/V21</f>
        <v>0.5636363636363636</v>
      </c>
      <c r="V36" s="394">
        <f>(V27+V28+V29+V30+V31+V32)/V33</f>
        <v>0.47272727272727272</v>
      </c>
      <c r="X36" s="60">
        <v>0.16944444444444443</v>
      </c>
      <c r="Y36" s="2">
        <v>1</v>
      </c>
    </row>
    <row r="37" spans="2:39" x14ac:dyDescent="0.3">
      <c r="B37" s="2">
        <v>34</v>
      </c>
      <c r="C37" s="2">
        <v>34</v>
      </c>
      <c r="D37" s="2" t="s">
        <v>6076</v>
      </c>
      <c r="E37" s="4">
        <v>45298</v>
      </c>
      <c r="F37" s="2" t="s">
        <v>19</v>
      </c>
      <c r="G37" s="2" t="s">
        <v>16</v>
      </c>
      <c r="H37" s="60" t="s">
        <v>589</v>
      </c>
      <c r="I37" s="60"/>
      <c r="L37" s="2"/>
      <c r="M37" s="2"/>
      <c r="N37" s="4"/>
      <c r="X37" s="60">
        <v>3.472222222222222E-3</v>
      </c>
      <c r="Y37" s="2">
        <v>1</v>
      </c>
      <c r="AF37" s="2"/>
      <c r="AG37" s="2"/>
      <c r="AL37" s="2"/>
      <c r="AM37" s="2"/>
    </row>
    <row r="38" spans="2:39" x14ac:dyDescent="0.3">
      <c r="B38" s="2">
        <v>35</v>
      </c>
      <c r="C38" s="2">
        <v>35</v>
      </c>
      <c r="D38" s="2" t="s">
        <v>6091</v>
      </c>
      <c r="E38" s="4">
        <v>45303</v>
      </c>
      <c r="F38" s="2" t="s">
        <v>18</v>
      </c>
      <c r="G38" s="2" t="s">
        <v>17</v>
      </c>
      <c r="H38" s="60" t="s">
        <v>164</v>
      </c>
      <c r="I38" s="60" t="s">
        <v>834</v>
      </c>
      <c r="X38" s="60">
        <v>0</v>
      </c>
      <c r="Y38" s="2">
        <v>0</v>
      </c>
      <c r="AD38" s="1153"/>
      <c r="AE38" s="1153"/>
      <c r="AF38" s="2"/>
      <c r="AG38" s="120"/>
      <c r="AJ38" s="1153"/>
      <c r="AK38" s="1153"/>
      <c r="AL38" s="2"/>
      <c r="AM38" s="120"/>
    </row>
    <row r="39" spans="2:39" ht="15" thickBot="1" x14ac:dyDescent="0.35">
      <c r="B39" s="2">
        <v>36</v>
      </c>
      <c r="C39" s="2">
        <v>36</v>
      </c>
      <c r="D39" s="2" t="s">
        <v>325</v>
      </c>
      <c r="E39" s="4">
        <v>45305</v>
      </c>
      <c r="F39" s="2" t="s">
        <v>19</v>
      </c>
      <c r="G39" s="2" t="s">
        <v>16</v>
      </c>
      <c r="H39" s="60">
        <v>0.12916666666666668</v>
      </c>
      <c r="I39" s="60"/>
      <c r="X39" s="60">
        <v>0.21111111111111111</v>
      </c>
      <c r="Y39" s="2">
        <v>1</v>
      </c>
      <c r="AD39" s="1153"/>
      <c r="AE39" s="1153"/>
      <c r="AF39" s="2"/>
      <c r="AG39" s="120"/>
      <c r="AJ39" s="1153"/>
      <c r="AK39" s="1153"/>
      <c r="AL39" s="2"/>
      <c r="AM39" s="120"/>
    </row>
    <row r="40" spans="2:39" ht="15" thickBot="1" x14ac:dyDescent="0.35">
      <c r="B40" s="2">
        <v>37</v>
      </c>
      <c r="C40" s="2">
        <v>29</v>
      </c>
      <c r="D40" s="2" t="s">
        <v>6179</v>
      </c>
      <c r="E40" s="4">
        <v>45308</v>
      </c>
      <c r="F40" s="2" t="s">
        <v>21</v>
      </c>
      <c r="G40" s="2" t="s">
        <v>16</v>
      </c>
      <c r="H40" s="60">
        <v>4.3750000000000004E-2</v>
      </c>
      <c r="I40" s="60"/>
      <c r="L40" s="1146" t="s">
        <v>5294</v>
      </c>
      <c r="M40" s="1147"/>
      <c r="N40" s="1148"/>
      <c r="O40" s="240" t="s">
        <v>315</v>
      </c>
      <c r="X40" s="60">
        <v>8.4027777777777771E-2</v>
      </c>
      <c r="Y40" s="2">
        <v>0</v>
      </c>
      <c r="AD40" s="1153"/>
      <c r="AE40" s="1153"/>
      <c r="AF40" s="2"/>
      <c r="AG40" s="120"/>
      <c r="AJ40" s="1153"/>
      <c r="AK40" s="1153"/>
      <c r="AL40" s="2"/>
      <c r="AM40" s="120"/>
    </row>
    <row r="41" spans="2:39" x14ac:dyDescent="0.3">
      <c r="B41" s="2">
        <v>38</v>
      </c>
      <c r="C41" s="2">
        <v>37</v>
      </c>
      <c r="D41" s="2" t="s">
        <v>332</v>
      </c>
      <c r="E41" s="4">
        <v>45310</v>
      </c>
      <c r="F41" s="2" t="s">
        <v>18</v>
      </c>
      <c r="G41" s="2" t="s">
        <v>17</v>
      </c>
      <c r="H41" s="60">
        <v>0.16874999999999998</v>
      </c>
      <c r="I41" s="60" t="s">
        <v>834</v>
      </c>
      <c r="L41" s="430" t="s">
        <v>238</v>
      </c>
      <c r="M41" s="431" t="s">
        <v>240</v>
      </c>
      <c r="N41" s="431" t="s">
        <v>241</v>
      </c>
      <c r="O41" s="186" t="s">
        <v>314</v>
      </c>
    </row>
    <row r="42" spans="2:39" ht="15" thickBot="1" x14ac:dyDescent="0.35">
      <c r="B42" s="2">
        <v>39</v>
      </c>
      <c r="C42" s="2">
        <v>38</v>
      </c>
      <c r="D42" s="2" t="s">
        <v>328</v>
      </c>
      <c r="E42" s="4">
        <v>45312</v>
      </c>
      <c r="F42" s="2" t="s">
        <v>19</v>
      </c>
      <c r="G42" s="2" t="s">
        <v>16</v>
      </c>
      <c r="H42" s="60">
        <v>4.5138888888888888E-2</v>
      </c>
      <c r="I42" s="60"/>
      <c r="L42" s="354">
        <v>45148</v>
      </c>
      <c r="M42" s="63" t="s">
        <v>818</v>
      </c>
      <c r="N42" s="63" t="s">
        <v>6086</v>
      </c>
      <c r="O42" s="793">
        <v>0.12569444444444444</v>
      </c>
    </row>
    <row r="43" spans="2:39" ht="15" thickBot="1" x14ac:dyDescent="0.35">
      <c r="B43" s="2">
        <v>40</v>
      </c>
      <c r="C43" s="2">
        <v>39</v>
      </c>
      <c r="D43" s="2" t="s">
        <v>626</v>
      </c>
      <c r="E43" s="4">
        <v>45314</v>
      </c>
      <c r="F43" s="2" t="s">
        <v>20</v>
      </c>
      <c r="G43" s="2" t="s">
        <v>17</v>
      </c>
      <c r="H43" s="60">
        <v>0.1673611111111111</v>
      </c>
      <c r="I43" s="60" t="s">
        <v>834</v>
      </c>
      <c r="L43" s="354">
        <v>45153</v>
      </c>
      <c r="M43" s="63" t="s">
        <v>818</v>
      </c>
      <c r="N43" s="63" t="s">
        <v>6076</v>
      </c>
      <c r="O43" s="793">
        <v>4.3750000000000004E-2</v>
      </c>
      <c r="T43" s="789"/>
      <c r="U43" s="380" t="s">
        <v>3438</v>
      </c>
      <c r="V43" s="240" t="s">
        <v>3437</v>
      </c>
    </row>
    <row r="44" spans="2:39" x14ac:dyDescent="0.3">
      <c r="B44" s="2">
        <v>41</v>
      </c>
      <c r="C44" s="2">
        <v>40</v>
      </c>
      <c r="D44" s="2" t="s">
        <v>327</v>
      </c>
      <c r="E44" s="4">
        <v>45317</v>
      </c>
      <c r="F44" s="2" t="s">
        <v>18</v>
      </c>
      <c r="G44" s="2" t="s">
        <v>17</v>
      </c>
      <c r="H44" s="60">
        <v>4.3750000000000004E-2</v>
      </c>
      <c r="I44" s="60" t="s">
        <v>834</v>
      </c>
      <c r="L44" s="354">
        <v>45155</v>
      </c>
      <c r="M44" s="63" t="s">
        <v>332</v>
      </c>
      <c r="N44" s="63" t="s">
        <v>818</v>
      </c>
      <c r="O44" s="793">
        <v>0.20902777777777778</v>
      </c>
      <c r="T44" s="121" t="s">
        <v>5293</v>
      </c>
      <c r="U44" s="587">
        <f>U36</f>
        <v>0.5636363636363636</v>
      </c>
      <c r="V44" s="792">
        <f>V36</f>
        <v>0.47272727272727272</v>
      </c>
    </row>
    <row r="45" spans="2:39" x14ac:dyDescent="0.3">
      <c r="B45" s="2">
        <v>42</v>
      </c>
      <c r="C45" s="2">
        <v>41</v>
      </c>
      <c r="D45" s="2" t="s">
        <v>331</v>
      </c>
      <c r="E45" s="4">
        <v>45319</v>
      </c>
      <c r="F45" s="2" t="s">
        <v>19</v>
      </c>
      <c r="G45" s="2" t="s">
        <v>16</v>
      </c>
      <c r="H45" s="60">
        <v>0.21041666666666667</v>
      </c>
      <c r="I45" s="60"/>
      <c r="L45" s="354">
        <v>45160</v>
      </c>
      <c r="M45" s="63" t="s">
        <v>818</v>
      </c>
      <c r="N45" s="63" t="s">
        <v>332</v>
      </c>
      <c r="O45" s="793">
        <v>0.1673611111111111</v>
      </c>
      <c r="T45" s="121" t="s">
        <v>4708</v>
      </c>
      <c r="U45" s="587">
        <v>0.4</v>
      </c>
      <c r="V45" s="792">
        <v>0.45454545454545453</v>
      </c>
    </row>
    <row r="46" spans="2:39" x14ac:dyDescent="0.3">
      <c r="B46" s="2">
        <v>43</v>
      </c>
      <c r="C46" s="2">
        <v>42</v>
      </c>
      <c r="D46" s="2" t="s">
        <v>6179</v>
      </c>
      <c r="E46" s="4">
        <v>45324</v>
      </c>
      <c r="F46" s="2" t="s">
        <v>18</v>
      </c>
      <c r="G46" s="2" t="s">
        <v>17</v>
      </c>
      <c r="H46" s="60">
        <v>8.5416666666666655E-2</v>
      </c>
      <c r="I46" s="60" t="s">
        <v>834</v>
      </c>
      <c r="L46" s="354">
        <v>45162</v>
      </c>
      <c r="M46" s="63" t="s">
        <v>6086</v>
      </c>
      <c r="N46" s="63" t="s">
        <v>818</v>
      </c>
      <c r="O46" s="793">
        <v>8.4027777777777771E-2</v>
      </c>
      <c r="T46" s="121" t="s">
        <v>4409</v>
      </c>
      <c r="U46" s="587">
        <v>0.5178571428571429</v>
      </c>
      <c r="V46" s="792">
        <v>0.5892857142857143</v>
      </c>
    </row>
    <row r="47" spans="2:39" x14ac:dyDescent="0.3">
      <c r="B47" s="2">
        <v>44</v>
      </c>
      <c r="C47" s="2">
        <v>43</v>
      </c>
      <c r="D47" s="2" t="s">
        <v>610</v>
      </c>
      <c r="E47" s="4">
        <v>45326</v>
      </c>
      <c r="F47" s="2" t="s">
        <v>19</v>
      </c>
      <c r="G47" s="2" t="s">
        <v>16</v>
      </c>
      <c r="H47" s="60">
        <v>8.7500000000000008E-2</v>
      </c>
      <c r="I47" s="60"/>
      <c r="L47" s="354">
        <v>45169</v>
      </c>
      <c r="M47" s="63" t="s">
        <v>5295</v>
      </c>
      <c r="N47" s="63" t="s">
        <v>818</v>
      </c>
      <c r="O47" s="793">
        <v>0.125</v>
      </c>
      <c r="T47" s="121" t="s">
        <v>4410</v>
      </c>
      <c r="U47" s="587">
        <v>0.38181818181818183</v>
      </c>
      <c r="V47" s="792">
        <v>0.47272727272727272</v>
      </c>
    </row>
    <row r="48" spans="2:39" x14ac:dyDescent="0.3">
      <c r="B48" s="2">
        <v>45</v>
      </c>
      <c r="C48" s="2">
        <v>44</v>
      </c>
      <c r="D48" s="2" t="s">
        <v>1274</v>
      </c>
      <c r="E48" s="4">
        <v>45336</v>
      </c>
      <c r="F48" s="2" t="s">
        <v>21</v>
      </c>
      <c r="G48" s="2" t="s">
        <v>17</v>
      </c>
      <c r="H48" s="60" t="s">
        <v>590</v>
      </c>
      <c r="I48" s="60" t="s">
        <v>834</v>
      </c>
      <c r="L48" s="354">
        <v>45170</v>
      </c>
      <c r="M48" s="63" t="s">
        <v>5296</v>
      </c>
      <c r="N48" s="63" t="s">
        <v>818</v>
      </c>
      <c r="O48" s="793">
        <v>8.7500000000000008E-2</v>
      </c>
      <c r="T48" s="121" t="s">
        <v>4411</v>
      </c>
      <c r="U48" s="587">
        <v>0.51923076923076927</v>
      </c>
      <c r="V48" s="792">
        <v>0.55769230769230771</v>
      </c>
    </row>
    <row r="49" spans="2:22" ht="15" thickBot="1" x14ac:dyDescent="0.35">
      <c r="B49" s="2">
        <v>46</v>
      </c>
      <c r="C49" s="2">
        <v>45</v>
      </c>
      <c r="D49" s="2" t="s">
        <v>6086</v>
      </c>
      <c r="E49" s="4">
        <v>45338</v>
      </c>
      <c r="F49" s="2" t="s">
        <v>18</v>
      </c>
      <c r="G49" s="2" t="s">
        <v>16</v>
      </c>
      <c r="H49" s="60">
        <v>0.12638888888888888</v>
      </c>
      <c r="I49" s="60"/>
      <c r="L49" s="355">
        <v>45176</v>
      </c>
      <c r="M49" s="429" t="s">
        <v>6076</v>
      </c>
      <c r="N49" s="429" t="s">
        <v>818</v>
      </c>
      <c r="O49" s="794" t="s">
        <v>171</v>
      </c>
      <c r="T49" s="121" t="s">
        <v>4412</v>
      </c>
      <c r="U49" s="587">
        <v>0.38461538461538464</v>
      </c>
      <c r="V49" s="792">
        <v>0.53846153846153844</v>
      </c>
    </row>
    <row r="50" spans="2:22" ht="15" thickBot="1" x14ac:dyDescent="0.35">
      <c r="B50" s="2">
        <v>47</v>
      </c>
      <c r="C50" s="2">
        <v>46</v>
      </c>
      <c r="D50" s="2" t="s">
        <v>334</v>
      </c>
      <c r="E50" s="4">
        <v>45340</v>
      </c>
      <c r="F50" s="2" t="s">
        <v>19</v>
      </c>
      <c r="G50" s="2" t="s">
        <v>16</v>
      </c>
      <c r="H50" s="60">
        <v>8.6805555555555566E-2</v>
      </c>
      <c r="I50" s="60"/>
      <c r="L50" s="519"/>
      <c r="M50" s="63"/>
      <c r="N50" s="63"/>
      <c r="O50" s="60"/>
      <c r="T50" s="790" t="s">
        <v>4413</v>
      </c>
      <c r="U50" s="791">
        <v>0.375</v>
      </c>
      <c r="V50" s="396">
        <v>0.609375</v>
      </c>
    </row>
    <row r="51" spans="2:22" ht="15" thickBot="1" x14ac:dyDescent="0.35">
      <c r="B51" s="2">
        <v>48</v>
      </c>
      <c r="C51" s="2">
        <v>48</v>
      </c>
      <c r="D51" s="2" t="s">
        <v>6091</v>
      </c>
      <c r="E51" s="4">
        <v>45345</v>
      </c>
      <c r="F51" s="2" t="s">
        <v>18</v>
      </c>
      <c r="G51" s="2" t="s">
        <v>16</v>
      </c>
      <c r="H51" s="60">
        <v>0.29444444444444445</v>
      </c>
      <c r="I51" s="60"/>
      <c r="L51" s="519"/>
      <c r="M51" s="63"/>
      <c r="N51" s="63"/>
      <c r="O51" s="60"/>
      <c r="T51" s="240" t="s">
        <v>5592</v>
      </c>
      <c r="U51" s="918">
        <f>17/57</f>
        <v>0.2982456140350877</v>
      </c>
      <c r="V51" s="918">
        <f>22/57</f>
        <v>0.38596491228070173</v>
      </c>
    </row>
    <row r="52" spans="2:22" ht="15" thickBot="1" x14ac:dyDescent="0.35">
      <c r="B52" s="2">
        <v>49</v>
      </c>
      <c r="C52" s="2">
        <v>49</v>
      </c>
      <c r="D52" s="2" t="s">
        <v>325</v>
      </c>
      <c r="E52" s="4">
        <v>45347</v>
      </c>
      <c r="F52" s="2" t="s">
        <v>19</v>
      </c>
      <c r="G52" s="2" t="s">
        <v>17</v>
      </c>
      <c r="H52" s="60">
        <v>0.13055555555555556</v>
      </c>
      <c r="I52" s="60" t="s">
        <v>834</v>
      </c>
      <c r="L52" s="519"/>
      <c r="M52" s="63"/>
      <c r="N52" s="63"/>
      <c r="O52" s="60"/>
      <c r="P52" s="2"/>
      <c r="T52" s="240" t="s">
        <v>5398</v>
      </c>
      <c r="U52" s="918">
        <v>0.55072463768115898</v>
      </c>
      <c r="V52" s="918">
        <v>0.28985507246376802</v>
      </c>
    </row>
    <row r="53" spans="2:22" x14ac:dyDescent="0.3">
      <c r="B53" s="2">
        <v>50</v>
      </c>
      <c r="C53" s="2">
        <v>50</v>
      </c>
      <c r="D53" s="2" t="s">
        <v>332</v>
      </c>
      <c r="E53" s="4">
        <v>45349</v>
      </c>
      <c r="F53" s="2" t="s">
        <v>20</v>
      </c>
      <c r="G53" s="2" t="s">
        <v>16</v>
      </c>
      <c r="H53" s="60">
        <v>1.3888888888888889E-3</v>
      </c>
      <c r="I53" s="60" t="s">
        <v>834</v>
      </c>
      <c r="O53" s="428">
        <v>0.9277777777777777</v>
      </c>
      <c r="P53" t="s">
        <v>580</v>
      </c>
    </row>
    <row r="54" spans="2:22" x14ac:dyDescent="0.3">
      <c r="B54" s="2">
        <v>51</v>
      </c>
      <c r="C54" s="2">
        <v>51</v>
      </c>
      <c r="D54" s="2" t="s">
        <v>328</v>
      </c>
      <c r="E54" s="4">
        <v>45352</v>
      </c>
      <c r="F54" s="2" t="s">
        <v>18</v>
      </c>
      <c r="G54" s="2" t="s">
        <v>17</v>
      </c>
      <c r="H54" s="60">
        <v>0.21111111111111111</v>
      </c>
      <c r="I54" s="60" t="s">
        <v>834</v>
      </c>
      <c r="O54" s="60">
        <v>0.67222222222222217</v>
      </c>
      <c r="P54" t="s">
        <v>821</v>
      </c>
    </row>
    <row r="55" spans="2:22" x14ac:dyDescent="0.3">
      <c r="B55" s="2">
        <v>52</v>
      </c>
      <c r="C55" s="2">
        <v>52</v>
      </c>
      <c r="D55" s="2" t="s">
        <v>626</v>
      </c>
      <c r="E55" s="4">
        <v>45354</v>
      </c>
      <c r="F55" s="2" t="s">
        <v>19</v>
      </c>
      <c r="G55" s="2" t="s">
        <v>16</v>
      </c>
      <c r="H55" s="60" t="s">
        <v>159</v>
      </c>
      <c r="I55" s="60" t="s">
        <v>834</v>
      </c>
    </row>
    <row r="56" spans="2:22" x14ac:dyDescent="0.3">
      <c r="B56" s="2">
        <v>53</v>
      </c>
      <c r="C56" s="2" t="s">
        <v>5728</v>
      </c>
      <c r="D56" s="2" t="s">
        <v>331</v>
      </c>
      <c r="E56" s="4">
        <v>45357</v>
      </c>
      <c r="F56" s="2" t="s">
        <v>21</v>
      </c>
      <c r="G56" s="2" t="s">
        <v>17</v>
      </c>
      <c r="H56" s="60">
        <v>0.16805555555555557</v>
      </c>
      <c r="I56" s="60" t="s">
        <v>834</v>
      </c>
    </row>
    <row r="57" spans="2:22" x14ac:dyDescent="0.3">
      <c r="B57" s="2">
        <v>54</v>
      </c>
      <c r="C57" s="2" t="s">
        <v>5729</v>
      </c>
      <c r="D57" s="2" t="s">
        <v>331</v>
      </c>
      <c r="E57" s="4">
        <v>45358</v>
      </c>
      <c r="F57" s="2" t="s">
        <v>22</v>
      </c>
      <c r="G57" s="2" t="s">
        <v>17</v>
      </c>
      <c r="H57" s="60">
        <v>0.1673611111111111</v>
      </c>
      <c r="I57" s="60" t="s">
        <v>834</v>
      </c>
    </row>
    <row r="58" spans="2:22" x14ac:dyDescent="0.3">
      <c r="B58" s="2">
        <v>55</v>
      </c>
      <c r="C58" s="2" t="s">
        <v>5730</v>
      </c>
      <c r="D58" s="2" t="s">
        <v>331</v>
      </c>
      <c r="E58" s="4">
        <v>45360</v>
      </c>
      <c r="F58" s="2" t="s">
        <v>23</v>
      </c>
      <c r="G58" s="2" t="s">
        <v>16</v>
      </c>
      <c r="H58" s="60" t="s">
        <v>160</v>
      </c>
      <c r="I58" s="60" t="s">
        <v>834</v>
      </c>
    </row>
    <row r="59" spans="2:22" ht="16.5" customHeight="1" x14ac:dyDescent="0.3">
      <c r="B59" s="2">
        <v>56</v>
      </c>
      <c r="C59" s="2" t="s">
        <v>5766</v>
      </c>
      <c r="D59" s="2" t="s">
        <v>6179</v>
      </c>
      <c r="E59" s="4">
        <v>45368</v>
      </c>
      <c r="F59" s="2" t="s">
        <v>19</v>
      </c>
      <c r="G59" s="2" t="s">
        <v>16</v>
      </c>
      <c r="H59" s="60" t="s">
        <v>355</v>
      </c>
      <c r="I59" s="60"/>
    </row>
    <row r="60" spans="2:22" x14ac:dyDescent="0.3">
      <c r="B60" s="2">
        <v>57</v>
      </c>
      <c r="C60" s="2" t="s">
        <v>5767</v>
      </c>
      <c r="D60" s="2" t="s">
        <v>6179</v>
      </c>
      <c r="E60" s="4">
        <v>45369</v>
      </c>
      <c r="F60" s="2" t="s">
        <v>1250</v>
      </c>
      <c r="G60" s="2" t="s">
        <v>16</v>
      </c>
      <c r="H60" s="60">
        <v>0.20902777777777778</v>
      </c>
      <c r="I60" s="60"/>
    </row>
    <row r="61" spans="2:22" x14ac:dyDescent="0.3">
      <c r="B61" s="2">
        <v>58</v>
      </c>
      <c r="C61" s="2" t="s">
        <v>5768</v>
      </c>
      <c r="D61" s="2" t="s">
        <v>6179</v>
      </c>
      <c r="E61" s="4">
        <v>45372</v>
      </c>
      <c r="F61" s="2" t="s">
        <v>22</v>
      </c>
      <c r="G61" s="2" t="s">
        <v>17</v>
      </c>
      <c r="H61" s="60">
        <v>0.12777777777777777</v>
      </c>
      <c r="I61" s="60"/>
    </row>
    <row r="62" spans="2:22" x14ac:dyDescent="0.3">
      <c r="B62" s="2">
        <v>59</v>
      </c>
      <c r="C62" s="2" t="s">
        <v>5769</v>
      </c>
      <c r="D62" s="2" t="s">
        <v>6179</v>
      </c>
      <c r="E62" s="4">
        <v>45373</v>
      </c>
      <c r="F62" s="2" t="s">
        <v>18</v>
      </c>
      <c r="G62" s="2" t="s">
        <v>17</v>
      </c>
      <c r="H62" s="60">
        <v>4.5138888888888888E-2</v>
      </c>
      <c r="I62" s="60"/>
    </row>
    <row r="63" spans="2:22" x14ac:dyDescent="0.3">
      <c r="B63" s="2">
        <v>60</v>
      </c>
      <c r="C63" s="2" t="s">
        <v>5799</v>
      </c>
      <c r="D63" s="2" t="s">
        <v>6179</v>
      </c>
      <c r="E63" s="4">
        <v>45375</v>
      </c>
      <c r="F63" s="2" t="s">
        <v>19</v>
      </c>
      <c r="G63" s="2" t="s">
        <v>16</v>
      </c>
      <c r="H63" s="60" t="s">
        <v>160</v>
      </c>
      <c r="I63" s="60"/>
    </row>
    <row r="64" spans="2:22" x14ac:dyDescent="0.3">
      <c r="B64" s="2">
        <v>61</v>
      </c>
      <c r="C64" s="2" t="s">
        <v>5800</v>
      </c>
      <c r="D64" s="2" t="s">
        <v>6179</v>
      </c>
      <c r="E64" s="4">
        <v>45377</v>
      </c>
      <c r="F64" s="2" t="s">
        <v>20</v>
      </c>
      <c r="G64" s="2" t="s">
        <v>17</v>
      </c>
      <c r="H64" s="60">
        <v>0.1673611111111111</v>
      </c>
      <c r="I64" s="60" t="s">
        <v>834</v>
      </c>
    </row>
    <row r="65" spans="1:22" x14ac:dyDescent="0.3">
      <c r="B65" s="2">
        <v>62</v>
      </c>
      <c r="C65" s="2" t="s">
        <v>5801</v>
      </c>
      <c r="D65" s="2" t="s">
        <v>327</v>
      </c>
      <c r="E65" s="4">
        <v>45382</v>
      </c>
      <c r="F65" s="2" t="s">
        <v>19</v>
      </c>
      <c r="G65" s="2" t="s">
        <v>16</v>
      </c>
      <c r="H65" s="60">
        <v>4.3055555555555555E-2</v>
      </c>
      <c r="I65" s="60"/>
    </row>
    <row r="66" spans="1:22" x14ac:dyDescent="0.3">
      <c r="B66" s="2">
        <v>63</v>
      </c>
      <c r="C66" s="2" t="s">
        <v>5802</v>
      </c>
      <c r="D66" s="2" t="s">
        <v>327</v>
      </c>
      <c r="E66" s="4">
        <v>45383</v>
      </c>
      <c r="F66" s="2" t="s">
        <v>1250</v>
      </c>
      <c r="G66" s="2" t="s">
        <v>16</v>
      </c>
      <c r="H66" s="60">
        <v>2.0833333333333333E-3</v>
      </c>
      <c r="I66" s="60"/>
    </row>
    <row r="67" spans="1:22" x14ac:dyDescent="0.3">
      <c r="B67" s="2">
        <v>64</v>
      </c>
      <c r="C67" s="2" t="s">
        <v>5803</v>
      </c>
      <c r="D67" s="2" t="s">
        <v>327</v>
      </c>
      <c r="E67" s="4">
        <v>45386</v>
      </c>
      <c r="F67" s="2" t="s">
        <v>22</v>
      </c>
      <c r="G67" s="2" t="s">
        <v>17</v>
      </c>
      <c r="H67" s="60">
        <v>8.5416666666666669E-2</v>
      </c>
      <c r="I67" s="60" t="s">
        <v>834</v>
      </c>
    </row>
    <row r="68" spans="1:22" x14ac:dyDescent="0.3">
      <c r="B68" s="2">
        <v>65</v>
      </c>
      <c r="C68" s="2" t="s">
        <v>5804</v>
      </c>
      <c r="D68" s="2" t="s">
        <v>327</v>
      </c>
      <c r="E68" s="4">
        <v>45387</v>
      </c>
      <c r="F68" s="2" t="s">
        <v>18</v>
      </c>
      <c r="G68" s="2" t="s">
        <v>17</v>
      </c>
      <c r="H68" s="60">
        <v>0.21249999999999999</v>
      </c>
      <c r="I68" s="60" t="s">
        <v>834</v>
      </c>
    </row>
    <row r="69" spans="1:22" x14ac:dyDescent="0.3">
      <c r="B69" s="2"/>
      <c r="E69" s="4"/>
      <c r="H69" s="60"/>
      <c r="I69" s="60"/>
    </row>
    <row r="70" spans="1:22" ht="15" thickBot="1" x14ac:dyDescent="0.35">
      <c r="B70" s="2"/>
      <c r="E70" s="4"/>
      <c r="H70" s="60"/>
      <c r="I70" s="60"/>
    </row>
    <row r="71" spans="1:22" ht="15" thickBot="1" x14ac:dyDescent="0.35">
      <c r="B71" s="2"/>
      <c r="E71" s="295">
        <f>I71/(E90+3)</f>
        <v>0.61818181818181817</v>
      </c>
      <c r="F71" s="296" t="s">
        <v>1121</v>
      </c>
      <c r="G71" s="297"/>
      <c r="H71" s="298"/>
      <c r="I71" s="520">
        <f>MAX(B4:B68)-(COUNTBLANK(I4:I68))</f>
        <v>34</v>
      </c>
    </row>
    <row r="72" spans="1:22" ht="15" thickBot="1" x14ac:dyDescent="0.35">
      <c r="B72" s="2"/>
      <c r="E72"/>
      <c r="F72"/>
      <c r="G72"/>
      <c r="H72"/>
    </row>
    <row r="73" spans="1:22" x14ac:dyDescent="0.3">
      <c r="B73" s="1167" t="s">
        <v>5668</v>
      </c>
      <c r="C73" s="1168"/>
      <c r="D73" s="1168"/>
      <c r="E73" s="1168"/>
      <c r="F73" s="1168"/>
      <c r="G73" s="1168"/>
      <c r="H73" s="1169"/>
      <c r="L73" s="2"/>
      <c r="M73" s="2"/>
      <c r="N73" s="2"/>
    </row>
    <row r="74" spans="1:22" s="2" customFormat="1" ht="15" thickBot="1" x14ac:dyDescent="0.35">
      <c r="A74"/>
      <c r="B74" s="201"/>
      <c r="C74" s="202" t="s">
        <v>16</v>
      </c>
      <c r="D74" s="202" t="s">
        <v>793</v>
      </c>
      <c r="E74" s="202" t="s">
        <v>794</v>
      </c>
      <c r="F74" s="202" t="s">
        <v>743</v>
      </c>
      <c r="G74" s="202" t="s">
        <v>796</v>
      </c>
      <c r="H74" s="203" t="s">
        <v>795</v>
      </c>
      <c r="J74"/>
      <c r="K74"/>
      <c r="Q74"/>
      <c r="R74"/>
      <c r="S74"/>
      <c r="T74"/>
      <c r="U74"/>
      <c r="V74"/>
    </row>
    <row r="75" spans="1:22" s="2" customFormat="1" x14ac:dyDescent="0.3">
      <c r="A75"/>
      <c r="B75" s="204" t="s">
        <v>792</v>
      </c>
      <c r="C75" s="205">
        <f>C76+C77</f>
        <v>9</v>
      </c>
      <c r="D75" s="205">
        <f t="shared" ref="D75:F75" si="0">D76+D77</f>
        <v>2</v>
      </c>
      <c r="E75" s="205">
        <f t="shared" si="0"/>
        <v>0</v>
      </c>
      <c r="F75" s="205">
        <f t="shared" si="0"/>
        <v>2</v>
      </c>
      <c r="G75" s="589">
        <f>G76+G77</f>
        <v>31</v>
      </c>
      <c r="H75" s="274">
        <v>2.1062499999999997</v>
      </c>
      <c r="I75" s="243"/>
      <c r="J75"/>
      <c r="K75"/>
      <c r="Q75"/>
      <c r="R75"/>
      <c r="S75"/>
      <c r="T75"/>
      <c r="U75"/>
      <c r="V75"/>
    </row>
    <row r="76" spans="1:22" s="2" customFormat="1" x14ac:dyDescent="0.3">
      <c r="A76"/>
      <c r="B76" s="198" t="s">
        <v>797</v>
      </c>
      <c r="C76" s="183">
        <v>7</v>
      </c>
      <c r="D76" s="183">
        <v>1</v>
      </c>
      <c r="E76" s="183">
        <v>0</v>
      </c>
      <c r="F76" s="183">
        <v>0</v>
      </c>
      <c r="G76" s="383">
        <f>C76*3+D76*2+E76</f>
        <v>23</v>
      </c>
      <c r="H76" s="400">
        <v>1.5979166666666667</v>
      </c>
      <c r="I76" s="60"/>
      <c r="J76"/>
      <c r="K76"/>
      <c r="Q76"/>
      <c r="R76"/>
      <c r="S76"/>
      <c r="T76"/>
      <c r="U76"/>
      <c r="V76"/>
    </row>
    <row r="77" spans="1:22" s="2" customFormat="1" ht="15" thickBot="1" x14ac:dyDescent="0.35">
      <c r="A77"/>
      <c r="B77" s="199" t="s">
        <v>798</v>
      </c>
      <c r="C77" s="200">
        <v>2</v>
      </c>
      <c r="D77" s="200">
        <v>1</v>
      </c>
      <c r="E77" s="200">
        <v>0</v>
      </c>
      <c r="F77" s="200">
        <v>2</v>
      </c>
      <c r="G77" s="384">
        <f>C77*3+D77*2+E77</f>
        <v>8</v>
      </c>
      <c r="H77" s="249">
        <v>0.5083333333333333</v>
      </c>
      <c r="I77" s="244"/>
      <c r="J77"/>
      <c r="K77"/>
      <c r="L77"/>
      <c r="M77"/>
      <c r="N77"/>
      <c r="Q77"/>
      <c r="R77"/>
      <c r="S77"/>
      <c r="T77"/>
      <c r="U77"/>
      <c r="V77"/>
    </row>
    <row r="78" spans="1:22" s="2" customFormat="1" x14ac:dyDescent="0.3">
      <c r="A78"/>
      <c r="B78" s="594" t="s">
        <v>799</v>
      </c>
      <c r="C78" s="595">
        <f>C79+C80</f>
        <v>3</v>
      </c>
      <c r="D78" s="595">
        <f t="shared" ref="D78:F78" si="1">D79+D80</f>
        <v>1</v>
      </c>
      <c r="E78" s="595">
        <f t="shared" si="1"/>
        <v>1</v>
      </c>
      <c r="F78" s="595">
        <f t="shared" si="1"/>
        <v>8</v>
      </c>
      <c r="G78" s="910">
        <f>G79+G80</f>
        <v>12</v>
      </c>
      <c r="H78" s="591">
        <v>1.1541666666666666</v>
      </c>
      <c r="I78" s="243"/>
      <c r="J78"/>
      <c r="K78"/>
      <c r="L78"/>
      <c r="M78"/>
      <c r="N78"/>
      <c r="P78"/>
      <c r="Q78"/>
      <c r="R78"/>
      <c r="S78"/>
      <c r="T78"/>
      <c r="U78"/>
      <c r="V78"/>
    </row>
    <row r="79" spans="1:22" s="2" customFormat="1" x14ac:dyDescent="0.3">
      <c r="A79"/>
      <c r="B79" s="198" t="s">
        <v>797</v>
      </c>
      <c r="C79" s="183">
        <v>3</v>
      </c>
      <c r="D79" s="183">
        <v>0</v>
      </c>
      <c r="E79" s="183">
        <v>1</v>
      </c>
      <c r="F79" s="183">
        <v>1</v>
      </c>
      <c r="G79" s="383">
        <f>C79*3+D79*2+E79</f>
        <v>10</v>
      </c>
      <c r="H79" s="400">
        <v>0.71666666666666667</v>
      </c>
      <c r="I79" s="244"/>
      <c r="J79"/>
      <c r="K79"/>
      <c r="L79"/>
      <c r="M79"/>
      <c r="N79"/>
      <c r="P79"/>
      <c r="Q79"/>
      <c r="R79"/>
      <c r="S79"/>
      <c r="T79"/>
      <c r="U79"/>
      <c r="V79"/>
    </row>
    <row r="80" spans="1:22" s="2" customFormat="1" ht="15" thickBot="1" x14ac:dyDescent="0.35">
      <c r="A80"/>
      <c r="B80" s="199" t="s">
        <v>798</v>
      </c>
      <c r="C80" s="200">
        <v>0</v>
      </c>
      <c r="D80" s="200">
        <v>1</v>
      </c>
      <c r="E80" s="200">
        <v>0</v>
      </c>
      <c r="F80" s="200">
        <v>7</v>
      </c>
      <c r="G80" s="384">
        <f>C80*3+D80*2+E80</f>
        <v>2</v>
      </c>
      <c r="H80" s="249">
        <v>0.4375</v>
      </c>
      <c r="I80" s="244"/>
      <c r="J80"/>
      <c r="K80"/>
      <c r="L80"/>
      <c r="M80"/>
      <c r="N80"/>
      <c r="P80"/>
      <c r="Q80"/>
      <c r="R80"/>
      <c r="S80"/>
      <c r="T80"/>
      <c r="U80"/>
      <c r="V80"/>
    </row>
    <row r="81" spans="1:22" s="2" customFormat="1" x14ac:dyDescent="0.3">
      <c r="A81"/>
      <c r="B81" s="594" t="s">
        <v>800</v>
      </c>
      <c r="C81" s="595">
        <f>C82+C83</f>
        <v>6</v>
      </c>
      <c r="D81" s="595">
        <f t="shared" ref="D81:F81" si="2">D82+D83</f>
        <v>1</v>
      </c>
      <c r="E81" s="595">
        <f t="shared" si="2"/>
        <v>2</v>
      </c>
      <c r="F81" s="595">
        <f t="shared" si="2"/>
        <v>4</v>
      </c>
      <c r="G81" s="595">
        <f>G82+G83</f>
        <v>22</v>
      </c>
      <c r="H81" s="591">
        <v>1.7743055555555556</v>
      </c>
      <c r="I81" s="243"/>
      <c r="J81"/>
      <c r="K81"/>
      <c r="L81"/>
      <c r="M81"/>
      <c r="N81"/>
      <c r="P81"/>
      <c r="Q81"/>
      <c r="R81"/>
      <c r="S81"/>
      <c r="T81"/>
      <c r="U81"/>
      <c r="V81"/>
    </row>
    <row r="82" spans="1:22" s="2" customFormat="1" x14ac:dyDescent="0.3">
      <c r="A82"/>
      <c r="B82" s="198" t="s">
        <v>797</v>
      </c>
      <c r="C82" s="183">
        <v>4</v>
      </c>
      <c r="D82" s="183">
        <v>1</v>
      </c>
      <c r="E82" s="183">
        <v>1</v>
      </c>
      <c r="F82" s="183">
        <v>1</v>
      </c>
      <c r="G82" s="383">
        <f>C82*3+D82*2+E82</f>
        <v>15</v>
      </c>
      <c r="H82" s="400">
        <v>1.1812500000000001</v>
      </c>
      <c r="I82" s="244"/>
      <c r="J82"/>
      <c r="K82"/>
      <c r="L82"/>
      <c r="M82"/>
      <c r="N82"/>
      <c r="P82"/>
      <c r="Q82"/>
      <c r="R82"/>
      <c r="S82"/>
      <c r="T82"/>
      <c r="U82"/>
      <c r="V82"/>
    </row>
    <row r="83" spans="1:22" s="2" customFormat="1" ht="15" thickBot="1" x14ac:dyDescent="0.35">
      <c r="A83"/>
      <c r="B83" s="199" t="s">
        <v>798</v>
      </c>
      <c r="C83" s="200">
        <v>2</v>
      </c>
      <c r="D83" s="200">
        <v>0</v>
      </c>
      <c r="E83" s="200">
        <v>1</v>
      </c>
      <c r="F83" s="200">
        <v>3</v>
      </c>
      <c r="G83" s="384">
        <f>C83*3+D83*2+E83</f>
        <v>7</v>
      </c>
      <c r="H83" s="249">
        <v>0.6381944444444444</v>
      </c>
      <c r="I83" s="244"/>
      <c r="J83"/>
      <c r="K83"/>
      <c r="L83"/>
      <c r="M83"/>
      <c r="N83"/>
      <c r="P83"/>
      <c r="Q83"/>
      <c r="R83"/>
      <c r="S83"/>
      <c r="T83"/>
      <c r="U83"/>
      <c r="V83"/>
    </row>
    <row r="84" spans="1:22" s="2" customFormat="1" x14ac:dyDescent="0.3">
      <c r="A84"/>
      <c r="B84" s="204" t="s">
        <v>801</v>
      </c>
      <c r="C84" s="205">
        <f>C85+C86</f>
        <v>5</v>
      </c>
      <c r="D84" s="205">
        <f>D85+D86</f>
        <v>1</v>
      </c>
      <c r="E84" s="205">
        <f t="shared" ref="E84:F84" si="3">E85+E86</f>
        <v>1</v>
      </c>
      <c r="F84" s="205">
        <f t="shared" si="3"/>
        <v>6</v>
      </c>
      <c r="G84" s="205">
        <f>G85+G86</f>
        <v>18</v>
      </c>
      <c r="H84" s="274">
        <v>1.8263888888888891</v>
      </c>
      <c r="I84" s="243"/>
      <c r="J84"/>
      <c r="K84"/>
      <c r="L84"/>
      <c r="M84"/>
      <c r="N84"/>
      <c r="P84"/>
      <c r="Q84"/>
      <c r="R84"/>
      <c r="S84"/>
      <c r="T84"/>
      <c r="U84"/>
      <c r="V84"/>
    </row>
    <row r="85" spans="1:22" s="2" customFormat="1" x14ac:dyDescent="0.3">
      <c r="A85"/>
      <c r="B85" s="198" t="s">
        <v>797</v>
      </c>
      <c r="C85" s="183">
        <v>2</v>
      </c>
      <c r="D85" s="183">
        <v>0</v>
      </c>
      <c r="E85" s="183">
        <v>1</v>
      </c>
      <c r="F85" s="183">
        <v>3</v>
      </c>
      <c r="G85" s="383">
        <f>C85*3+D85*2+E85</f>
        <v>7</v>
      </c>
      <c r="H85" s="229">
        <v>0.85069444444444453</v>
      </c>
      <c r="I85" s="244"/>
      <c r="J85"/>
      <c r="K85"/>
      <c r="L85"/>
      <c r="M85"/>
      <c r="N85"/>
      <c r="P85"/>
      <c r="Q85"/>
      <c r="R85"/>
      <c r="S85"/>
      <c r="T85"/>
      <c r="U85"/>
      <c r="V85"/>
    </row>
    <row r="86" spans="1:22" s="2" customFormat="1" ht="15" thickBot="1" x14ac:dyDescent="0.35">
      <c r="A86"/>
      <c r="B86" s="592" t="s">
        <v>798</v>
      </c>
      <c r="C86" s="202">
        <v>3</v>
      </c>
      <c r="D86" s="202">
        <v>1</v>
      </c>
      <c r="E86" s="202">
        <v>0</v>
      </c>
      <c r="F86" s="202">
        <v>3</v>
      </c>
      <c r="G86" s="593">
        <f t="shared" ref="G86" si="4">C86*3+D86*2+E86</f>
        <v>11</v>
      </c>
      <c r="H86" s="590">
        <v>0.97569444444444453</v>
      </c>
      <c r="I86" s="244"/>
      <c r="J86"/>
      <c r="K86"/>
      <c r="L86"/>
      <c r="M86"/>
      <c r="N86"/>
      <c r="P86"/>
      <c r="Q86"/>
      <c r="R86"/>
      <c r="S86"/>
      <c r="T86"/>
      <c r="U86"/>
      <c r="V86"/>
    </row>
    <row r="87" spans="1:22" s="2" customFormat="1" x14ac:dyDescent="0.3">
      <c r="A87"/>
      <c r="B87" s="220" t="s">
        <v>804</v>
      </c>
      <c r="C87" s="221">
        <f>C75+C78+C81+C84</f>
        <v>23</v>
      </c>
      <c r="D87" s="221">
        <f t="shared" ref="D87:E89" si="5">D75+D78+D81+D84</f>
        <v>5</v>
      </c>
      <c r="E87" s="221">
        <f t="shared" si="5"/>
        <v>4</v>
      </c>
      <c r="F87" s="221">
        <f>F75+F78+F81+F84</f>
        <v>20</v>
      </c>
      <c r="G87" s="563">
        <f>C87*3+D87*2+E87</f>
        <v>83</v>
      </c>
      <c r="H87" s="274" t="s">
        <v>5727</v>
      </c>
      <c r="I87" s="243"/>
      <c r="J87"/>
      <c r="K87"/>
      <c r="L87"/>
      <c r="M87"/>
      <c r="N87"/>
      <c r="P87"/>
      <c r="Q87"/>
      <c r="R87"/>
      <c r="S87"/>
      <c r="T87"/>
      <c r="U87"/>
      <c r="V87"/>
    </row>
    <row r="88" spans="1:22" s="2" customFormat="1" x14ac:dyDescent="0.3">
      <c r="A88"/>
      <c r="B88" s="223" t="s">
        <v>797</v>
      </c>
      <c r="C88" s="224">
        <f>C76+C79+C82+C85</f>
        <v>16</v>
      </c>
      <c r="D88" s="224">
        <f t="shared" si="5"/>
        <v>2</v>
      </c>
      <c r="E88" s="224">
        <f t="shared" si="5"/>
        <v>3</v>
      </c>
      <c r="F88" s="224">
        <f>F76+F79+F82+F85</f>
        <v>5</v>
      </c>
      <c r="G88" s="256">
        <f>C88*3+D88*2+E88</f>
        <v>55</v>
      </c>
      <c r="H88" s="400" t="s">
        <v>5726</v>
      </c>
      <c r="I88" s="60"/>
      <c r="J88"/>
      <c r="K88"/>
      <c r="L88"/>
      <c r="M88"/>
      <c r="N88"/>
      <c r="P88"/>
      <c r="Q88"/>
      <c r="R88"/>
      <c r="S88"/>
      <c r="T88"/>
      <c r="U88"/>
      <c r="V88"/>
    </row>
    <row r="89" spans="1:22" s="2" customFormat="1" ht="15" thickBot="1" x14ac:dyDescent="0.35">
      <c r="A89"/>
      <c r="B89" s="226" t="s">
        <v>798</v>
      </c>
      <c r="C89" s="227">
        <f>C77+C80+C83+C86</f>
        <v>7</v>
      </c>
      <c r="D89" s="227">
        <f t="shared" si="5"/>
        <v>3</v>
      </c>
      <c r="E89" s="227">
        <f t="shared" si="5"/>
        <v>1</v>
      </c>
      <c r="F89" s="227">
        <f>F77+F80+F83+F86</f>
        <v>15</v>
      </c>
      <c r="G89" s="258">
        <f>C89*3+D89*2+E89</f>
        <v>28</v>
      </c>
      <c r="H89" s="400" t="s">
        <v>2433</v>
      </c>
      <c r="I89" s="244"/>
      <c r="J89"/>
      <c r="K89"/>
      <c r="L89"/>
      <c r="M89"/>
      <c r="N89"/>
      <c r="P89"/>
      <c r="Q89"/>
      <c r="R89"/>
      <c r="S89"/>
      <c r="T89"/>
      <c r="U89"/>
      <c r="V89"/>
    </row>
    <row r="90" spans="1:22" x14ac:dyDescent="0.3">
      <c r="B90" s="2" t="s">
        <v>811</v>
      </c>
      <c r="C90" s="8" t="s">
        <v>812</v>
      </c>
      <c r="E90" s="2">
        <f>C87+D87+E87+F87</f>
        <v>52</v>
      </c>
    </row>
    <row r="99" spans="3:18" x14ac:dyDescent="0.3">
      <c r="C99"/>
      <c r="D99"/>
      <c r="E99"/>
      <c r="K99" s="2"/>
      <c r="L99" s="130"/>
      <c r="M99" s="130"/>
      <c r="N99" s="130"/>
    </row>
    <row r="100" spans="3:18" x14ac:dyDescent="0.3">
      <c r="C100"/>
      <c r="D100"/>
      <c r="E100"/>
      <c r="K100" s="129"/>
      <c r="L100" s="130"/>
      <c r="M100" s="130"/>
      <c r="N100" s="60"/>
    </row>
    <row r="101" spans="3:18" x14ac:dyDescent="0.3">
      <c r="C101"/>
      <c r="D101"/>
      <c r="E101"/>
      <c r="K101" s="129"/>
      <c r="L101" s="130"/>
      <c r="M101" s="130"/>
      <c r="N101" s="130"/>
      <c r="Q101" s="2"/>
    </row>
    <row r="102" spans="3:18" x14ac:dyDescent="0.3">
      <c r="C102"/>
      <c r="D102"/>
      <c r="E102"/>
      <c r="F102"/>
      <c r="G102"/>
      <c r="H102"/>
      <c r="I102"/>
      <c r="K102" s="2"/>
      <c r="Q102" s="130"/>
      <c r="R102" s="129"/>
    </row>
    <row r="103" spans="3:18" x14ac:dyDescent="0.3">
      <c r="C103"/>
      <c r="D103"/>
      <c r="E103"/>
      <c r="F103"/>
      <c r="G103"/>
      <c r="H103"/>
      <c r="I103"/>
      <c r="L103" s="60"/>
      <c r="M103" s="2"/>
      <c r="N103" s="60"/>
      <c r="Q103" s="130"/>
      <c r="R103" s="129"/>
    </row>
    <row r="104" spans="3:18" x14ac:dyDescent="0.3">
      <c r="C104"/>
      <c r="D104"/>
      <c r="E104"/>
      <c r="F104"/>
      <c r="G104"/>
      <c r="H104"/>
      <c r="I104"/>
      <c r="K104" s="2"/>
      <c r="L104" s="2"/>
      <c r="M104" s="2"/>
      <c r="N104" s="60"/>
      <c r="O104" s="130"/>
      <c r="P104" s="2"/>
      <c r="Q104" s="130"/>
      <c r="R104" s="129"/>
    </row>
    <row r="105" spans="3:18" x14ac:dyDescent="0.3">
      <c r="C105"/>
      <c r="D105"/>
      <c r="E105"/>
      <c r="F105"/>
      <c r="G105"/>
      <c r="H105"/>
      <c r="I105"/>
      <c r="K105" s="2"/>
      <c r="L105" s="60"/>
      <c r="M105" s="60"/>
      <c r="N105" s="2"/>
      <c r="O105" s="130"/>
      <c r="P105" s="130"/>
    </row>
    <row r="106" spans="3:18" x14ac:dyDescent="0.3">
      <c r="C106"/>
      <c r="D106"/>
      <c r="E106"/>
      <c r="F106"/>
      <c r="G106"/>
      <c r="H106"/>
      <c r="I106"/>
      <c r="K106" s="2"/>
      <c r="O106" s="130"/>
      <c r="P106" s="130"/>
      <c r="Q106" s="130"/>
      <c r="R106" s="129"/>
    </row>
    <row r="107" spans="3:18" x14ac:dyDescent="0.3">
      <c r="C107"/>
      <c r="D107"/>
      <c r="E107"/>
      <c r="F107"/>
      <c r="G107"/>
      <c r="H107"/>
      <c r="I107"/>
      <c r="L107" s="2"/>
      <c r="M107" s="2"/>
      <c r="P107" s="130"/>
      <c r="Q107" s="60"/>
      <c r="R107" s="129"/>
    </row>
    <row r="108" spans="3:18" x14ac:dyDescent="0.3">
      <c r="C108"/>
      <c r="D108"/>
      <c r="E108"/>
      <c r="F108"/>
      <c r="G108"/>
      <c r="H108"/>
      <c r="I108"/>
      <c r="K108" s="2"/>
      <c r="L108" s="2"/>
      <c r="M108" s="244"/>
      <c r="O108" s="130"/>
      <c r="Q108" s="60"/>
      <c r="R108" s="129"/>
    </row>
    <row r="109" spans="3:18" x14ac:dyDescent="0.3">
      <c r="C109"/>
      <c r="D109"/>
      <c r="E109"/>
      <c r="F109"/>
      <c r="G109"/>
      <c r="H109"/>
      <c r="I109"/>
      <c r="K109" s="129"/>
      <c r="L109" s="2"/>
      <c r="M109" s="244"/>
      <c r="O109" s="60"/>
      <c r="P109" s="60"/>
    </row>
    <row r="110" spans="3:18" x14ac:dyDescent="0.3">
      <c r="C110"/>
      <c r="D110"/>
      <c r="E110"/>
      <c r="F110"/>
      <c r="G110"/>
      <c r="H110"/>
      <c r="I110"/>
      <c r="K110" s="2"/>
      <c r="L110" s="2"/>
      <c r="M110" s="244"/>
      <c r="O110" s="130"/>
      <c r="P110" s="244"/>
    </row>
    <row r="111" spans="3:18" x14ac:dyDescent="0.3">
      <c r="C111"/>
      <c r="D111"/>
      <c r="E111"/>
      <c r="F111"/>
      <c r="G111"/>
      <c r="H111"/>
      <c r="I111"/>
      <c r="K111" s="129"/>
      <c r="L111" s="2"/>
      <c r="P111" s="60"/>
    </row>
    <row r="112" spans="3:18" x14ac:dyDescent="0.3">
      <c r="C112"/>
      <c r="D112"/>
      <c r="E112"/>
      <c r="F112"/>
      <c r="G112"/>
      <c r="H112"/>
      <c r="I112"/>
      <c r="K112" s="129"/>
    </row>
    <row r="113" spans="3:15" x14ac:dyDescent="0.3">
      <c r="C113"/>
      <c r="D113"/>
      <c r="E113"/>
      <c r="F113"/>
      <c r="G113"/>
      <c r="H113"/>
      <c r="I113"/>
    </row>
    <row r="114" spans="3:15" x14ac:dyDescent="0.3">
      <c r="C114"/>
      <c r="D114"/>
      <c r="E114"/>
      <c r="F114"/>
      <c r="G114"/>
      <c r="H114"/>
      <c r="I114"/>
    </row>
    <row r="115" spans="3:15" x14ac:dyDescent="0.3">
      <c r="C115"/>
      <c r="D115"/>
      <c r="E115"/>
      <c r="F115"/>
      <c r="G115"/>
      <c r="H115"/>
      <c r="I115"/>
    </row>
    <row r="116" spans="3:15" x14ac:dyDescent="0.3">
      <c r="C116"/>
      <c r="D116"/>
      <c r="E116"/>
      <c r="F116"/>
      <c r="G116"/>
      <c r="H116"/>
      <c r="I116"/>
    </row>
    <row r="117" spans="3:15" x14ac:dyDescent="0.3">
      <c r="C117"/>
      <c r="D117"/>
      <c r="E117"/>
      <c r="F117"/>
      <c r="G117"/>
      <c r="H117"/>
      <c r="I117"/>
    </row>
    <row r="118" spans="3:15" x14ac:dyDescent="0.3">
      <c r="O118"/>
    </row>
    <row r="119" spans="3:15" x14ac:dyDescent="0.3">
      <c r="O119"/>
    </row>
    <row r="120" spans="3:15" x14ac:dyDescent="0.3">
      <c r="O120"/>
    </row>
    <row r="121" spans="3:15" x14ac:dyDescent="0.3">
      <c r="O121"/>
    </row>
    <row r="122" spans="3:15" x14ac:dyDescent="0.3">
      <c r="O122"/>
    </row>
    <row r="123" spans="3:15" x14ac:dyDescent="0.3">
      <c r="O123"/>
    </row>
    <row r="124" spans="3:15" x14ac:dyDescent="0.3">
      <c r="O124"/>
    </row>
    <row r="125" spans="3:15" x14ac:dyDescent="0.3">
      <c r="O125"/>
    </row>
    <row r="126" spans="3:15" x14ac:dyDescent="0.3">
      <c r="O126"/>
    </row>
    <row r="127" spans="3:15" x14ac:dyDescent="0.3">
      <c r="O127"/>
    </row>
    <row r="128" spans="3:15" x14ac:dyDescent="0.3">
      <c r="O128"/>
    </row>
    <row r="129" spans="15:15" x14ac:dyDescent="0.3">
      <c r="O129"/>
    </row>
    <row r="130" spans="15:15" x14ac:dyDescent="0.3">
      <c r="O130"/>
    </row>
    <row r="131" spans="15:15" x14ac:dyDescent="0.3">
      <c r="O131"/>
    </row>
    <row r="132" spans="15:15" x14ac:dyDescent="0.3">
      <c r="O132"/>
    </row>
    <row r="133" spans="15:15" x14ac:dyDescent="0.3">
      <c r="O133"/>
    </row>
    <row r="134" spans="15:15" x14ac:dyDescent="0.3">
      <c r="O134"/>
    </row>
    <row r="135" spans="15:15" x14ac:dyDescent="0.3">
      <c r="O135"/>
    </row>
    <row r="136" spans="15:15" x14ac:dyDescent="0.3">
      <c r="O136"/>
    </row>
    <row r="137" spans="15:15" x14ac:dyDescent="0.3">
      <c r="O137"/>
    </row>
    <row r="138" spans="15:15" x14ac:dyDescent="0.3">
      <c r="O138"/>
    </row>
    <row r="139" spans="15:15" x14ac:dyDescent="0.3">
      <c r="O139"/>
    </row>
    <row r="140" spans="15:15" x14ac:dyDescent="0.3">
      <c r="O140"/>
    </row>
    <row r="141" spans="15:15" x14ac:dyDescent="0.3">
      <c r="O141"/>
    </row>
    <row r="142" spans="15:15" x14ac:dyDescent="0.3">
      <c r="O142"/>
    </row>
    <row r="143" spans="15:15" x14ac:dyDescent="0.3">
      <c r="O143"/>
    </row>
    <row r="144" spans="15:15" x14ac:dyDescent="0.3">
      <c r="O144"/>
    </row>
    <row r="145" spans="15:15" x14ac:dyDescent="0.3">
      <c r="O145"/>
    </row>
    <row r="146" spans="15:15" x14ac:dyDescent="0.3">
      <c r="O146"/>
    </row>
    <row r="147" spans="15:15" x14ac:dyDescent="0.3">
      <c r="O147"/>
    </row>
    <row r="148" spans="15:15" x14ac:dyDescent="0.3">
      <c r="O148"/>
    </row>
    <row r="149" spans="15:15" x14ac:dyDescent="0.3">
      <c r="O149"/>
    </row>
    <row r="150" spans="15:15" x14ac:dyDescent="0.3">
      <c r="O150"/>
    </row>
    <row r="151" spans="15:15" x14ac:dyDescent="0.3">
      <c r="O151"/>
    </row>
    <row r="152" spans="15:15" x14ac:dyDescent="0.3">
      <c r="O152"/>
    </row>
    <row r="153" spans="15:15" x14ac:dyDescent="0.3">
      <c r="O153"/>
    </row>
    <row r="154" spans="15:15" x14ac:dyDescent="0.3">
      <c r="O154"/>
    </row>
    <row r="155" spans="15:15" x14ac:dyDescent="0.3">
      <c r="O155"/>
    </row>
    <row r="156" spans="15:15" x14ac:dyDescent="0.3">
      <c r="O156"/>
    </row>
    <row r="157" spans="15:15" x14ac:dyDescent="0.3">
      <c r="O157"/>
    </row>
    <row r="158" spans="15:15" x14ac:dyDescent="0.3">
      <c r="O158"/>
    </row>
    <row r="159" spans="15:15" x14ac:dyDescent="0.3">
      <c r="O159"/>
    </row>
    <row r="160" spans="15:15" x14ac:dyDescent="0.3">
      <c r="O160"/>
    </row>
    <row r="161" spans="15:15" x14ac:dyDescent="0.3">
      <c r="O161"/>
    </row>
    <row r="162" spans="15:15" x14ac:dyDescent="0.3">
      <c r="O162"/>
    </row>
    <row r="163" spans="15:15" x14ac:dyDescent="0.3">
      <c r="O163"/>
    </row>
    <row r="164" spans="15:15" x14ac:dyDescent="0.3">
      <c r="O164"/>
    </row>
    <row r="165" spans="15:15" x14ac:dyDescent="0.3">
      <c r="O165"/>
    </row>
    <row r="166" spans="15:15" x14ac:dyDescent="0.3">
      <c r="O166"/>
    </row>
    <row r="167" spans="15:15" x14ac:dyDescent="0.3">
      <c r="O167"/>
    </row>
    <row r="168" spans="15:15" x14ac:dyDescent="0.3">
      <c r="O168"/>
    </row>
    <row r="169" spans="15:15" x14ac:dyDescent="0.3">
      <c r="O169"/>
    </row>
    <row r="170" spans="15:15" x14ac:dyDescent="0.3">
      <c r="O170"/>
    </row>
    <row r="171" spans="15:15" x14ac:dyDescent="0.3">
      <c r="O171"/>
    </row>
    <row r="172" spans="15:15" x14ac:dyDescent="0.3">
      <c r="O172"/>
    </row>
    <row r="173" spans="15:15" x14ac:dyDescent="0.3">
      <c r="O173"/>
    </row>
    <row r="174" spans="15:15" x14ac:dyDescent="0.3">
      <c r="O174"/>
    </row>
    <row r="175" spans="15:15" x14ac:dyDescent="0.3">
      <c r="O175"/>
    </row>
    <row r="176" spans="15:15" x14ac:dyDescent="0.3">
      <c r="O176"/>
    </row>
    <row r="177" spans="15:15" x14ac:dyDescent="0.3">
      <c r="O177"/>
    </row>
    <row r="178" spans="15:15" x14ac:dyDescent="0.3">
      <c r="O178"/>
    </row>
    <row r="179" spans="15:15" x14ac:dyDescent="0.3">
      <c r="O179"/>
    </row>
  </sheetData>
  <autoFilter ref="X7:Y36" xr:uid="{00000000-0009-0000-0000-000017000000}">
    <sortState xmlns:xlrd2="http://schemas.microsoft.com/office/spreadsheetml/2017/richdata2" ref="X8:Y40">
      <sortCondition descending="1" ref="Y7:Y36"/>
    </sortState>
  </autoFilter>
  <mergeCells count="11">
    <mergeCell ref="B73:H73"/>
    <mergeCell ref="L40:N40"/>
    <mergeCell ref="AD40:AE40"/>
    <mergeCell ref="AJ40:AK40"/>
    <mergeCell ref="AE4:AF4"/>
    <mergeCell ref="AK4:AL4"/>
    <mergeCell ref="K7:P7"/>
    <mergeCell ref="AD38:AE38"/>
    <mergeCell ref="AJ38:AK38"/>
    <mergeCell ref="AD39:AE39"/>
    <mergeCell ref="AJ39:AK39"/>
  </mergeCells>
  <phoneticPr fontId="79" type="noConversion"/>
  <conditionalFormatting sqref="E54:E55 E57:E59 E62:E71 F74 G118:G221">
    <cfRule type="cellIs" dxfId="152" priority="81" operator="equal">
      <formula>"D"</formula>
    </cfRule>
  </conditionalFormatting>
  <conditionalFormatting sqref="F1:F16">
    <cfRule type="cellIs" dxfId="151" priority="1" operator="equal">
      <formula>"so"</formula>
    </cfRule>
  </conditionalFormatting>
  <conditionalFormatting sqref="F4:F16">
    <cfRule type="cellIs" dxfId="150" priority="2" operator="equal">
      <formula>"ne"</formula>
    </cfRule>
    <cfRule type="cellIs" dxfId="149" priority="3" operator="equal">
      <formula>"pá"</formula>
    </cfRule>
  </conditionalFormatting>
  <conditionalFormatting sqref="F18:F47">
    <cfRule type="cellIs" dxfId="148" priority="14" operator="equal">
      <formula>"so"</formula>
    </cfRule>
    <cfRule type="cellIs" dxfId="147" priority="15" operator="equal">
      <formula>"ne"</formula>
    </cfRule>
    <cfRule type="cellIs" dxfId="146" priority="16" operator="equal">
      <formula>"pá"</formula>
    </cfRule>
  </conditionalFormatting>
  <conditionalFormatting sqref="F49:F55">
    <cfRule type="cellIs" dxfId="145" priority="17" operator="equal">
      <formula>"so"</formula>
    </cfRule>
    <cfRule type="cellIs" dxfId="144" priority="18" operator="equal">
      <formula>"ne"</formula>
    </cfRule>
    <cfRule type="cellIs" dxfId="143" priority="19" operator="equal">
      <formula>"pá"</formula>
    </cfRule>
  </conditionalFormatting>
  <conditionalFormatting sqref="F57:F71 F90:F101 F118:F1048576">
    <cfRule type="cellIs" dxfId="142" priority="78" operator="equal">
      <formula>"so"</formula>
    </cfRule>
  </conditionalFormatting>
  <conditionalFormatting sqref="G4:G71">
    <cfRule type="cellIs" dxfId="141" priority="5" operator="equal">
      <formula>"D"</formula>
    </cfRule>
  </conditionalFormatting>
  <conditionalFormatting sqref="G76:G77 G79:G80 G82:G83 G85:G101">
    <cfRule type="cellIs" dxfId="140" priority="6" operator="equal">
      <formula>"D"</formula>
    </cfRule>
  </conditionalFormatting>
  <conditionalFormatting sqref="N14">
    <cfRule type="cellIs" dxfId="139" priority="12" operator="equal">
      <formula>"D"</formula>
    </cfRule>
  </conditionalFormatting>
  <conditionalFormatting sqref="N17:N21">
    <cfRule type="cellIs" dxfId="138" priority="21" operator="equal">
      <formula>"D"</formula>
    </cfRule>
  </conditionalFormatting>
  <conditionalFormatting sqref="O6 O32:O37 F57:F71 E74 F76:F77 F79:F80 F82:F83 F85:F86 F90:F101 F118:F213">
    <cfRule type="cellIs" dxfId="137" priority="79" operator="equal">
      <formula>"ne"</formula>
    </cfRule>
    <cfRule type="cellIs" dxfId="136" priority="80" operator="equal">
      <formula>"pá"</formula>
    </cfRule>
  </conditionalFormatting>
  <conditionalFormatting sqref="O21:O22">
    <cfRule type="cellIs" dxfId="135" priority="38" operator="equal">
      <formula>"so"</formula>
    </cfRule>
  </conditionalFormatting>
  <conditionalFormatting sqref="O21:O29">
    <cfRule type="cellIs" dxfId="134" priority="39" operator="equal">
      <formula>"ne"</formula>
    </cfRule>
    <cfRule type="cellIs" dxfId="133" priority="40" operator="equal">
      <formula>"pá"</formula>
    </cfRule>
  </conditionalFormatting>
  <conditionalFormatting sqref="P9">
    <cfRule type="cellIs" dxfId="132" priority="9" operator="equal">
      <formula>"so"</formula>
    </cfRule>
    <cfRule type="cellIs" dxfId="131" priority="10" operator="equal">
      <formula>"ne"</formula>
    </cfRule>
    <cfRule type="cellIs" dxfId="130" priority="11" operator="equal">
      <formula>"pá"</formula>
    </cfRule>
  </conditionalFormatting>
  <conditionalFormatting sqref="P10:P22">
    <cfRule type="cellIs" dxfId="129" priority="7" operator="equal">
      <formula>"D"</formula>
    </cfRule>
  </conditionalFormatting>
  <conditionalFormatting sqref="AK26:AK27">
    <cfRule type="cellIs" dxfId="128" priority="4" operator="equal">
      <formula>"D"</formula>
    </cfRule>
  </conditionalFormatting>
  <pageMargins left="0.7" right="0.7" top="0.78740157499999996" bottom="0.78740157499999996" header="0.3" footer="0.3"/>
  <pageSetup paperSize="9" orientation="portrait"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K202"/>
  <sheetViews>
    <sheetView workbookViewId="0">
      <pane xSplit="7" ySplit="2" topLeftCell="H50" activePane="bottomRight" state="frozen"/>
      <selection activeCell="L12" sqref="L12"/>
      <selection pane="topRight" activeCell="L12" sqref="L12"/>
      <selection pane="bottomLeft" activeCell="L12" sqref="L12"/>
      <selection pane="bottomRight" activeCell="F76" sqref="F76"/>
    </sheetView>
  </sheetViews>
  <sheetFormatPr defaultRowHeight="14.4" x14ac:dyDescent="0.3"/>
  <cols>
    <col min="1" max="1" width="14.88671875" customWidth="1"/>
    <col min="2" max="2" width="11.109375" customWidth="1"/>
    <col min="3" max="4" width="11.33203125" style="2" customWidth="1"/>
    <col min="5" max="5" width="17.6640625" style="2" customWidth="1"/>
    <col min="6" max="6" width="18" style="2" customWidth="1"/>
    <col min="7" max="7" width="22.6640625" style="1058" customWidth="1"/>
    <col min="8" max="8" width="14.6640625" style="1058" customWidth="1"/>
    <col min="9" max="9" width="12.5546875" style="259" customWidth="1"/>
    <col min="10" max="10" width="13.5546875" style="259" customWidth="1"/>
    <col min="11" max="11" width="17.44140625" style="259" customWidth="1"/>
    <col min="12" max="12" width="19" style="259" customWidth="1"/>
    <col min="13" max="13" width="18" style="2" customWidth="1"/>
    <col min="14" max="14" width="16.44140625" style="2" customWidth="1"/>
    <col min="15" max="15" width="15.6640625" style="2" customWidth="1"/>
    <col min="16" max="16" width="18.33203125" style="168" customWidth="1"/>
    <col min="17" max="17" width="16.6640625" style="2" customWidth="1"/>
    <col min="18" max="18" width="23.88671875" style="2" customWidth="1"/>
    <col min="19" max="19" width="22.33203125" style="2" customWidth="1"/>
    <col min="20" max="20" width="17.88671875" style="2" customWidth="1"/>
    <col min="21" max="21" width="16.109375" style="2" customWidth="1"/>
    <col min="22" max="22" width="14.44140625" style="242" customWidth="1"/>
    <col min="23" max="25" width="11.109375" style="1058" customWidth="1"/>
    <col min="26" max="26" width="12.88671875" style="1058" customWidth="1"/>
    <col min="27" max="27" width="45.6640625" style="1061" customWidth="1"/>
    <col min="28" max="28" width="71.33203125" style="2" bestFit="1" customWidth="1"/>
    <col min="29" max="29" width="68" style="2" customWidth="1"/>
    <col min="30" max="30" width="68.88671875" style="2" bestFit="1" customWidth="1"/>
    <col min="31" max="31" width="64.44140625" style="2" customWidth="1"/>
    <col min="32" max="32" width="64.5546875" style="2" customWidth="1"/>
    <col min="33" max="34" width="62.109375" style="2" customWidth="1"/>
    <col min="35" max="35" width="55.33203125" style="242" customWidth="1"/>
    <col min="36" max="36" width="55.88671875" style="8" customWidth="1"/>
    <col min="37" max="37" width="17.109375" customWidth="1"/>
  </cols>
  <sheetData>
    <row r="1" spans="1:37" x14ac:dyDescent="0.3">
      <c r="P1" s="1152"/>
      <c r="Q1" s="1170"/>
      <c r="R1" s="1152"/>
      <c r="S1" s="1170"/>
      <c r="T1" s="1152"/>
      <c r="U1" s="1153"/>
      <c r="V1" s="1170"/>
      <c r="W1" s="1152"/>
      <c r="X1" s="1153"/>
      <c r="Y1" s="1153"/>
      <c r="Z1" s="1153"/>
      <c r="AA1" s="1153"/>
      <c r="AB1" s="1152"/>
      <c r="AC1" s="1153"/>
      <c r="AD1" s="1153"/>
      <c r="AE1" s="1153"/>
      <c r="AF1" s="1153"/>
      <c r="AG1" s="1153"/>
      <c r="AH1" s="1153"/>
      <c r="AI1" s="1170"/>
    </row>
    <row r="2" spans="1:37" s="2" customFormat="1" x14ac:dyDescent="0.3">
      <c r="A2" s="1051" t="s">
        <v>1053</v>
      </c>
      <c r="B2" s="2" t="s">
        <v>785</v>
      </c>
      <c r="C2" s="2" t="s">
        <v>14</v>
      </c>
      <c r="D2" s="2" t="s">
        <v>11</v>
      </c>
      <c r="E2" s="2" t="s">
        <v>15</v>
      </c>
      <c r="F2" s="2" t="s">
        <v>13</v>
      </c>
      <c r="G2" s="987" t="s">
        <v>157</v>
      </c>
      <c r="H2" s="987" t="s">
        <v>1047</v>
      </c>
      <c r="I2" s="1089" t="s">
        <v>6063</v>
      </c>
      <c r="J2" s="1089" t="s">
        <v>6064</v>
      </c>
      <c r="K2" s="1090" t="s">
        <v>6177</v>
      </c>
      <c r="L2" s="1090" t="s">
        <v>6178</v>
      </c>
      <c r="M2" s="987" t="s">
        <v>707</v>
      </c>
      <c r="N2" s="2" t="s">
        <v>708</v>
      </c>
      <c r="O2" s="2" t="s">
        <v>759</v>
      </c>
      <c r="P2" s="1052" t="s">
        <v>6180</v>
      </c>
      <c r="Q2" s="1051" t="s">
        <v>6181</v>
      </c>
      <c r="R2" s="1052" t="s">
        <v>6182</v>
      </c>
      <c r="S2" s="1052" t="s">
        <v>6183</v>
      </c>
      <c r="T2" s="1052" t="s">
        <v>6184</v>
      </c>
      <c r="U2" s="1051" t="s">
        <v>6185</v>
      </c>
      <c r="V2" s="1051" t="s">
        <v>6186</v>
      </c>
      <c r="W2" s="1062" t="s">
        <v>6059</v>
      </c>
      <c r="X2" s="1063" t="s">
        <v>6060</v>
      </c>
      <c r="Y2" s="1063" t="s">
        <v>6061</v>
      </c>
      <c r="Z2" s="1063" t="s">
        <v>6062</v>
      </c>
      <c r="AA2" s="170" t="s">
        <v>698</v>
      </c>
      <c r="AB2" s="169" t="s">
        <v>699</v>
      </c>
      <c r="AC2" s="170" t="s">
        <v>700</v>
      </c>
      <c r="AD2" s="170" t="s">
        <v>701</v>
      </c>
      <c r="AE2" s="170" t="s">
        <v>702</v>
      </c>
      <c r="AF2" s="170" t="s">
        <v>703</v>
      </c>
      <c r="AG2" s="170" t="s">
        <v>704</v>
      </c>
      <c r="AH2" s="170" t="s">
        <v>854</v>
      </c>
      <c r="AI2" s="171" t="s">
        <v>5166</v>
      </c>
      <c r="AJ2" s="2" t="s">
        <v>3878</v>
      </c>
      <c r="AK2" s="2" t="s">
        <v>4614</v>
      </c>
    </row>
    <row r="3" spans="1:37" ht="15.75" customHeight="1" x14ac:dyDescent="0.3">
      <c r="A3" s="985" t="s">
        <v>6195</v>
      </c>
      <c r="B3" s="2">
        <v>1</v>
      </c>
      <c r="C3" s="2">
        <v>1</v>
      </c>
      <c r="D3" s="4">
        <v>45184</v>
      </c>
      <c r="E3" s="2" t="s">
        <v>327</v>
      </c>
      <c r="F3" s="2" t="s">
        <v>16</v>
      </c>
      <c r="G3" s="1058" t="s">
        <v>6084</v>
      </c>
      <c r="H3" s="1058" t="s">
        <v>743</v>
      </c>
      <c r="I3" s="259">
        <v>1</v>
      </c>
      <c r="J3" s="259">
        <v>5</v>
      </c>
      <c r="K3" s="259">
        <v>1</v>
      </c>
      <c r="L3" s="259">
        <v>5</v>
      </c>
      <c r="M3" s="2">
        <v>13</v>
      </c>
      <c r="N3" s="2">
        <v>0</v>
      </c>
      <c r="O3" s="2">
        <v>0</v>
      </c>
      <c r="P3" s="168">
        <v>0</v>
      </c>
      <c r="Q3" s="2">
        <v>0</v>
      </c>
      <c r="R3" s="2">
        <v>0</v>
      </c>
      <c r="S3" s="2">
        <v>0</v>
      </c>
      <c r="T3" s="2">
        <v>2</v>
      </c>
      <c r="U3" s="2">
        <v>4</v>
      </c>
      <c r="V3" s="242">
        <v>9456</v>
      </c>
      <c r="W3" s="1058" t="s">
        <v>6189</v>
      </c>
      <c r="X3" s="1058" t="s">
        <v>6187</v>
      </c>
      <c r="Y3" s="1058" t="s">
        <v>6079</v>
      </c>
      <c r="AA3" s="1058" t="s">
        <v>5297</v>
      </c>
      <c r="AB3" s="2" t="s">
        <v>5306</v>
      </c>
      <c r="AK3" s="8" t="s">
        <v>5299</v>
      </c>
    </row>
    <row r="4" spans="1:37" x14ac:dyDescent="0.3">
      <c r="A4" s="985" t="str">
        <f>A3</f>
        <v>Sezóna 23/24</v>
      </c>
      <c r="B4" s="2">
        <v>2</v>
      </c>
      <c r="C4" s="2">
        <v>2</v>
      </c>
      <c r="D4" s="4">
        <v>45186</v>
      </c>
      <c r="E4" s="2" t="s">
        <v>331</v>
      </c>
      <c r="F4" s="2" t="s">
        <v>17</v>
      </c>
      <c r="G4" s="1058" t="s">
        <v>6073</v>
      </c>
      <c r="H4" s="1058" t="s">
        <v>16</v>
      </c>
      <c r="I4" s="259">
        <v>4</v>
      </c>
      <c r="J4" s="259">
        <v>2</v>
      </c>
      <c r="K4" s="259">
        <v>3</v>
      </c>
      <c r="L4" s="259">
        <v>2</v>
      </c>
      <c r="M4" s="2">
        <v>10</v>
      </c>
      <c r="N4" s="2">
        <v>0</v>
      </c>
      <c r="O4" s="2">
        <v>3</v>
      </c>
      <c r="P4" s="168">
        <v>2</v>
      </c>
      <c r="Q4" s="2">
        <v>0</v>
      </c>
      <c r="R4" s="2">
        <v>0</v>
      </c>
      <c r="S4" s="2">
        <v>1</v>
      </c>
      <c r="T4" s="2">
        <v>7.5</v>
      </c>
      <c r="U4" s="2">
        <v>7</v>
      </c>
      <c r="V4" s="242">
        <v>4047</v>
      </c>
      <c r="W4" s="1058" t="s">
        <v>6118</v>
      </c>
      <c r="X4" s="1058" t="s">
        <v>6187</v>
      </c>
      <c r="Y4" s="1058" t="s">
        <v>6120</v>
      </c>
      <c r="AA4" s="1058" t="s">
        <v>5298</v>
      </c>
      <c r="AB4" s="2" t="s">
        <v>5307</v>
      </c>
      <c r="AC4" s="2" t="s">
        <v>5308</v>
      </c>
      <c r="AD4" s="2" t="s">
        <v>5309</v>
      </c>
      <c r="AE4" s="2" t="s">
        <v>5310</v>
      </c>
      <c r="AJ4" s="2"/>
      <c r="AK4" s="546" t="s">
        <v>5300</v>
      </c>
    </row>
    <row r="5" spans="1:37" x14ac:dyDescent="0.3">
      <c r="A5" s="985" t="str">
        <f t="shared" ref="A5:A67" si="0">A4</f>
        <v>Sezóna 23/24</v>
      </c>
      <c r="B5" s="2">
        <v>3</v>
      </c>
      <c r="C5" s="2">
        <v>3</v>
      </c>
      <c r="D5" s="4">
        <v>45191</v>
      </c>
      <c r="E5" s="2" t="s">
        <v>6179</v>
      </c>
      <c r="F5" s="2" t="s">
        <v>16</v>
      </c>
      <c r="G5" s="1058" t="s">
        <v>6113</v>
      </c>
      <c r="H5" s="1058" t="s">
        <v>16</v>
      </c>
      <c r="I5" s="259">
        <v>3</v>
      </c>
      <c r="J5" s="259">
        <v>2</v>
      </c>
      <c r="K5" s="259">
        <v>3</v>
      </c>
      <c r="L5" s="259">
        <v>2</v>
      </c>
      <c r="M5" s="2">
        <v>7</v>
      </c>
      <c r="N5" s="2">
        <v>3</v>
      </c>
      <c r="O5" s="2">
        <v>6</v>
      </c>
      <c r="P5" s="168">
        <v>1</v>
      </c>
      <c r="Q5" s="2">
        <v>0</v>
      </c>
      <c r="R5" s="2">
        <v>0</v>
      </c>
      <c r="S5" s="2">
        <v>0</v>
      </c>
      <c r="T5" s="2">
        <v>3</v>
      </c>
      <c r="U5" s="2">
        <v>4</v>
      </c>
      <c r="V5" s="242">
        <v>6103</v>
      </c>
      <c r="W5" s="1058" t="s">
        <v>6187</v>
      </c>
      <c r="X5" s="1058" t="s">
        <v>6120</v>
      </c>
      <c r="Y5" s="1058" t="s">
        <v>6187</v>
      </c>
      <c r="AA5" s="1058" t="s">
        <v>3821</v>
      </c>
      <c r="AB5" s="2" t="s">
        <v>5311</v>
      </c>
      <c r="AC5" s="2" t="s">
        <v>5312</v>
      </c>
      <c r="AD5" s="2" t="s">
        <v>5313</v>
      </c>
      <c r="AK5" s="8" t="s">
        <v>5301</v>
      </c>
    </row>
    <row r="6" spans="1:37" x14ac:dyDescent="0.3">
      <c r="A6" s="985" t="str">
        <f t="shared" si="0"/>
        <v>Sezóna 23/24</v>
      </c>
      <c r="B6" s="2">
        <v>4</v>
      </c>
      <c r="C6" s="2">
        <v>4</v>
      </c>
      <c r="D6" s="4">
        <v>45193</v>
      </c>
      <c r="E6" s="2" t="s">
        <v>610</v>
      </c>
      <c r="F6" s="2" t="s">
        <v>17</v>
      </c>
      <c r="G6" s="1058" t="s">
        <v>6148</v>
      </c>
      <c r="H6" s="1058" t="s">
        <v>16</v>
      </c>
      <c r="I6" s="259">
        <v>4</v>
      </c>
      <c r="J6" s="259">
        <v>1</v>
      </c>
      <c r="K6" s="259">
        <v>4</v>
      </c>
      <c r="L6" s="259">
        <v>1</v>
      </c>
      <c r="M6" s="2">
        <v>3</v>
      </c>
      <c r="N6" s="2">
        <v>3</v>
      </c>
      <c r="O6" s="2">
        <v>9</v>
      </c>
      <c r="P6" s="168">
        <v>3</v>
      </c>
      <c r="Q6" s="2">
        <v>0</v>
      </c>
      <c r="R6" s="2">
        <v>0</v>
      </c>
      <c r="S6" s="2">
        <v>0</v>
      </c>
      <c r="T6" s="2">
        <v>9</v>
      </c>
      <c r="U6" s="2">
        <v>6</v>
      </c>
      <c r="V6" s="242">
        <v>3826</v>
      </c>
      <c r="W6" s="1058" t="s">
        <v>6110</v>
      </c>
      <c r="X6" s="1058" t="s">
        <v>6187</v>
      </c>
      <c r="Y6" s="1058" t="s">
        <v>6188</v>
      </c>
      <c r="AA6" s="1058" t="s">
        <v>4151</v>
      </c>
      <c r="AB6" s="2" t="s">
        <v>5314</v>
      </c>
      <c r="AC6" s="2" t="s">
        <v>5315</v>
      </c>
      <c r="AD6" s="2" t="s">
        <v>5316</v>
      </c>
      <c r="AE6" s="2" t="s">
        <v>5317</v>
      </c>
      <c r="AJ6" s="8" t="s">
        <v>5303</v>
      </c>
      <c r="AK6" s="8" t="s">
        <v>5302</v>
      </c>
    </row>
    <row r="7" spans="1:37" x14ac:dyDescent="0.3">
      <c r="A7" s="985" t="str">
        <f t="shared" si="0"/>
        <v>Sezóna 23/24</v>
      </c>
      <c r="B7" s="2">
        <v>5</v>
      </c>
      <c r="C7" s="2">
        <v>5</v>
      </c>
      <c r="D7" s="4">
        <v>45196</v>
      </c>
      <c r="E7" s="2" t="s">
        <v>1274</v>
      </c>
      <c r="F7" s="2" t="s">
        <v>16</v>
      </c>
      <c r="G7" s="1058" t="s">
        <v>352</v>
      </c>
      <c r="H7" s="1058" t="s">
        <v>793</v>
      </c>
      <c r="I7" s="259">
        <v>3</v>
      </c>
      <c r="J7" s="259">
        <v>2</v>
      </c>
      <c r="K7" s="259">
        <v>2</v>
      </c>
      <c r="L7" s="259">
        <v>2</v>
      </c>
      <c r="M7" s="2">
        <v>3</v>
      </c>
      <c r="N7" s="2">
        <v>5</v>
      </c>
      <c r="O7" s="2">
        <v>11</v>
      </c>
      <c r="P7" s="168">
        <v>1</v>
      </c>
      <c r="Q7" s="2">
        <v>0</v>
      </c>
      <c r="R7" s="2">
        <v>0</v>
      </c>
      <c r="S7" s="2">
        <v>1</v>
      </c>
      <c r="T7" s="2">
        <v>4</v>
      </c>
      <c r="U7" s="2">
        <v>3</v>
      </c>
      <c r="V7" s="242">
        <v>3911</v>
      </c>
      <c r="W7" s="1058" t="s">
        <v>6120</v>
      </c>
      <c r="X7" s="1058" t="s">
        <v>6097</v>
      </c>
      <c r="Y7" s="1058" t="s">
        <v>6188</v>
      </c>
      <c r="Z7" s="1058" t="s">
        <v>4555</v>
      </c>
      <c r="AA7" s="1058" t="s">
        <v>5304</v>
      </c>
      <c r="AB7" s="2" t="s">
        <v>5318</v>
      </c>
      <c r="AC7" s="2" t="s">
        <v>5319</v>
      </c>
      <c r="AJ7" s="8" t="s">
        <v>5320</v>
      </c>
      <c r="AK7" s="442" t="s">
        <v>5305</v>
      </c>
    </row>
    <row r="8" spans="1:37" x14ac:dyDescent="0.3">
      <c r="A8" s="985" t="str">
        <f t="shared" si="0"/>
        <v>Sezóna 23/24</v>
      </c>
      <c r="B8" s="2">
        <v>6</v>
      </c>
      <c r="C8" s="2">
        <v>6</v>
      </c>
      <c r="D8" s="4">
        <v>45198</v>
      </c>
      <c r="E8" s="2" t="s">
        <v>6086</v>
      </c>
      <c r="F8" s="2" t="s">
        <v>17</v>
      </c>
      <c r="G8" s="1058" t="s">
        <v>6133</v>
      </c>
      <c r="H8" s="1058" t="s">
        <v>16</v>
      </c>
      <c r="I8" s="259">
        <v>5</v>
      </c>
      <c r="J8" s="259">
        <v>2</v>
      </c>
      <c r="K8" s="259">
        <v>4</v>
      </c>
      <c r="L8" s="259">
        <v>2</v>
      </c>
      <c r="M8" s="2">
        <v>3</v>
      </c>
      <c r="N8" s="2">
        <v>5</v>
      </c>
      <c r="O8" s="2">
        <v>14</v>
      </c>
      <c r="P8" s="168">
        <v>1</v>
      </c>
      <c r="Q8" s="2">
        <v>1</v>
      </c>
      <c r="R8" s="2">
        <v>0</v>
      </c>
      <c r="S8" s="2">
        <v>0</v>
      </c>
      <c r="T8" s="2">
        <v>5</v>
      </c>
      <c r="U8" s="2">
        <v>6</v>
      </c>
      <c r="V8" s="242">
        <v>4028</v>
      </c>
      <c r="W8" s="1058" t="s">
        <v>6089</v>
      </c>
      <c r="X8" s="1058" t="s">
        <v>6171</v>
      </c>
      <c r="Y8" s="1058" t="s">
        <v>6110</v>
      </c>
      <c r="AA8" s="1058" t="s">
        <v>5104</v>
      </c>
      <c r="AB8" s="2" t="s">
        <v>5325</v>
      </c>
      <c r="AC8" s="2" t="s">
        <v>5326</v>
      </c>
      <c r="AD8" s="2" t="s">
        <v>5327</v>
      </c>
      <c r="AE8" s="2" t="s">
        <v>5328</v>
      </c>
      <c r="AF8" s="2" t="s">
        <v>5329</v>
      </c>
      <c r="AJ8" s="2"/>
      <c r="AK8" s="442" t="s">
        <v>5321</v>
      </c>
    </row>
    <row r="9" spans="1:37" x14ac:dyDescent="0.3">
      <c r="A9" s="985" t="str">
        <f t="shared" si="0"/>
        <v>Sezóna 23/24</v>
      </c>
      <c r="B9" s="2">
        <v>7</v>
      </c>
      <c r="C9" s="2">
        <v>7</v>
      </c>
      <c r="D9" s="4">
        <v>45200</v>
      </c>
      <c r="E9" s="2" t="s">
        <v>334</v>
      </c>
      <c r="F9" s="2" t="s">
        <v>17</v>
      </c>
      <c r="G9" s="1058" t="s">
        <v>6191</v>
      </c>
      <c r="H9" s="1058" t="s">
        <v>16</v>
      </c>
      <c r="I9" s="259">
        <v>6</v>
      </c>
      <c r="J9" s="259">
        <v>4</v>
      </c>
      <c r="K9" s="259">
        <v>6</v>
      </c>
      <c r="L9" s="259">
        <v>4</v>
      </c>
      <c r="M9" s="2">
        <v>2</v>
      </c>
      <c r="N9" s="2">
        <v>5</v>
      </c>
      <c r="O9" s="2">
        <v>17</v>
      </c>
      <c r="P9" s="168">
        <v>1</v>
      </c>
      <c r="Q9" s="2">
        <v>0</v>
      </c>
      <c r="R9" s="2">
        <v>0</v>
      </c>
      <c r="S9" s="2">
        <v>0</v>
      </c>
      <c r="T9" s="2">
        <v>4</v>
      </c>
      <c r="U9" s="2">
        <v>2</v>
      </c>
      <c r="V9" s="242">
        <v>4242</v>
      </c>
      <c r="W9" s="1058" t="s">
        <v>6100</v>
      </c>
      <c r="X9" s="1058" t="s">
        <v>6118</v>
      </c>
      <c r="Y9" s="1058" t="s">
        <v>6097</v>
      </c>
      <c r="AA9" s="1058" t="s">
        <v>5323</v>
      </c>
      <c r="AB9" s="2" t="s">
        <v>5330</v>
      </c>
      <c r="AC9" s="2" t="s">
        <v>5331</v>
      </c>
      <c r="AD9" s="2" t="s">
        <v>5332</v>
      </c>
      <c r="AE9" s="2" t="s">
        <v>5333</v>
      </c>
      <c r="AF9" s="2" t="s">
        <v>5334</v>
      </c>
      <c r="AG9" s="2" t="s">
        <v>5335</v>
      </c>
      <c r="AK9" s="442" t="s">
        <v>5322</v>
      </c>
    </row>
    <row r="10" spans="1:37" x14ac:dyDescent="0.3">
      <c r="A10" s="985" t="str">
        <f t="shared" si="0"/>
        <v>Sezóna 23/24</v>
      </c>
      <c r="B10" s="2">
        <v>8</v>
      </c>
      <c r="C10" s="2">
        <v>8</v>
      </c>
      <c r="D10" s="4">
        <v>45205</v>
      </c>
      <c r="E10" s="2" t="s">
        <v>6076</v>
      </c>
      <c r="F10" s="2" t="s">
        <v>16</v>
      </c>
      <c r="G10" s="1058" t="s">
        <v>6148</v>
      </c>
      <c r="H10" s="1058" t="s">
        <v>16</v>
      </c>
      <c r="I10" s="259">
        <v>4</v>
      </c>
      <c r="J10" s="259">
        <v>1</v>
      </c>
      <c r="K10" s="259">
        <v>4</v>
      </c>
      <c r="L10" s="259">
        <v>1</v>
      </c>
      <c r="M10" s="2">
        <v>2</v>
      </c>
      <c r="N10" s="2">
        <v>8</v>
      </c>
      <c r="O10" s="2">
        <v>20</v>
      </c>
      <c r="P10" s="168">
        <v>1</v>
      </c>
      <c r="Q10" s="2">
        <v>0</v>
      </c>
      <c r="R10" s="2">
        <v>0</v>
      </c>
      <c r="S10" s="2">
        <v>0</v>
      </c>
      <c r="T10" s="2">
        <v>2</v>
      </c>
      <c r="U10" s="2">
        <v>3</v>
      </c>
      <c r="V10" s="242">
        <v>5477</v>
      </c>
      <c r="W10" s="1058" t="s">
        <v>6118</v>
      </c>
      <c r="X10" s="1058" t="s">
        <v>6089</v>
      </c>
      <c r="Y10" s="1058" t="s">
        <v>6188</v>
      </c>
      <c r="AA10" s="1058" t="s">
        <v>4732</v>
      </c>
      <c r="AB10" s="2" t="s">
        <v>5338</v>
      </c>
      <c r="AC10" s="2" t="s">
        <v>5339</v>
      </c>
      <c r="AD10" s="2" t="s">
        <v>5340</v>
      </c>
      <c r="AE10" s="2" t="s">
        <v>5341</v>
      </c>
      <c r="AK10" s="8" t="s">
        <v>5336</v>
      </c>
    </row>
    <row r="11" spans="1:37" x14ac:dyDescent="0.3">
      <c r="A11" s="985" t="str">
        <f t="shared" si="0"/>
        <v>Sezóna 23/24</v>
      </c>
      <c r="B11" s="2">
        <v>9</v>
      </c>
      <c r="C11" s="2">
        <v>9</v>
      </c>
      <c r="D11" s="4">
        <v>45207</v>
      </c>
      <c r="E11" s="2" t="s">
        <v>6091</v>
      </c>
      <c r="F11" s="2" t="s">
        <v>17</v>
      </c>
      <c r="G11" s="1058" t="s">
        <v>6192</v>
      </c>
      <c r="H11" s="1058" t="s">
        <v>16</v>
      </c>
      <c r="I11" s="259">
        <v>4</v>
      </c>
      <c r="J11" s="259">
        <v>3</v>
      </c>
      <c r="K11" s="259">
        <v>4</v>
      </c>
      <c r="L11" s="259">
        <v>3</v>
      </c>
      <c r="M11" s="2">
        <v>2</v>
      </c>
      <c r="N11" s="2">
        <v>8</v>
      </c>
      <c r="O11" s="2">
        <v>23</v>
      </c>
      <c r="P11" s="168">
        <v>1</v>
      </c>
      <c r="Q11" s="2">
        <v>0</v>
      </c>
      <c r="R11" s="2">
        <v>1</v>
      </c>
      <c r="S11" s="2">
        <v>0</v>
      </c>
      <c r="T11" s="2">
        <v>4</v>
      </c>
      <c r="U11" s="2">
        <v>3</v>
      </c>
      <c r="V11" s="242">
        <v>5023</v>
      </c>
      <c r="W11" s="1058" t="s">
        <v>6089</v>
      </c>
      <c r="X11" s="1058" t="s">
        <v>6194</v>
      </c>
      <c r="Y11" s="1058" t="s">
        <v>6189</v>
      </c>
      <c r="AA11" s="1058" t="s">
        <v>5324</v>
      </c>
      <c r="AB11" s="2" t="s">
        <v>5342</v>
      </c>
      <c r="AC11" s="2" t="s">
        <v>5343</v>
      </c>
      <c r="AD11" s="2" t="s">
        <v>5344</v>
      </c>
      <c r="AE11" s="2" t="s">
        <v>5345</v>
      </c>
      <c r="AK11" s="8" t="s">
        <v>5337</v>
      </c>
    </row>
    <row r="12" spans="1:37" x14ac:dyDescent="0.3">
      <c r="A12" s="985" t="str">
        <f t="shared" si="0"/>
        <v>Sezóna 23/24</v>
      </c>
      <c r="B12" s="2">
        <v>10</v>
      </c>
      <c r="C12" s="2">
        <v>10</v>
      </c>
      <c r="D12" s="4">
        <v>45212</v>
      </c>
      <c r="E12" s="2" t="s">
        <v>325</v>
      </c>
      <c r="F12" s="2" t="s">
        <v>17</v>
      </c>
      <c r="G12" s="1058" t="s">
        <v>6073</v>
      </c>
      <c r="H12" s="1058" t="s">
        <v>16</v>
      </c>
      <c r="I12" s="259">
        <v>4</v>
      </c>
      <c r="J12" s="259">
        <v>2</v>
      </c>
      <c r="K12" s="259">
        <v>3</v>
      </c>
      <c r="L12" s="259">
        <v>2</v>
      </c>
      <c r="M12" s="2">
        <v>2</v>
      </c>
      <c r="N12" s="2">
        <v>8</v>
      </c>
      <c r="O12" s="2">
        <v>26</v>
      </c>
      <c r="P12" s="168">
        <v>1</v>
      </c>
      <c r="Q12" s="2">
        <v>0</v>
      </c>
      <c r="R12" s="2">
        <v>1</v>
      </c>
      <c r="S12" s="2">
        <v>0</v>
      </c>
      <c r="T12" s="2">
        <v>7.5</v>
      </c>
      <c r="U12" s="2">
        <v>2</v>
      </c>
      <c r="V12" s="242">
        <v>5944</v>
      </c>
      <c r="W12" s="1058" t="s">
        <v>6120</v>
      </c>
      <c r="X12" s="1058" t="s">
        <v>6187</v>
      </c>
      <c r="Y12" s="1058" t="s">
        <v>6118</v>
      </c>
      <c r="AA12" s="1058" t="s">
        <v>4546</v>
      </c>
      <c r="AB12" s="2" t="s">
        <v>5349</v>
      </c>
      <c r="AC12" s="2" t="s">
        <v>5350</v>
      </c>
      <c r="AD12" s="2" t="s">
        <v>5351</v>
      </c>
      <c r="AE12" s="2" t="s">
        <v>5352</v>
      </c>
      <c r="AK12" s="8" t="s">
        <v>5346</v>
      </c>
    </row>
    <row r="13" spans="1:37" x14ac:dyDescent="0.3">
      <c r="A13" s="985" t="str">
        <f t="shared" si="0"/>
        <v>Sezóna 23/24</v>
      </c>
      <c r="B13" s="2">
        <v>11</v>
      </c>
      <c r="C13" s="2">
        <v>11</v>
      </c>
      <c r="D13" s="4">
        <v>45214</v>
      </c>
      <c r="E13" s="2" t="s">
        <v>332</v>
      </c>
      <c r="F13" s="2" t="s">
        <v>17</v>
      </c>
      <c r="G13" s="1058" t="s">
        <v>601</v>
      </c>
      <c r="H13" s="1058" t="s">
        <v>793</v>
      </c>
      <c r="I13" s="259">
        <v>5</v>
      </c>
      <c r="J13" s="259">
        <v>4</v>
      </c>
      <c r="K13" s="259">
        <v>4</v>
      </c>
      <c r="L13" s="259">
        <v>4</v>
      </c>
      <c r="M13" s="2">
        <v>2</v>
      </c>
      <c r="N13" s="2">
        <v>7</v>
      </c>
      <c r="O13" s="2">
        <v>28</v>
      </c>
      <c r="P13" s="168">
        <v>2</v>
      </c>
      <c r="Q13" s="2">
        <v>0</v>
      </c>
      <c r="R13" s="2">
        <v>0</v>
      </c>
      <c r="S13" s="2">
        <v>2</v>
      </c>
      <c r="T13" s="2">
        <v>7</v>
      </c>
      <c r="U13" s="2">
        <v>6</v>
      </c>
      <c r="V13" s="242">
        <v>5217</v>
      </c>
      <c r="W13" s="1058" t="s">
        <v>6097</v>
      </c>
      <c r="X13" s="1058" t="s">
        <v>6187</v>
      </c>
      <c r="Y13" s="1058" t="s">
        <v>6118</v>
      </c>
      <c r="Z13" s="1058" t="s">
        <v>756</v>
      </c>
      <c r="AA13" s="1058" t="s">
        <v>5347</v>
      </c>
      <c r="AB13" s="2" t="s">
        <v>5353</v>
      </c>
      <c r="AC13" s="2" t="s">
        <v>5354</v>
      </c>
      <c r="AD13" s="2" t="s">
        <v>5355</v>
      </c>
      <c r="AE13" s="2" t="s">
        <v>5356</v>
      </c>
      <c r="AF13" s="2" t="s">
        <v>5357</v>
      </c>
      <c r="AK13" s="8" t="s">
        <v>5346</v>
      </c>
    </row>
    <row r="14" spans="1:37" x14ac:dyDescent="0.3">
      <c r="A14" s="985" t="str">
        <f t="shared" si="0"/>
        <v>Sezóna 23/24</v>
      </c>
      <c r="B14" s="2">
        <v>12</v>
      </c>
      <c r="C14" s="2">
        <v>12</v>
      </c>
      <c r="D14" s="4">
        <v>45219</v>
      </c>
      <c r="E14" s="2" t="s">
        <v>328</v>
      </c>
      <c r="F14" s="2" t="s">
        <v>17</v>
      </c>
      <c r="G14" s="1058" t="s">
        <v>6209</v>
      </c>
      <c r="H14" s="1058" t="s">
        <v>16</v>
      </c>
      <c r="I14" s="259">
        <v>6</v>
      </c>
      <c r="J14" s="259">
        <v>3</v>
      </c>
      <c r="K14" s="259">
        <v>6</v>
      </c>
      <c r="L14" s="259">
        <v>3</v>
      </c>
      <c r="M14" s="2">
        <v>2</v>
      </c>
      <c r="N14" s="2">
        <v>7</v>
      </c>
      <c r="O14" s="2">
        <v>31</v>
      </c>
      <c r="P14" s="168">
        <v>1</v>
      </c>
      <c r="Q14" s="2">
        <v>0</v>
      </c>
      <c r="R14" s="2">
        <v>0</v>
      </c>
      <c r="S14" s="2">
        <v>1</v>
      </c>
      <c r="T14" s="2">
        <v>6</v>
      </c>
      <c r="U14" s="2">
        <v>2</v>
      </c>
      <c r="V14" s="242">
        <v>5025</v>
      </c>
      <c r="W14" s="1058" t="s">
        <v>6194</v>
      </c>
      <c r="X14" s="1058" t="s">
        <v>6202</v>
      </c>
      <c r="Y14" s="1058" t="s">
        <v>6189</v>
      </c>
      <c r="AA14" s="1058" t="s">
        <v>5358</v>
      </c>
      <c r="AB14" s="2" t="s">
        <v>5361</v>
      </c>
      <c r="AC14" s="2" t="s">
        <v>5362</v>
      </c>
      <c r="AD14" s="2" t="s">
        <v>5363</v>
      </c>
      <c r="AE14" s="2" t="s">
        <v>5364</v>
      </c>
      <c r="AF14" s="2" t="s">
        <v>5365</v>
      </c>
      <c r="AG14" s="2" t="s">
        <v>5366</v>
      </c>
      <c r="AK14" s="8" t="s">
        <v>5359</v>
      </c>
    </row>
    <row r="15" spans="1:37" s="191" customFormat="1" x14ac:dyDescent="0.3">
      <c r="A15" s="985" t="str">
        <f t="shared" si="0"/>
        <v>Sezóna 23/24</v>
      </c>
      <c r="B15" s="170">
        <v>13</v>
      </c>
      <c r="C15" s="170">
        <v>13</v>
      </c>
      <c r="D15" s="4">
        <v>45221</v>
      </c>
      <c r="E15" s="170" t="s">
        <v>626</v>
      </c>
      <c r="F15" s="170" t="s">
        <v>16</v>
      </c>
      <c r="G15" s="1059" t="s">
        <v>6097</v>
      </c>
      <c r="H15" s="1059" t="s">
        <v>743</v>
      </c>
      <c r="I15" s="1091">
        <v>1</v>
      </c>
      <c r="J15" s="1091">
        <v>2</v>
      </c>
      <c r="K15" s="1091">
        <v>1</v>
      </c>
      <c r="L15" s="1091">
        <v>2</v>
      </c>
      <c r="M15" s="909">
        <v>2</v>
      </c>
      <c r="N15" s="909">
        <v>7</v>
      </c>
      <c r="O15" s="909">
        <v>31</v>
      </c>
      <c r="P15" s="169">
        <v>0</v>
      </c>
      <c r="Q15" s="170">
        <v>0</v>
      </c>
      <c r="R15" s="170">
        <v>0</v>
      </c>
      <c r="S15" s="170">
        <v>0</v>
      </c>
      <c r="T15" s="170">
        <v>2</v>
      </c>
      <c r="U15" s="170">
        <v>1</v>
      </c>
      <c r="V15" s="171">
        <v>4538</v>
      </c>
      <c r="W15" s="1059" t="s">
        <v>6188</v>
      </c>
      <c r="X15" s="1059" t="s">
        <v>6187</v>
      </c>
      <c r="Y15" s="1059" t="s">
        <v>6189</v>
      </c>
      <c r="Z15" s="1059"/>
      <c r="AA15" s="1059" t="s">
        <v>3819</v>
      </c>
      <c r="AB15" s="170" t="s">
        <v>5367</v>
      </c>
      <c r="AC15" s="170"/>
      <c r="AD15" s="170"/>
      <c r="AE15" s="170"/>
      <c r="AF15" s="170"/>
      <c r="AG15" s="170"/>
      <c r="AH15" s="170"/>
      <c r="AI15" s="171"/>
      <c r="AJ15" s="268"/>
      <c r="AK15" s="268" t="s">
        <v>5360</v>
      </c>
    </row>
    <row r="16" spans="1:37" x14ac:dyDescent="0.3">
      <c r="A16" s="985" t="str">
        <f t="shared" si="0"/>
        <v>Sezóna 23/24</v>
      </c>
      <c r="B16" s="2">
        <v>14</v>
      </c>
      <c r="C16" s="2">
        <v>14</v>
      </c>
      <c r="D16" s="4">
        <v>45226</v>
      </c>
      <c r="E16" s="2" t="s">
        <v>327</v>
      </c>
      <c r="F16" s="2" t="s">
        <v>17</v>
      </c>
      <c r="G16" s="1058" t="s">
        <v>6148</v>
      </c>
      <c r="H16" s="1058" t="s">
        <v>16</v>
      </c>
      <c r="I16" s="259">
        <v>4</v>
      </c>
      <c r="J16" s="259">
        <v>1</v>
      </c>
      <c r="K16" s="259">
        <v>3</v>
      </c>
      <c r="L16" s="259">
        <v>1</v>
      </c>
      <c r="M16" s="911">
        <v>1</v>
      </c>
      <c r="N16" s="2">
        <v>7</v>
      </c>
      <c r="O16" s="2">
        <v>34</v>
      </c>
      <c r="P16" s="168">
        <v>0</v>
      </c>
      <c r="Q16" s="2">
        <v>0</v>
      </c>
      <c r="R16" s="2">
        <v>0</v>
      </c>
      <c r="S16" s="2">
        <v>0</v>
      </c>
      <c r="T16" s="2">
        <v>3</v>
      </c>
      <c r="U16" s="2">
        <v>2</v>
      </c>
      <c r="V16" s="242">
        <v>5944</v>
      </c>
      <c r="W16" s="1058" t="s">
        <v>6110</v>
      </c>
      <c r="X16" s="1058" t="s">
        <v>6188</v>
      </c>
      <c r="Y16" s="1058" t="s">
        <v>6187</v>
      </c>
      <c r="AA16" s="1058" t="s">
        <v>4151</v>
      </c>
      <c r="AB16" s="2" t="s">
        <v>5384</v>
      </c>
      <c r="AC16" s="2" t="s">
        <v>5385</v>
      </c>
      <c r="AD16" s="2" t="s">
        <v>5386</v>
      </c>
      <c r="AE16" s="2" t="s">
        <v>5387</v>
      </c>
      <c r="AK16" s="8" t="s">
        <v>5376</v>
      </c>
    </row>
    <row r="17" spans="1:37" x14ac:dyDescent="0.3">
      <c r="A17" s="985" t="str">
        <f t="shared" si="0"/>
        <v>Sezóna 23/24</v>
      </c>
      <c r="B17" s="2">
        <v>15</v>
      </c>
      <c r="C17" s="2">
        <v>15</v>
      </c>
      <c r="D17" s="4">
        <v>45228</v>
      </c>
      <c r="E17" s="2" t="s">
        <v>331</v>
      </c>
      <c r="F17" s="2" t="s">
        <v>16</v>
      </c>
      <c r="G17" s="1058" t="s">
        <v>6104</v>
      </c>
      <c r="H17" s="1058" t="s">
        <v>743</v>
      </c>
      <c r="I17" s="259">
        <v>2</v>
      </c>
      <c r="J17" s="259">
        <v>5</v>
      </c>
      <c r="K17" s="259">
        <v>2</v>
      </c>
      <c r="L17" s="259">
        <v>4</v>
      </c>
      <c r="M17" s="2">
        <v>2</v>
      </c>
      <c r="N17" s="2">
        <v>7</v>
      </c>
      <c r="O17" s="2">
        <v>34</v>
      </c>
      <c r="P17" s="168">
        <v>0</v>
      </c>
      <c r="Q17" s="2">
        <v>0</v>
      </c>
      <c r="R17" s="2">
        <v>0</v>
      </c>
      <c r="S17" s="2">
        <v>1</v>
      </c>
      <c r="T17" s="2">
        <v>6</v>
      </c>
      <c r="U17" s="2">
        <v>4</v>
      </c>
      <c r="V17" s="242">
        <v>5264</v>
      </c>
      <c r="W17" s="1058" t="s">
        <v>6188</v>
      </c>
      <c r="X17" s="1058" t="s">
        <v>6102</v>
      </c>
      <c r="Y17" s="1058" t="s">
        <v>6097</v>
      </c>
      <c r="AA17" s="1058" t="s">
        <v>5378</v>
      </c>
      <c r="AB17" s="2" t="s">
        <v>5388</v>
      </c>
      <c r="AC17" s="2" t="s">
        <v>5389</v>
      </c>
      <c r="AK17" s="8" t="s">
        <v>5377</v>
      </c>
    </row>
    <row r="18" spans="1:37" ht="15" customHeight="1" x14ac:dyDescent="0.3">
      <c r="A18" s="985" t="str">
        <f t="shared" si="0"/>
        <v>Sezóna 23/24</v>
      </c>
      <c r="B18" s="2">
        <v>16</v>
      </c>
      <c r="C18" s="2">
        <v>16</v>
      </c>
      <c r="D18" s="4">
        <v>45230</v>
      </c>
      <c r="E18" s="2" t="s">
        <v>6179</v>
      </c>
      <c r="F18" s="2" t="s">
        <v>17</v>
      </c>
      <c r="G18" s="1058" t="s">
        <v>6209</v>
      </c>
      <c r="H18" s="1058" t="s">
        <v>16</v>
      </c>
      <c r="I18" s="259">
        <v>6</v>
      </c>
      <c r="J18" s="259">
        <v>3</v>
      </c>
      <c r="K18" s="259">
        <v>5</v>
      </c>
      <c r="L18" s="259">
        <v>3</v>
      </c>
      <c r="M18" s="2">
        <v>2</v>
      </c>
      <c r="N18" s="2">
        <v>7</v>
      </c>
      <c r="O18" s="2">
        <v>37</v>
      </c>
      <c r="P18" s="168">
        <v>1</v>
      </c>
      <c r="Q18" s="2">
        <v>0</v>
      </c>
      <c r="R18" s="2">
        <v>0</v>
      </c>
      <c r="S18" s="2">
        <v>1</v>
      </c>
      <c r="T18" s="2">
        <v>6</v>
      </c>
      <c r="U18" s="2">
        <v>4</v>
      </c>
      <c r="V18" s="242">
        <v>4282</v>
      </c>
      <c r="W18" s="1058" t="s">
        <v>6118</v>
      </c>
      <c r="X18" s="1058" t="s">
        <v>6089</v>
      </c>
      <c r="Y18" s="1058" t="s">
        <v>6194</v>
      </c>
      <c r="AA18" s="1058" t="s">
        <v>5380</v>
      </c>
      <c r="AB18" s="2" t="s">
        <v>5390</v>
      </c>
      <c r="AC18" s="2" t="s">
        <v>5391</v>
      </c>
      <c r="AD18" s="2" t="s">
        <v>5392</v>
      </c>
      <c r="AE18" s="2" t="s">
        <v>5393</v>
      </c>
      <c r="AF18" s="2" t="s">
        <v>5394</v>
      </c>
      <c r="AG18" s="2" t="s">
        <v>5395</v>
      </c>
      <c r="AK18" s="8" t="s">
        <v>5379</v>
      </c>
    </row>
    <row r="19" spans="1:37" x14ac:dyDescent="0.3">
      <c r="A19" s="985" t="str">
        <f t="shared" si="0"/>
        <v>Sezóna 23/24</v>
      </c>
      <c r="B19" s="2">
        <v>17</v>
      </c>
      <c r="C19" s="2">
        <v>17</v>
      </c>
      <c r="D19" s="4">
        <v>45233</v>
      </c>
      <c r="E19" s="2" t="s">
        <v>610</v>
      </c>
      <c r="F19" s="2" t="s">
        <v>16</v>
      </c>
      <c r="G19" s="1058" t="s">
        <v>6104</v>
      </c>
      <c r="H19" s="1058" t="s">
        <v>743</v>
      </c>
      <c r="I19" s="259">
        <v>2</v>
      </c>
      <c r="J19" s="259">
        <v>5</v>
      </c>
      <c r="K19" s="259">
        <v>2</v>
      </c>
      <c r="L19" s="259">
        <v>5</v>
      </c>
      <c r="M19" s="2">
        <v>2</v>
      </c>
      <c r="N19" s="2">
        <v>7</v>
      </c>
      <c r="O19" s="2">
        <v>37</v>
      </c>
      <c r="P19" s="168">
        <v>1</v>
      </c>
      <c r="Q19" s="2">
        <v>0</v>
      </c>
      <c r="R19" s="2">
        <v>1</v>
      </c>
      <c r="S19" s="2">
        <v>1</v>
      </c>
      <c r="T19" s="2">
        <v>6</v>
      </c>
      <c r="U19" s="2">
        <v>4</v>
      </c>
      <c r="V19" s="242">
        <v>6046</v>
      </c>
      <c r="W19" s="1058" t="s">
        <v>6189</v>
      </c>
      <c r="X19" s="1058" t="s">
        <v>6097</v>
      </c>
      <c r="Y19" s="1058" t="s">
        <v>6097</v>
      </c>
      <c r="AA19" s="1058" t="s">
        <v>5382</v>
      </c>
      <c r="AB19" s="2" t="s">
        <v>5396</v>
      </c>
      <c r="AC19" s="2" t="s">
        <v>5397</v>
      </c>
      <c r="AK19" s="8" t="s">
        <v>5381</v>
      </c>
    </row>
    <row r="20" spans="1:37" x14ac:dyDescent="0.3">
      <c r="A20" s="985" t="str">
        <f t="shared" si="0"/>
        <v>Sezóna 23/24</v>
      </c>
      <c r="B20" s="2">
        <v>18</v>
      </c>
      <c r="C20" s="2">
        <v>18</v>
      </c>
      <c r="D20" s="4">
        <v>45235</v>
      </c>
      <c r="E20" s="2" t="s">
        <v>1274</v>
      </c>
      <c r="F20" s="2" t="s">
        <v>17</v>
      </c>
      <c r="G20" s="1058" t="s">
        <v>6171</v>
      </c>
      <c r="H20" s="1058" t="s">
        <v>743</v>
      </c>
      <c r="I20" s="259">
        <v>0</v>
      </c>
      <c r="J20" s="259">
        <v>2</v>
      </c>
      <c r="K20" s="259">
        <v>0</v>
      </c>
      <c r="L20" s="259">
        <v>2</v>
      </c>
      <c r="M20" s="2">
        <v>2</v>
      </c>
      <c r="N20" s="2">
        <v>4</v>
      </c>
      <c r="O20" s="2">
        <v>37</v>
      </c>
      <c r="P20" s="168">
        <v>0</v>
      </c>
      <c r="Q20" s="2">
        <v>0</v>
      </c>
      <c r="R20" s="2">
        <v>0</v>
      </c>
      <c r="S20" s="2">
        <v>1</v>
      </c>
      <c r="T20" s="2">
        <v>6</v>
      </c>
      <c r="U20" s="2">
        <v>4</v>
      </c>
      <c r="V20" s="242">
        <v>5073</v>
      </c>
      <c r="W20" s="1058" t="s">
        <v>6188</v>
      </c>
      <c r="X20" s="1058" t="s">
        <v>6171</v>
      </c>
      <c r="Y20" s="1058" t="s">
        <v>6188</v>
      </c>
      <c r="AA20" s="1058" t="s">
        <v>6171</v>
      </c>
      <c r="AB20" s="2" t="s">
        <v>515</v>
      </c>
      <c r="AK20" s="8" t="s">
        <v>5383</v>
      </c>
    </row>
    <row r="21" spans="1:37" x14ac:dyDescent="0.3">
      <c r="A21" s="985" t="str">
        <f t="shared" si="0"/>
        <v>Sezóna 23/24</v>
      </c>
      <c r="B21" s="2">
        <v>19</v>
      </c>
      <c r="C21" s="2">
        <v>19</v>
      </c>
      <c r="D21" s="4">
        <v>45247</v>
      </c>
      <c r="E21" s="2" t="s">
        <v>6086</v>
      </c>
      <c r="F21" s="2" t="s">
        <v>16</v>
      </c>
      <c r="G21" s="1058" t="s">
        <v>6206</v>
      </c>
      <c r="H21" s="1058" t="s">
        <v>743</v>
      </c>
      <c r="I21" s="259">
        <v>0</v>
      </c>
      <c r="J21" s="259">
        <v>5</v>
      </c>
      <c r="K21" s="259">
        <v>0</v>
      </c>
      <c r="L21" s="259">
        <v>5</v>
      </c>
      <c r="M21" s="2">
        <v>3</v>
      </c>
      <c r="N21" s="2">
        <v>4</v>
      </c>
      <c r="O21" s="2">
        <v>37</v>
      </c>
      <c r="P21" s="168">
        <v>0</v>
      </c>
      <c r="Q21" s="2">
        <v>0</v>
      </c>
      <c r="R21" s="2">
        <v>0</v>
      </c>
      <c r="S21" s="2">
        <v>1</v>
      </c>
      <c r="T21" s="2">
        <v>4</v>
      </c>
      <c r="U21" s="2">
        <v>4</v>
      </c>
      <c r="V21" s="242">
        <v>3309</v>
      </c>
      <c r="W21" s="1058" t="s">
        <v>6188</v>
      </c>
      <c r="X21" s="1058" t="s">
        <v>6079</v>
      </c>
      <c r="Y21" s="1058" t="s">
        <v>6171</v>
      </c>
      <c r="AA21" s="1058" t="s">
        <v>6206</v>
      </c>
      <c r="AB21" s="2" t="s">
        <v>515</v>
      </c>
      <c r="AK21" s="8" t="s">
        <v>5597</v>
      </c>
    </row>
    <row r="22" spans="1:37" x14ac:dyDescent="0.3">
      <c r="A22" s="985" t="str">
        <f t="shared" si="0"/>
        <v>Sezóna 23/24</v>
      </c>
      <c r="B22" s="2">
        <v>20</v>
      </c>
      <c r="C22" s="2">
        <v>20</v>
      </c>
      <c r="D22" s="4">
        <v>45249</v>
      </c>
      <c r="E22" s="2" t="s">
        <v>334</v>
      </c>
      <c r="F22" s="2" t="s">
        <v>16</v>
      </c>
      <c r="G22" s="1058" t="s">
        <v>351</v>
      </c>
      <c r="H22" s="1058" t="s">
        <v>793</v>
      </c>
      <c r="I22" s="259">
        <v>3</v>
      </c>
      <c r="J22" s="259">
        <v>2</v>
      </c>
      <c r="K22" s="259">
        <v>2</v>
      </c>
      <c r="L22" s="259">
        <v>2</v>
      </c>
      <c r="M22" s="2">
        <v>3</v>
      </c>
      <c r="N22" s="2">
        <v>6</v>
      </c>
      <c r="O22" s="2">
        <v>39</v>
      </c>
      <c r="P22" s="168">
        <v>1</v>
      </c>
      <c r="Q22" s="2">
        <v>0</v>
      </c>
      <c r="R22" s="2">
        <v>0</v>
      </c>
      <c r="S22" s="2">
        <v>1</v>
      </c>
      <c r="T22" s="2">
        <v>2</v>
      </c>
      <c r="U22" s="2">
        <v>2</v>
      </c>
      <c r="V22" s="242">
        <v>5400</v>
      </c>
      <c r="W22" s="1058" t="s">
        <v>6120</v>
      </c>
      <c r="X22" s="1058" t="s">
        <v>6187</v>
      </c>
      <c r="Y22" s="1058" t="s">
        <v>6189</v>
      </c>
      <c r="Z22" s="1058" t="s">
        <v>756</v>
      </c>
      <c r="AA22" s="1058" t="s">
        <v>3805</v>
      </c>
      <c r="AB22" s="2" t="s">
        <v>5600</v>
      </c>
      <c r="AC22" s="2" t="s">
        <v>5601</v>
      </c>
      <c r="AD22" s="2" t="s">
        <v>5602</v>
      </c>
      <c r="AK22" s="8" t="s">
        <v>5596</v>
      </c>
    </row>
    <row r="23" spans="1:37" x14ac:dyDescent="0.3">
      <c r="A23" s="985" t="str">
        <f t="shared" si="0"/>
        <v>Sezóna 23/24</v>
      </c>
      <c r="B23" s="2">
        <v>21</v>
      </c>
      <c r="C23" s="2">
        <v>21</v>
      </c>
      <c r="D23" s="4">
        <v>45254</v>
      </c>
      <c r="E23" s="2" t="s">
        <v>6076</v>
      </c>
      <c r="F23" s="2" t="s">
        <v>17</v>
      </c>
      <c r="G23" s="1058" t="s">
        <v>6191</v>
      </c>
      <c r="H23" s="1058" t="s">
        <v>16</v>
      </c>
      <c r="I23" s="259">
        <v>6</v>
      </c>
      <c r="J23" s="259">
        <v>4</v>
      </c>
      <c r="K23" s="259">
        <v>6</v>
      </c>
      <c r="L23" s="259">
        <v>4</v>
      </c>
      <c r="M23" s="2">
        <v>3</v>
      </c>
      <c r="N23" s="2">
        <v>6</v>
      </c>
      <c r="O23" s="2">
        <v>42</v>
      </c>
      <c r="P23" s="168">
        <v>2</v>
      </c>
      <c r="Q23" s="2">
        <v>0</v>
      </c>
      <c r="R23" s="2">
        <v>0</v>
      </c>
      <c r="S23" s="2">
        <v>2</v>
      </c>
      <c r="T23" s="2">
        <v>5</v>
      </c>
      <c r="U23" s="2">
        <v>4</v>
      </c>
      <c r="V23" s="242">
        <v>5094</v>
      </c>
      <c r="W23" s="1058" t="s">
        <v>6171</v>
      </c>
      <c r="X23" s="1058" t="s">
        <v>6148</v>
      </c>
      <c r="Y23" s="1058" t="s">
        <v>6118</v>
      </c>
      <c r="AA23" s="1058" t="s">
        <v>5603</v>
      </c>
      <c r="AB23" s="2" t="s">
        <v>5615</v>
      </c>
      <c r="AC23" s="2" t="s">
        <v>5616</v>
      </c>
      <c r="AD23" s="2" t="s">
        <v>5617</v>
      </c>
      <c r="AE23" s="2" t="s">
        <v>5618</v>
      </c>
      <c r="AF23" s="2" t="s">
        <v>5619</v>
      </c>
      <c r="AG23" s="2" t="s">
        <v>5620</v>
      </c>
      <c r="AK23" s="8" t="s">
        <v>5598</v>
      </c>
    </row>
    <row r="24" spans="1:37" x14ac:dyDescent="0.3">
      <c r="A24" s="985" t="str">
        <f t="shared" si="0"/>
        <v>Sezóna 23/24</v>
      </c>
      <c r="B24" s="2">
        <v>22</v>
      </c>
      <c r="C24" s="2">
        <v>22</v>
      </c>
      <c r="D24" s="4">
        <v>45256</v>
      </c>
      <c r="E24" s="2" t="s">
        <v>6091</v>
      </c>
      <c r="F24" s="2" t="s">
        <v>16</v>
      </c>
      <c r="G24" s="1058" t="s">
        <v>6189</v>
      </c>
      <c r="H24" s="1058" t="s">
        <v>743</v>
      </c>
      <c r="I24" s="259">
        <v>0</v>
      </c>
      <c r="J24" s="259">
        <v>1</v>
      </c>
      <c r="K24" s="259">
        <v>0</v>
      </c>
      <c r="L24" s="259">
        <v>1</v>
      </c>
      <c r="M24" s="2">
        <v>4</v>
      </c>
      <c r="N24" s="2">
        <v>6</v>
      </c>
      <c r="O24" s="2">
        <v>42</v>
      </c>
      <c r="P24" s="168">
        <v>0</v>
      </c>
      <c r="Q24" s="2">
        <v>0</v>
      </c>
      <c r="R24" s="2">
        <v>0</v>
      </c>
      <c r="S24" s="2">
        <v>1</v>
      </c>
      <c r="T24" s="2">
        <v>2</v>
      </c>
      <c r="U24" s="2">
        <v>4</v>
      </c>
      <c r="V24" s="242">
        <v>6347</v>
      </c>
      <c r="W24" s="1058" t="s">
        <v>6188</v>
      </c>
      <c r="X24" s="1058" t="s">
        <v>6188</v>
      </c>
      <c r="Y24" s="1058" t="s">
        <v>6189</v>
      </c>
      <c r="AA24" s="1058" t="s">
        <v>6189</v>
      </c>
      <c r="AB24" s="2" t="s">
        <v>515</v>
      </c>
      <c r="AK24" s="8" t="s">
        <v>5599</v>
      </c>
    </row>
    <row r="25" spans="1:37" x14ac:dyDescent="0.3">
      <c r="A25" s="985" t="str">
        <f t="shared" si="0"/>
        <v>Sezóna 23/24</v>
      </c>
      <c r="B25" s="2">
        <v>23</v>
      </c>
      <c r="C25" s="2">
        <v>23</v>
      </c>
      <c r="D25" s="4">
        <v>45258</v>
      </c>
      <c r="E25" s="2" t="s">
        <v>325</v>
      </c>
      <c r="F25" s="2" t="s">
        <v>16</v>
      </c>
      <c r="G25" s="1058" t="s">
        <v>6102</v>
      </c>
      <c r="H25" s="1058" t="s">
        <v>743</v>
      </c>
      <c r="I25" s="259">
        <v>1</v>
      </c>
      <c r="J25" s="259">
        <v>3</v>
      </c>
      <c r="K25" s="259">
        <v>1</v>
      </c>
      <c r="L25" s="259">
        <v>2</v>
      </c>
      <c r="M25" s="2">
        <v>4</v>
      </c>
      <c r="N25" s="2">
        <v>6</v>
      </c>
      <c r="O25" s="2">
        <v>42</v>
      </c>
      <c r="P25" s="168">
        <v>1</v>
      </c>
      <c r="Q25" s="2">
        <v>0</v>
      </c>
      <c r="R25" s="2">
        <v>0</v>
      </c>
      <c r="S25" s="2">
        <v>1</v>
      </c>
      <c r="T25" s="2">
        <v>5</v>
      </c>
      <c r="U25" s="2">
        <v>3</v>
      </c>
      <c r="V25" s="242">
        <v>16683</v>
      </c>
      <c r="W25" s="1058" t="s">
        <v>6189</v>
      </c>
      <c r="X25" s="1058" t="s">
        <v>6120</v>
      </c>
      <c r="Y25" s="1058" t="s">
        <v>6171</v>
      </c>
      <c r="AA25" s="1058" t="s">
        <v>3307</v>
      </c>
      <c r="AB25" s="2" t="s">
        <v>5621</v>
      </c>
      <c r="AJ25" s="8" t="s">
        <v>5605</v>
      </c>
      <c r="AK25" s="636" t="s">
        <v>5604</v>
      </c>
    </row>
    <row r="26" spans="1:37" ht="15.75" customHeight="1" x14ac:dyDescent="0.3">
      <c r="A26" s="985" t="str">
        <f t="shared" si="0"/>
        <v>Sezóna 23/24</v>
      </c>
      <c r="B26" s="2">
        <v>24</v>
      </c>
      <c r="C26" s="2">
        <v>24</v>
      </c>
      <c r="D26" s="4">
        <v>45261</v>
      </c>
      <c r="E26" s="2" t="s">
        <v>332</v>
      </c>
      <c r="F26" s="2" t="s">
        <v>16</v>
      </c>
      <c r="G26" s="1058" t="s">
        <v>6079</v>
      </c>
      <c r="H26" s="1058" t="s">
        <v>743</v>
      </c>
      <c r="I26" s="259">
        <v>0</v>
      </c>
      <c r="J26" s="259">
        <v>3</v>
      </c>
      <c r="K26" s="259">
        <v>0</v>
      </c>
      <c r="L26" s="259">
        <v>2</v>
      </c>
      <c r="M26" s="385">
        <v>4</v>
      </c>
      <c r="N26" s="2">
        <v>6</v>
      </c>
      <c r="O26" s="2">
        <v>42</v>
      </c>
      <c r="P26" s="168">
        <v>0</v>
      </c>
      <c r="Q26" s="2">
        <v>0</v>
      </c>
      <c r="R26" s="2">
        <v>0</v>
      </c>
      <c r="S26" s="2">
        <v>1</v>
      </c>
      <c r="T26" s="2">
        <v>5</v>
      </c>
      <c r="U26" s="2">
        <v>6</v>
      </c>
      <c r="V26" s="242">
        <v>2493</v>
      </c>
      <c r="W26" s="1058" t="s">
        <v>6188</v>
      </c>
      <c r="X26" s="1058" t="s">
        <v>6171</v>
      </c>
      <c r="Y26" s="1058" t="s">
        <v>6189</v>
      </c>
      <c r="AA26" s="1058" t="s">
        <v>6079</v>
      </c>
      <c r="AB26" s="2" t="s">
        <v>515</v>
      </c>
      <c r="AJ26" s="638"/>
      <c r="AK26" s="8" t="s">
        <v>5606</v>
      </c>
    </row>
    <row r="27" spans="1:37" x14ac:dyDescent="0.3">
      <c r="A27" s="985" t="str">
        <f t="shared" si="0"/>
        <v>Sezóna 23/24</v>
      </c>
      <c r="B27" s="2">
        <v>25</v>
      </c>
      <c r="C27" s="2">
        <v>25</v>
      </c>
      <c r="D27" s="4">
        <v>45263</v>
      </c>
      <c r="E27" s="2" t="s">
        <v>328</v>
      </c>
      <c r="F27" s="2" t="s">
        <v>16</v>
      </c>
      <c r="G27" s="1058" t="s">
        <v>6210</v>
      </c>
      <c r="H27" s="1058" t="s">
        <v>743</v>
      </c>
      <c r="I27" s="259">
        <v>2</v>
      </c>
      <c r="J27" s="259">
        <v>6</v>
      </c>
      <c r="K27" s="259">
        <v>2</v>
      </c>
      <c r="L27" s="259">
        <v>6</v>
      </c>
      <c r="M27" s="385">
        <v>4</v>
      </c>
      <c r="N27" s="2">
        <v>6</v>
      </c>
      <c r="O27" s="2">
        <v>42</v>
      </c>
      <c r="P27" s="168">
        <v>0</v>
      </c>
      <c r="Q27" s="2">
        <v>0</v>
      </c>
      <c r="R27" s="2">
        <v>0</v>
      </c>
      <c r="S27" s="2">
        <v>4</v>
      </c>
      <c r="T27" s="2">
        <v>2</v>
      </c>
      <c r="U27" s="2">
        <v>5</v>
      </c>
      <c r="V27" s="242">
        <v>3253</v>
      </c>
      <c r="W27" s="1058" t="s">
        <v>6189</v>
      </c>
      <c r="X27" s="1058" t="s">
        <v>6097</v>
      </c>
      <c r="Y27" s="1058" t="s">
        <v>6102</v>
      </c>
      <c r="AA27" s="1058" t="s">
        <v>5608</v>
      </c>
      <c r="AB27" s="2" t="s">
        <v>5622</v>
      </c>
      <c r="AC27" s="2" t="s">
        <v>5623</v>
      </c>
      <c r="AK27" s="8" t="s">
        <v>5607</v>
      </c>
    </row>
    <row r="28" spans="1:37" s="191" customFormat="1" x14ac:dyDescent="0.3">
      <c r="A28" s="985" t="str">
        <f t="shared" si="0"/>
        <v>Sezóna 23/24</v>
      </c>
      <c r="B28" s="170">
        <v>26</v>
      </c>
      <c r="C28" s="170">
        <v>26</v>
      </c>
      <c r="D28" s="4">
        <v>45268</v>
      </c>
      <c r="E28" s="170" t="s">
        <v>626</v>
      </c>
      <c r="F28" s="170" t="s">
        <v>17</v>
      </c>
      <c r="G28" s="1059" t="s">
        <v>589</v>
      </c>
      <c r="H28" s="1059" t="s">
        <v>794</v>
      </c>
      <c r="I28" s="1091">
        <v>1</v>
      </c>
      <c r="J28" s="1091">
        <v>2</v>
      </c>
      <c r="K28" s="1091">
        <v>1</v>
      </c>
      <c r="L28" s="1091">
        <v>1</v>
      </c>
      <c r="M28" s="269">
        <v>5</v>
      </c>
      <c r="N28" s="269">
        <v>4</v>
      </c>
      <c r="O28" s="269">
        <v>43</v>
      </c>
      <c r="P28" s="169">
        <v>0</v>
      </c>
      <c r="Q28" s="170">
        <v>0</v>
      </c>
      <c r="R28" s="170">
        <v>0</v>
      </c>
      <c r="S28" s="170">
        <v>0</v>
      </c>
      <c r="T28" s="170">
        <v>3</v>
      </c>
      <c r="U28" s="170">
        <v>3</v>
      </c>
      <c r="V28" s="171">
        <v>3694</v>
      </c>
      <c r="W28" s="1059" t="s">
        <v>6187</v>
      </c>
      <c r="X28" s="1059" t="s">
        <v>6188</v>
      </c>
      <c r="Y28" s="1059" t="s">
        <v>6188</v>
      </c>
      <c r="Z28" s="1059" t="s">
        <v>3213</v>
      </c>
      <c r="AA28" s="1059" t="s">
        <v>4898</v>
      </c>
      <c r="AB28" s="170" t="s">
        <v>5624</v>
      </c>
      <c r="AC28" s="170"/>
      <c r="AD28" s="170"/>
      <c r="AE28" s="170"/>
      <c r="AF28" s="170"/>
      <c r="AG28" s="170"/>
      <c r="AH28" s="170"/>
      <c r="AI28" s="171"/>
      <c r="AJ28" s="268"/>
      <c r="AK28" s="268" t="s">
        <v>5610</v>
      </c>
    </row>
    <row r="29" spans="1:37" x14ac:dyDescent="0.3">
      <c r="A29" s="985" t="str">
        <f t="shared" si="0"/>
        <v>Sezóna 23/24</v>
      </c>
      <c r="B29" s="2">
        <v>27</v>
      </c>
      <c r="C29" s="2">
        <v>27</v>
      </c>
      <c r="D29" s="4">
        <v>45270</v>
      </c>
      <c r="E29" s="2" t="s">
        <v>327</v>
      </c>
      <c r="F29" s="2" t="s">
        <v>16</v>
      </c>
      <c r="G29" s="1058" t="s">
        <v>6073</v>
      </c>
      <c r="H29" s="1058" t="s">
        <v>16</v>
      </c>
      <c r="I29" s="259">
        <v>4</v>
      </c>
      <c r="J29" s="259">
        <v>2</v>
      </c>
      <c r="K29" s="259">
        <v>3</v>
      </c>
      <c r="L29" s="259">
        <v>2</v>
      </c>
      <c r="M29" s="2">
        <v>5</v>
      </c>
      <c r="N29" s="2">
        <v>7</v>
      </c>
      <c r="O29" s="2">
        <v>46</v>
      </c>
      <c r="P29" s="168">
        <v>1</v>
      </c>
      <c r="Q29" s="2">
        <v>0</v>
      </c>
      <c r="R29" s="2">
        <v>0</v>
      </c>
      <c r="S29" s="2">
        <v>1</v>
      </c>
      <c r="T29" s="2">
        <v>2</v>
      </c>
      <c r="U29" s="2">
        <v>4</v>
      </c>
      <c r="V29" s="242">
        <v>9498</v>
      </c>
      <c r="W29" s="1058" t="s">
        <v>6188</v>
      </c>
      <c r="X29" s="1058" t="s">
        <v>6089</v>
      </c>
      <c r="Y29" s="1058" t="s">
        <v>6194</v>
      </c>
      <c r="AA29" s="1058" t="s">
        <v>4114</v>
      </c>
      <c r="AB29" s="2" t="s">
        <v>5625</v>
      </c>
      <c r="AC29" s="2" t="s">
        <v>5626</v>
      </c>
      <c r="AD29" s="2" t="s">
        <v>5627</v>
      </c>
      <c r="AE29" s="2" t="s">
        <v>6535</v>
      </c>
      <c r="AK29" s="8" t="s">
        <v>5609</v>
      </c>
    </row>
    <row r="30" spans="1:37" x14ac:dyDescent="0.3">
      <c r="A30" s="985" t="str">
        <f t="shared" si="0"/>
        <v>Sezóna 23/24</v>
      </c>
      <c r="B30" s="2">
        <v>28</v>
      </c>
      <c r="C30" s="2">
        <v>28</v>
      </c>
      <c r="D30" s="4">
        <v>45280</v>
      </c>
      <c r="E30" s="2" t="s">
        <v>331</v>
      </c>
      <c r="F30" s="2" t="s">
        <v>17</v>
      </c>
      <c r="G30" s="1058" t="s">
        <v>161</v>
      </c>
      <c r="H30" s="1058" t="s">
        <v>794</v>
      </c>
      <c r="I30" s="259">
        <v>2</v>
      </c>
      <c r="J30" s="259">
        <v>3</v>
      </c>
      <c r="K30" s="259">
        <v>2</v>
      </c>
      <c r="L30" s="259">
        <v>2</v>
      </c>
      <c r="M30" s="2">
        <v>5</v>
      </c>
      <c r="N30" s="2">
        <v>5</v>
      </c>
      <c r="O30" s="2">
        <v>47</v>
      </c>
      <c r="P30" s="168">
        <v>1</v>
      </c>
      <c r="Q30" s="2">
        <v>0</v>
      </c>
      <c r="R30" s="2">
        <v>0</v>
      </c>
      <c r="S30" s="2">
        <v>0</v>
      </c>
      <c r="T30" s="2">
        <v>2</v>
      </c>
      <c r="U30" s="2">
        <v>3</v>
      </c>
      <c r="V30" s="242">
        <v>4073</v>
      </c>
      <c r="W30" s="1058" t="s">
        <v>6188</v>
      </c>
      <c r="X30" s="1058" t="s">
        <v>6097</v>
      </c>
      <c r="Y30" s="1058" t="s">
        <v>6120</v>
      </c>
      <c r="Z30" s="1058" t="s">
        <v>208</v>
      </c>
      <c r="AA30" s="1058" t="s">
        <v>4145</v>
      </c>
      <c r="AB30" s="2" t="s">
        <v>5631</v>
      </c>
      <c r="AC30" s="2" t="s">
        <v>5642</v>
      </c>
      <c r="AJ30" s="8" t="s">
        <v>5630</v>
      </c>
      <c r="AK30" s="8" t="s">
        <v>5633</v>
      </c>
    </row>
    <row r="31" spans="1:37" x14ac:dyDescent="0.3">
      <c r="A31" s="985" t="str">
        <f t="shared" si="0"/>
        <v>Sezóna 23/24</v>
      </c>
      <c r="B31" s="2">
        <v>29</v>
      </c>
      <c r="C31" s="2">
        <v>30</v>
      </c>
      <c r="D31" s="4">
        <v>45286</v>
      </c>
      <c r="E31" s="2" t="s">
        <v>610</v>
      </c>
      <c r="F31" s="2" t="s">
        <v>17</v>
      </c>
      <c r="G31" s="1058" t="s">
        <v>6209</v>
      </c>
      <c r="H31" s="1058" t="s">
        <v>16</v>
      </c>
      <c r="I31" s="259">
        <v>6</v>
      </c>
      <c r="J31" s="259">
        <v>3</v>
      </c>
      <c r="K31" s="259">
        <v>6</v>
      </c>
      <c r="L31" s="259">
        <v>3</v>
      </c>
      <c r="M31" s="2">
        <v>4</v>
      </c>
      <c r="N31" s="2">
        <v>5</v>
      </c>
      <c r="O31" s="2">
        <v>50</v>
      </c>
      <c r="P31" s="168">
        <v>2</v>
      </c>
      <c r="Q31" s="2">
        <v>1</v>
      </c>
      <c r="R31" s="2">
        <v>1</v>
      </c>
      <c r="S31" s="2">
        <v>0</v>
      </c>
      <c r="T31" s="2">
        <v>6</v>
      </c>
      <c r="U31" s="2">
        <v>4</v>
      </c>
      <c r="V31" s="242">
        <v>5042</v>
      </c>
      <c r="W31" s="1058" t="s">
        <v>6073</v>
      </c>
      <c r="X31" s="1058" t="s">
        <v>6120</v>
      </c>
      <c r="Y31" s="1058" t="s">
        <v>6187</v>
      </c>
      <c r="AA31" s="1058" t="s">
        <v>5634</v>
      </c>
      <c r="AB31" s="2" t="s">
        <v>5643</v>
      </c>
      <c r="AC31" s="2" t="s">
        <v>5644</v>
      </c>
      <c r="AD31" s="2" t="s">
        <v>5645</v>
      </c>
      <c r="AE31" s="2" t="s">
        <v>5646</v>
      </c>
      <c r="AF31" s="2" t="s">
        <v>5647</v>
      </c>
      <c r="AG31" s="2" t="s">
        <v>5648</v>
      </c>
      <c r="AK31" s="8" t="s">
        <v>5632</v>
      </c>
    </row>
    <row r="32" spans="1:37" x14ac:dyDescent="0.3">
      <c r="A32" s="985" t="str">
        <f t="shared" si="0"/>
        <v>Sezóna 23/24</v>
      </c>
      <c r="B32" s="2">
        <v>30</v>
      </c>
      <c r="C32" s="2">
        <v>31</v>
      </c>
      <c r="D32" s="4">
        <v>45288</v>
      </c>
      <c r="E32" s="2" t="s">
        <v>1274</v>
      </c>
      <c r="F32" s="2" t="s">
        <v>16</v>
      </c>
      <c r="G32" s="1058" t="s">
        <v>6190</v>
      </c>
      <c r="H32" s="1058" t="s">
        <v>16</v>
      </c>
      <c r="I32" s="259">
        <v>5</v>
      </c>
      <c r="J32" s="259">
        <v>1</v>
      </c>
      <c r="K32" s="259">
        <v>5</v>
      </c>
      <c r="L32" s="259">
        <v>1</v>
      </c>
      <c r="M32" s="2">
        <v>4</v>
      </c>
      <c r="N32" s="2">
        <v>8</v>
      </c>
      <c r="O32" s="2">
        <v>53</v>
      </c>
      <c r="P32" s="168">
        <v>1</v>
      </c>
      <c r="Q32" s="2">
        <v>0</v>
      </c>
      <c r="R32" s="2">
        <v>0</v>
      </c>
      <c r="S32" s="2">
        <v>0</v>
      </c>
      <c r="T32" s="2">
        <v>4</v>
      </c>
      <c r="U32" s="2">
        <v>3</v>
      </c>
      <c r="V32" s="242">
        <v>5410</v>
      </c>
      <c r="W32" s="1058" t="s">
        <v>6110</v>
      </c>
      <c r="X32" s="1058" t="s">
        <v>6189</v>
      </c>
      <c r="Y32" s="1058" t="s">
        <v>6089</v>
      </c>
      <c r="AA32" s="1058" t="s">
        <v>5635</v>
      </c>
      <c r="AB32" s="2" t="s">
        <v>5649</v>
      </c>
      <c r="AC32" s="2" t="s">
        <v>5650</v>
      </c>
      <c r="AD32" s="2" t="s">
        <v>5651</v>
      </c>
      <c r="AE32" s="2" t="s">
        <v>5652</v>
      </c>
      <c r="AF32" s="2" t="s">
        <v>5659</v>
      </c>
      <c r="AK32" s="8" t="s">
        <v>5636</v>
      </c>
    </row>
    <row r="33" spans="1:37" x14ac:dyDescent="0.3">
      <c r="A33" s="985" t="str">
        <f t="shared" si="0"/>
        <v>Sezóna 23/24</v>
      </c>
      <c r="B33" s="2">
        <v>31</v>
      </c>
      <c r="C33" s="2">
        <v>32</v>
      </c>
      <c r="D33" s="4">
        <v>45290</v>
      </c>
      <c r="E33" s="2" t="s">
        <v>6086</v>
      </c>
      <c r="F33" s="425" t="s">
        <v>17</v>
      </c>
      <c r="G33" s="1058" t="s">
        <v>6144</v>
      </c>
      <c r="H33" s="1058" t="s">
        <v>16</v>
      </c>
      <c r="I33" s="259">
        <v>6</v>
      </c>
      <c r="J33" s="259">
        <v>1</v>
      </c>
      <c r="K33" s="259">
        <v>6</v>
      </c>
      <c r="L33" s="259">
        <v>1</v>
      </c>
      <c r="M33" s="2">
        <v>4</v>
      </c>
      <c r="N33" s="2">
        <v>8</v>
      </c>
      <c r="O33" s="2">
        <v>56</v>
      </c>
      <c r="P33" s="168">
        <v>1</v>
      </c>
      <c r="Q33" s="2">
        <v>0</v>
      </c>
      <c r="R33" s="2">
        <v>0</v>
      </c>
      <c r="S33" s="2">
        <v>1</v>
      </c>
      <c r="T33" s="2">
        <v>6</v>
      </c>
      <c r="U33" s="2">
        <v>4</v>
      </c>
      <c r="V33" s="242">
        <v>5823</v>
      </c>
      <c r="W33" s="1058" t="s">
        <v>6120</v>
      </c>
      <c r="X33" s="1058" t="s">
        <v>6100</v>
      </c>
      <c r="Y33" s="1058" t="s">
        <v>6089</v>
      </c>
      <c r="AA33" s="1058" t="s">
        <v>5638</v>
      </c>
      <c r="AB33" s="2" t="s">
        <v>5653</v>
      </c>
      <c r="AC33" s="2" t="s">
        <v>5660</v>
      </c>
      <c r="AD33" s="2" t="s">
        <v>5654</v>
      </c>
      <c r="AE33" s="2" t="s">
        <v>5655</v>
      </c>
      <c r="AF33" s="2" t="s">
        <v>5656</v>
      </c>
      <c r="AG33" s="2" t="s">
        <v>5657</v>
      </c>
      <c r="AK33" s="8" t="s">
        <v>5636</v>
      </c>
    </row>
    <row r="34" spans="1:37" x14ac:dyDescent="0.3">
      <c r="A34" s="985" t="str">
        <f t="shared" si="0"/>
        <v>Sezóna 23/24</v>
      </c>
      <c r="B34" s="2">
        <v>32</v>
      </c>
      <c r="C34" s="2">
        <v>47</v>
      </c>
      <c r="D34" s="4">
        <v>45294</v>
      </c>
      <c r="E34" s="2" t="s">
        <v>6076</v>
      </c>
      <c r="F34" s="2" t="s">
        <v>17</v>
      </c>
      <c r="G34" s="1058" t="s">
        <v>6215</v>
      </c>
      <c r="H34" s="1058" t="s">
        <v>743</v>
      </c>
      <c r="I34" s="259">
        <v>1</v>
      </c>
      <c r="J34" s="259">
        <v>6</v>
      </c>
      <c r="K34" s="259">
        <v>1</v>
      </c>
      <c r="L34" s="259">
        <v>6</v>
      </c>
      <c r="M34" s="2">
        <v>4</v>
      </c>
      <c r="N34" s="2">
        <v>5</v>
      </c>
      <c r="O34" s="2">
        <v>56</v>
      </c>
      <c r="P34" s="168">
        <v>0</v>
      </c>
      <c r="Q34" s="2">
        <v>0</v>
      </c>
      <c r="R34" s="2">
        <v>0</v>
      </c>
      <c r="S34" s="2">
        <v>1</v>
      </c>
      <c r="T34" s="2">
        <v>4</v>
      </c>
      <c r="U34" s="2">
        <v>4</v>
      </c>
      <c r="V34" s="242">
        <v>3810</v>
      </c>
      <c r="W34" s="1058" t="s">
        <v>6102</v>
      </c>
      <c r="X34" s="1058" t="s">
        <v>6188</v>
      </c>
      <c r="Y34" s="1058" t="s">
        <v>6079</v>
      </c>
      <c r="AA34" s="1058" t="s">
        <v>3809</v>
      </c>
      <c r="AB34" s="2" t="s">
        <v>5678</v>
      </c>
      <c r="AK34" s="8" t="s">
        <v>5640</v>
      </c>
    </row>
    <row r="35" spans="1:37" x14ac:dyDescent="0.3">
      <c r="A35" s="985" t="str">
        <f t="shared" si="0"/>
        <v>Sezóna 23/24</v>
      </c>
      <c r="B35" s="2">
        <v>33</v>
      </c>
      <c r="C35" s="2">
        <v>33</v>
      </c>
      <c r="D35" s="4">
        <v>45296</v>
      </c>
      <c r="E35" s="2" t="s">
        <v>334</v>
      </c>
      <c r="F35" s="2" t="s">
        <v>17</v>
      </c>
      <c r="G35" s="1058" t="s">
        <v>6133</v>
      </c>
      <c r="H35" s="1058" t="s">
        <v>16</v>
      </c>
      <c r="I35" s="259">
        <v>5</v>
      </c>
      <c r="J35" s="259">
        <v>2</v>
      </c>
      <c r="K35" s="259">
        <v>4</v>
      </c>
      <c r="L35" s="259">
        <v>2</v>
      </c>
      <c r="M35" s="2">
        <v>4</v>
      </c>
      <c r="N35" s="2">
        <v>5</v>
      </c>
      <c r="O35" s="2">
        <v>59</v>
      </c>
      <c r="P35" s="168">
        <v>0</v>
      </c>
      <c r="Q35" s="2">
        <v>0</v>
      </c>
      <c r="R35" s="2">
        <v>0</v>
      </c>
      <c r="S35" s="2">
        <v>0</v>
      </c>
      <c r="T35" s="2">
        <v>3</v>
      </c>
      <c r="U35" s="2">
        <v>4</v>
      </c>
      <c r="V35" s="242">
        <v>4524</v>
      </c>
      <c r="W35" s="1058" t="s">
        <v>6189</v>
      </c>
      <c r="X35" s="1058" t="s">
        <v>6100</v>
      </c>
      <c r="Y35" s="1058" t="s">
        <v>6089</v>
      </c>
      <c r="AA35" s="1058" t="s">
        <v>5658</v>
      </c>
      <c r="AB35" s="2" t="s">
        <v>5679</v>
      </c>
      <c r="AC35" s="2" t="s">
        <v>5680</v>
      </c>
      <c r="AD35" s="2" t="s">
        <v>5681</v>
      </c>
      <c r="AE35" s="2" t="s">
        <v>5682</v>
      </c>
      <c r="AF35" s="2" t="s">
        <v>5683</v>
      </c>
      <c r="AK35" s="8" t="s">
        <v>5641</v>
      </c>
    </row>
    <row r="36" spans="1:37" x14ac:dyDescent="0.3">
      <c r="A36" s="985" t="str">
        <f t="shared" si="0"/>
        <v>Sezóna 23/24</v>
      </c>
      <c r="B36" s="2">
        <v>34</v>
      </c>
      <c r="C36" s="2">
        <v>34</v>
      </c>
      <c r="D36" s="4">
        <v>45298</v>
      </c>
      <c r="E36" s="2" t="s">
        <v>6076</v>
      </c>
      <c r="F36" s="2" t="s">
        <v>16</v>
      </c>
      <c r="G36" s="1058" t="s">
        <v>589</v>
      </c>
      <c r="H36" s="1058" t="s">
        <v>794</v>
      </c>
      <c r="I36" s="259">
        <v>1</v>
      </c>
      <c r="J36" s="259">
        <v>2</v>
      </c>
      <c r="K36" s="259">
        <v>1</v>
      </c>
      <c r="L36" s="259">
        <v>1</v>
      </c>
      <c r="M36" s="2">
        <v>4</v>
      </c>
      <c r="N36" s="2">
        <v>6</v>
      </c>
      <c r="O36" s="2">
        <v>60</v>
      </c>
      <c r="P36" s="168">
        <v>0</v>
      </c>
      <c r="Q36" s="2">
        <v>0</v>
      </c>
      <c r="R36" s="2">
        <v>0</v>
      </c>
      <c r="S36" s="2">
        <v>0</v>
      </c>
      <c r="T36" s="2">
        <v>1</v>
      </c>
      <c r="U36" s="2">
        <v>2</v>
      </c>
      <c r="V36" s="242">
        <v>4861</v>
      </c>
      <c r="W36" s="1058" t="s">
        <v>6187</v>
      </c>
      <c r="X36" s="1058" t="s">
        <v>6188</v>
      </c>
      <c r="Y36" s="1058" t="s">
        <v>6188</v>
      </c>
      <c r="Z36" s="1058" t="s">
        <v>3213</v>
      </c>
      <c r="AA36" s="1058" t="s">
        <v>3803</v>
      </c>
      <c r="AB36" s="2" t="s">
        <v>5684</v>
      </c>
      <c r="AK36" s="8" t="s">
        <v>5639</v>
      </c>
    </row>
    <row r="37" spans="1:37" x14ac:dyDescent="0.3">
      <c r="A37" s="985" t="str">
        <f t="shared" si="0"/>
        <v>Sezóna 23/24</v>
      </c>
      <c r="B37" s="2">
        <v>35</v>
      </c>
      <c r="C37" s="2">
        <v>35</v>
      </c>
      <c r="D37" s="4">
        <v>45303</v>
      </c>
      <c r="E37" s="2" t="s">
        <v>6091</v>
      </c>
      <c r="F37" s="2" t="s">
        <v>17</v>
      </c>
      <c r="G37" s="1058" t="s">
        <v>164</v>
      </c>
      <c r="H37" s="1058" t="s">
        <v>793</v>
      </c>
      <c r="I37" s="259">
        <v>4</v>
      </c>
      <c r="J37" s="259">
        <v>3</v>
      </c>
      <c r="K37" s="259">
        <v>3</v>
      </c>
      <c r="L37" s="259">
        <v>3</v>
      </c>
      <c r="M37" s="2">
        <v>4</v>
      </c>
      <c r="N37" s="2">
        <v>5</v>
      </c>
      <c r="O37" s="2">
        <v>62</v>
      </c>
      <c r="P37" s="168">
        <v>1</v>
      </c>
      <c r="Q37" s="2">
        <v>0</v>
      </c>
      <c r="R37" s="2">
        <v>0</v>
      </c>
      <c r="S37" s="2">
        <v>0</v>
      </c>
      <c r="T37" s="2">
        <v>3</v>
      </c>
      <c r="U37" s="2">
        <v>1</v>
      </c>
      <c r="V37" s="242">
        <v>4310</v>
      </c>
      <c r="W37" s="1058" t="s">
        <v>6100</v>
      </c>
      <c r="X37" s="1058" t="s">
        <v>6171</v>
      </c>
      <c r="Y37" s="1058" t="s">
        <v>6188</v>
      </c>
      <c r="Z37" s="1058" t="s">
        <v>756</v>
      </c>
      <c r="AA37" s="1058" t="s">
        <v>5661</v>
      </c>
      <c r="AB37" s="2" t="s">
        <v>5685</v>
      </c>
      <c r="AC37" s="2" t="s">
        <v>5686</v>
      </c>
      <c r="AD37" s="2" t="s">
        <v>5687</v>
      </c>
      <c r="AE37" s="2" t="s">
        <v>5688</v>
      </c>
      <c r="AK37" s="8" t="s">
        <v>5670</v>
      </c>
    </row>
    <row r="38" spans="1:37" x14ac:dyDescent="0.3">
      <c r="A38" s="985" t="str">
        <f t="shared" si="0"/>
        <v>Sezóna 23/24</v>
      </c>
      <c r="B38" s="2">
        <v>36</v>
      </c>
      <c r="C38" s="2">
        <v>36</v>
      </c>
      <c r="D38" s="4">
        <v>45305</v>
      </c>
      <c r="E38" s="2" t="s">
        <v>325</v>
      </c>
      <c r="F38" s="2" t="s">
        <v>16</v>
      </c>
      <c r="G38" s="1058" t="s">
        <v>6092</v>
      </c>
      <c r="H38" s="1058" t="s">
        <v>743</v>
      </c>
      <c r="I38" s="259">
        <v>3</v>
      </c>
      <c r="J38" s="259">
        <v>6</v>
      </c>
      <c r="K38" s="259">
        <v>3</v>
      </c>
      <c r="L38" s="259">
        <v>5</v>
      </c>
      <c r="M38" s="2">
        <v>4</v>
      </c>
      <c r="N38" s="2">
        <v>5</v>
      </c>
      <c r="O38" s="2">
        <v>62</v>
      </c>
      <c r="P38" s="168">
        <v>1</v>
      </c>
      <c r="Q38" s="2">
        <v>0</v>
      </c>
      <c r="R38" s="2">
        <v>0</v>
      </c>
      <c r="S38" s="2">
        <v>2</v>
      </c>
      <c r="T38" s="2">
        <v>3</v>
      </c>
      <c r="U38" s="2">
        <v>3</v>
      </c>
      <c r="V38" s="242">
        <v>12087</v>
      </c>
      <c r="W38" s="1058" t="s">
        <v>6188</v>
      </c>
      <c r="X38" s="1058" t="s">
        <v>6193</v>
      </c>
      <c r="Y38" s="1058" t="s">
        <v>6079</v>
      </c>
      <c r="AA38" s="1058" t="s">
        <v>5662</v>
      </c>
      <c r="AB38" s="2" t="s">
        <v>5689</v>
      </c>
      <c r="AC38" s="2" t="s">
        <v>5690</v>
      </c>
      <c r="AD38" s="2" t="s">
        <v>5691</v>
      </c>
      <c r="AK38" s="8" t="s">
        <v>5671</v>
      </c>
    </row>
    <row r="39" spans="1:37" x14ac:dyDescent="0.3">
      <c r="A39" s="985" t="str">
        <f t="shared" si="0"/>
        <v>Sezóna 23/24</v>
      </c>
      <c r="B39" s="2">
        <v>37</v>
      </c>
      <c r="C39" s="2">
        <v>29</v>
      </c>
      <c r="D39" s="4">
        <v>45308</v>
      </c>
      <c r="E39" s="2" t="s">
        <v>6179</v>
      </c>
      <c r="F39" s="2" t="s">
        <v>16</v>
      </c>
      <c r="G39" s="1058" t="s">
        <v>6102</v>
      </c>
      <c r="H39" s="1058" t="s">
        <v>743</v>
      </c>
      <c r="I39" s="259">
        <v>1</v>
      </c>
      <c r="J39" s="259">
        <v>3</v>
      </c>
      <c r="K39" s="259">
        <v>1</v>
      </c>
      <c r="L39" s="259">
        <v>2</v>
      </c>
      <c r="M39" s="2">
        <v>4</v>
      </c>
      <c r="N39" s="2">
        <v>5</v>
      </c>
      <c r="O39" s="2">
        <v>62</v>
      </c>
      <c r="P39" s="168">
        <v>0</v>
      </c>
      <c r="Q39" s="2">
        <v>0</v>
      </c>
      <c r="R39" s="2">
        <v>0</v>
      </c>
      <c r="S39" s="2">
        <v>0</v>
      </c>
      <c r="T39" s="2">
        <v>1</v>
      </c>
      <c r="U39" s="2">
        <v>4</v>
      </c>
      <c r="V39" s="242">
        <v>7412</v>
      </c>
      <c r="W39" s="1058" t="s">
        <v>6189</v>
      </c>
      <c r="X39" s="1058" t="s">
        <v>6120</v>
      </c>
      <c r="Y39" s="1058" t="s">
        <v>6171</v>
      </c>
      <c r="AA39" s="1058" t="s">
        <v>3307</v>
      </c>
      <c r="AB39" s="2" t="s">
        <v>5692</v>
      </c>
      <c r="AK39" s="8" t="s">
        <v>5672</v>
      </c>
    </row>
    <row r="40" spans="1:37" x14ac:dyDescent="0.3">
      <c r="A40" s="985" t="str">
        <f t="shared" si="0"/>
        <v>Sezóna 23/24</v>
      </c>
      <c r="B40" s="2">
        <v>38</v>
      </c>
      <c r="C40" s="2">
        <v>37</v>
      </c>
      <c r="D40" s="4">
        <v>45310</v>
      </c>
      <c r="E40" s="2" t="s">
        <v>332</v>
      </c>
      <c r="F40" s="2" t="s">
        <v>17</v>
      </c>
      <c r="G40" s="1058" t="s">
        <v>6192</v>
      </c>
      <c r="H40" s="1058" t="s">
        <v>16</v>
      </c>
      <c r="I40" s="259">
        <v>4</v>
      </c>
      <c r="J40" s="259">
        <v>3</v>
      </c>
      <c r="K40" s="259">
        <v>4</v>
      </c>
      <c r="L40" s="259">
        <v>3</v>
      </c>
      <c r="M40" s="2">
        <v>4</v>
      </c>
      <c r="N40" s="2">
        <v>5</v>
      </c>
      <c r="O40" s="2">
        <v>65</v>
      </c>
      <c r="P40" s="168">
        <v>1</v>
      </c>
      <c r="Q40" s="2">
        <v>0</v>
      </c>
      <c r="R40" s="2">
        <v>0</v>
      </c>
      <c r="S40" s="2">
        <v>1</v>
      </c>
      <c r="T40" s="2">
        <v>4</v>
      </c>
      <c r="U40" s="2">
        <v>5</v>
      </c>
      <c r="V40" s="242">
        <v>5324</v>
      </c>
      <c r="W40" s="1058" t="s">
        <v>6089</v>
      </c>
      <c r="X40" s="1058" t="s">
        <v>6097</v>
      </c>
      <c r="Y40" s="1058" t="s">
        <v>6187</v>
      </c>
      <c r="AA40" s="1058" t="s">
        <v>5324</v>
      </c>
      <c r="AB40" s="2" t="s">
        <v>5693</v>
      </c>
      <c r="AC40" s="2" t="s">
        <v>5694</v>
      </c>
      <c r="AD40" s="2" t="s">
        <v>5695</v>
      </c>
      <c r="AE40" s="2" t="s">
        <v>5696</v>
      </c>
      <c r="AK40" s="8" t="s">
        <v>5641</v>
      </c>
    </row>
    <row r="41" spans="1:37" s="191" customFormat="1" x14ac:dyDescent="0.3">
      <c r="A41" s="985" t="str">
        <f t="shared" si="0"/>
        <v>Sezóna 23/24</v>
      </c>
      <c r="B41" s="170">
        <v>39</v>
      </c>
      <c r="C41" s="170">
        <v>38</v>
      </c>
      <c r="D41" s="4">
        <v>45312</v>
      </c>
      <c r="E41" s="170" t="s">
        <v>328</v>
      </c>
      <c r="F41" s="170" t="s">
        <v>16</v>
      </c>
      <c r="G41" s="1059" t="s">
        <v>6084</v>
      </c>
      <c r="H41" s="1059" t="s">
        <v>743</v>
      </c>
      <c r="I41" s="1091">
        <v>1</v>
      </c>
      <c r="J41" s="1091">
        <v>5</v>
      </c>
      <c r="K41" s="1091">
        <v>1</v>
      </c>
      <c r="L41" s="1091">
        <v>5</v>
      </c>
      <c r="M41" s="269">
        <v>4</v>
      </c>
      <c r="N41" s="269">
        <v>5</v>
      </c>
      <c r="O41" s="269">
        <v>65</v>
      </c>
      <c r="P41" s="169">
        <v>1</v>
      </c>
      <c r="Q41" s="170">
        <v>0</v>
      </c>
      <c r="R41" s="170">
        <v>0</v>
      </c>
      <c r="S41" s="170">
        <v>1</v>
      </c>
      <c r="T41" s="170">
        <v>4</v>
      </c>
      <c r="U41" s="170">
        <v>1</v>
      </c>
      <c r="V41" s="171">
        <v>4693</v>
      </c>
      <c r="W41" s="1059" t="s">
        <v>6189</v>
      </c>
      <c r="X41" s="1059" t="s">
        <v>6171</v>
      </c>
      <c r="Y41" s="1059" t="s">
        <v>6097</v>
      </c>
      <c r="Z41" s="1059"/>
      <c r="AA41" s="1059" t="s">
        <v>5669</v>
      </c>
      <c r="AB41" s="170" t="s">
        <v>5706</v>
      </c>
      <c r="AC41" s="170"/>
      <c r="AD41" s="170"/>
      <c r="AE41" s="170"/>
      <c r="AF41" s="170"/>
      <c r="AG41" s="170"/>
      <c r="AH41" s="170"/>
      <c r="AI41" s="171"/>
      <c r="AJ41" s="268"/>
      <c r="AK41" s="191" t="s">
        <v>5673</v>
      </c>
    </row>
    <row r="42" spans="1:37" x14ac:dyDescent="0.3">
      <c r="A42" s="985" t="str">
        <f t="shared" si="0"/>
        <v>Sezóna 23/24</v>
      </c>
      <c r="B42" s="2">
        <v>40</v>
      </c>
      <c r="C42" s="2">
        <v>39</v>
      </c>
      <c r="D42" s="4">
        <v>45314</v>
      </c>
      <c r="E42" s="2" t="s">
        <v>626</v>
      </c>
      <c r="F42" s="2" t="s">
        <v>17</v>
      </c>
      <c r="G42" s="1058" t="s">
        <v>6148</v>
      </c>
      <c r="H42" s="1058" t="s">
        <v>16</v>
      </c>
      <c r="I42" s="259">
        <v>4</v>
      </c>
      <c r="J42" s="259">
        <v>1</v>
      </c>
      <c r="K42" s="259">
        <v>3</v>
      </c>
      <c r="L42" s="259">
        <v>1</v>
      </c>
      <c r="M42" s="2">
        <v>4</v>
      </c>
      <c r="N42" s="2">
        <v>5</v>
      </c>
      <c r="O42" s="2">
        <v>68</v>
      </c>
      <c r="P42" s="168">
        <v>2</v>
      </c>
      <c r="Q42" s="2">
        <v>0</v>
      </c>
      <c r="R42" s="2">
        <v>0</v>
      </c>
      <c r="S42" s="2">
        <v>1</v>
      </c>
      <c r="T42" s="2">
        <v>6.5</v>
      </c>
      <c r="U42" s="2">
        <v>5</v>
      </c>
      <c r="V42" s="242">
        <v>3538</v>
      </c>
      <c r="W42" s="1058" t="s">
        <v>6188</v>
      </c>
      <c r="X42" s="1058" t="s">
        <v>6110</v>
      </c>
      <c r="Y42" s="1058" t="s">
        <v>6187</v>
      </c>
      <c r="AA42" s="1058" t="s">
        <v>4151</v>
      </c>
      <c r="AB42" s="2" t="s">
        <v>5707</v>
      </c>
      <c r="AC42" s="2" t="s">
        <v>5708</v>
      </c>
      <c r="AD42" s="2" t="s">
        <v>5709</v>
      </c>
      <c r="AE42" s="2" t="s">
        <v>5710</v>
      </c>
      <c r="AK42" s="636" t="s">
        <v>5674</v>
      </c>
    </row>
    <row r="43" spans="1:37" x14ac:dyDescent="0.3">
      <c r="A43" s="985" t="str">
        <f t="shared" si="0"/>
        <v>Sezóna 23/24</v>
      </c>
      <c r="B43" s="2">
        <v>41</v>
      </c>
      <c r="C43" s="2">
        <v>40</v>
      </c>
      <c r="D43" s="4">
        <v>45317</v>
      </c>
      <c r="E43" s="2" t="s">
        <v>327</v>
      </c>
      <c r="F43" s="2" t="s">
        <v>17</v>
      </c>
      <c r="G43" s="1058" t="s">
        <v>6102</v>
      </c>
      <c r="H43" s="1058" t="s">
        <v>743</v>
      </c>
      <c r="I43" s="259">
        <v>1</v>
      </c>
      <c r="J43" s="259">
        <v>3</v>
      </c>
      <c r="K43" s="259">
        <v>1</v>
      </c>
      <c r="L43" s="259">
        <v>2</v>
      </c>
      <c r="M43" s="2">
        <v>4</v>
      </c>
      <c r="N43" s="2">
        <v>2</v>
      </c>
      <c r="O43" s="2">
        <v>68</v>
      </c>
      <c r="P43" s="168">
        <v>1</v>
      </c>
      <c r="Q43" s="2">
        <v>0</v>
      </c>
      <c r="R43" s="2">
        <v>0</v>
      </c>
      <c r="S43" s="2">
        <v>0</v>
      </c>
      <c r="T43" s="2">
        <v>3</v>
      </c>
      <c r="U43" s="2">
        <v>2</v>
      </c>
      <c r="V43" s="242">
        <v>5114</v>
      </c>
      <c r="W43" s="1058" t="s">
        <v>6120</v>
      </c>
      <c r="X43" s="1058" t="s">
        <v>6171</v>
      </c>
      <c r="Y43" s="1058" t="s">
        <v>6189</v>
      </c>
      <c r="AA43" s="1058" t="s">
        <v>3601</v>
      </c>
      <c r="AB43" s="2" t="s">
        <v>5711</v>
      </c>
      <c r="AK43" s="8" t="s">
        <v>5677</v>
      </c>
    </row>
    <row r="44" spans="1:37" x14ac:dyDescent="0.3">
      <c r="A44" s="985" t="str">
        <f t="shared" si="0"/>
        <v>Sezóna 23/24</v>
      </c>
      <c r="B44" s="2">
        <v>42</v>
      </c>
      <c r="C44" s="2">
        <v>41</v>
      </c>
      <c r="D44" s="4">
        <v>45319</v>
      </c>
      <c r="E44" s="2" t="s">
        <v>331</v>
      </c>
      <c r="F44" s="2" t="s">
        <v>16</v>
      </c>
      <c r="G44" s="1058" t="s">
        <v>6212</v>
      </c>
      <c r="H44" s="1058" t="s">
        <v>16</v>
      </c>
      <c r="I44" s="259">
        <v>5</v>
      </c>
      <c r="J44" s="259">
        <v>3</v>
      </c>
      <c r="K44" s="259">
        <v>4</v>
      </c>
      <c r="L44" s="259">
        <v>3</v>
      </c>
      <c r="M44" s="2">
        <v>4</v>
      </c>
      <c r="N44" s="2">
        <v>5</v>
      </c>
      <c r="O44" s="2">
        <v>71</v>
      </c>
      <c r="P44" s="168">
        <v>1</v>
      </c>
      <c r="Q44" s="2">
        <v>0</v>
      </c>
      <c r="R44" s="2">
        <v>0</v>
      </c>
      <c r="S44" s="2">
        <v>0</v>
      </c>
      <c r="T44" s="2">
        <v>1</v>
      </c>
      <c r="U44" s="2">
        <v>1</v>
      </c>
      <c r="V44" s="242">
        <v>5626</v>
      </c>
      <c r="W44" s="1058" t="s">
        <v>6187</v>
      </c>
      <c r="X44" s="1058" t="s">
        <v>6187</v>
      </c>
      <c r="Y44" s="1058" t="s">
        <v>6100</v>
      </c>
      <c r="AA44" s="1058" t="s">
        <v>5698</v>
      </c>
      <c r="AB44" s="2" t="s">
        <v>5712</v>
      </c>
      <c r="AC44" s="2" t="s">
        <v>5713</v>
      </c>
      <c r="AD44" s="2" t="s">
        <v>5714</v>
      </c>
      <c r="AE44" s="2" t="s">
        <v>5715</v>
      </c>
      <c r="AF44" s="2" t="s">
        <v>5716</v>
      </c>
      <c r="AJ44" s="8" t="s">
        <v>5697</v>
      </c>
      <c r="AK44" s="8" t="s">
        <v>5704</v>
      </c>
    </row>
    <row r="45" spans="1:37" x14ac:dyDescent="0.3">
      <c r="A45" s="985" t="str">
        <f t="shared" si="0"/>
        <v>Sezóna 23/24</v>
      </c>
      <c r="B45" s="2">
        <v>43</v>
      </c>
      <c r="C45" s="2">
        <v>42</v>
      </c>
      <c r="D45" s="4">
        <v>45324</v>
      </c>
      <c r="E45" s="2" t="s">
        <v>6179</v>
      </c>
      <c r="F45" s="2" t="s">
        <v>17</v>
      </c>
      <c r="G45" s="1058" t="s">
        <v>6146</v>
      </c>
      <c r="H45" s="1058" t="s">
        <v>743</v>
      </c>
      <c r="I45" s="259">
        <v>2</v>
      </c>
      <c r="J45" s="259">
        <v>3</v>
      </c>
      <c r="K45" s="259">
        <v>2</v>
      </c>
      <c r="L45" s="259">
        <v>3</v>
      </c>
      <c r="M45" s="2">
        <v>4</v>
      </c>
      <c r="N45" s="2">
        <v>2</v>
      </c>
      <c r="O45" s="2">
        <v>71</v>
      </c>
      <c r="P45" s="168">
        <v>1</v>
      </c>
      <c r="Q45" s="2">
        <v>0</v>
      </c>
      <c r="R45" s="2">
        <v>0</v>
      </c>
      <c r="S45" s="2">
        <v>0</v>
      </c>
      <c r="T45" s="2">
        <v>4</v>
      </c>
      <c r="U45" s="2">
        <v>3</v>
      </c>
      <c r="V45" s="242">
        <v>3896</v>
      </c>
      <c r="W45" s="1058" t="s">
        <v>6189</v>
      </c>
      <c r="X45" s="1058" t="s">
        <v>6120</v>
      </c>
      <c r="Y45" s="1058" t="s">
        <v>6097</v>
      </c>
      <c r="AA45" s="1058" t="s">
        <v>5699</v>
      </c>
      <c r="AB45" s="2" t="s">
        <v>5717</v>
      </c>
      <c r="AC45" s="2" t="s">
        <v>5718</v>
      </c>
      <c r="AK45" s="8" t="s">
        <v>5703</v>
      </c>
    </row>
    <row r="46" spans="1:37" x14ac:dyDescent="0.3">
      <c r="A46" s="985" t="str">
        <f t="shared" si="0"/>
        <v>Sezóna 23/24</v>
      </c>
      <c r="B46" s="2">
        <v>44</v>
      </c>
      <c r="C46" s="2">
        <v>43</v>
      </c>
      <c r="D46" s="4">
        <v>45326</v>
      </c>
      <c r="E46" s="2" t="s">
        <v>610</v>
      </c>
      <c r="F46" s="2" t="s">
        <v>16</v>
      </c>
      <c r="G46" s="1058" t="s">
        <v>6210</v>
      </c>
      <c r="H46" s="1058" t="s">
        <v>743</v>
      </c>
      <c r="I46" s="259">
        <v>2</v>
      </c>
      <c r="J46" s="259">
        <v>6</v>
      </c>
      <c r="K46" s="259">
        <v>2</v>
      </c>
      <c r="L46" s="259">
        <v>6</v>
      </c>
      <c r="M46" s="2">
        <v>6</v>
      </c>
      <c r="N46" s="2">
        <v>2</v>
      </c>
      <c r="O46" s="2">
        <v>71</v>
      </c>
      <c r="P46" s="168">
        <v>1</v>
      </c>
      <c r="Q46" s="2">
        <v>0</v>
      </c>
      <c r="R46" s="2">
        <v>0</v>
      </c>
      <c r="S46" s="2">
        <v>3</v>
      </c>
      <c r="T46" s="2">
        <v>4</v>
      </c>
      <c r="U46" s="2">
        <v>6</v>
      </c>
      <c r="V46" s="242">
        <v>7286</v>
      </c>
      <c r="W46" s="1058" t="s">
        <v>6171</v>
      </c>
      <c r="X46" s="1058" t="s">
        <v>6118</v>
      </c>
      <c r="Y46" s="1058" t="s">
        <v>6079</v>
      </c>
      <c r="AA46" s="1058" t="s">
        <v>5701</v>
      </c>
      <c r="AB46" s="2" t="s">
        <v>5719</v>
      </c>
      <c r="AC46" s="2" t="s">
        <v>5720</v>
      </c>
      <c r="AK46" s="8" t="s">
        <v>5702</v>
      </c>
    </row>
    <row r="47" spans="1:37" x14ac:dyDescent="0.3">
      <c r="A47" s="985" t="str">
        <f t="shared" si="0"/>
        <v>Sezóna 23/24</v>
      </c>
      <c r="B47" s="2">
        <v>45</v>
      </c>
      <c r="C47" s="2">
        <v>44</v>
      </c>
      <c r="D47" s="4">
        <v>45336</v>
      </c>
      <c r="E47" s="2" t="s">
        <v>1274</v>
      </c>
      <c r="F47" s="2" t="s">
        <v>17</v>
      </c>
      <c r="G47" s="1058" t="s">
        <v>590</v>
      </c>
      <c r="H47" s="1058" t="s">
        <v>794</v>
      </c>
      <c r="I47" s="259">
        <v>5</v>
      </c>
      <c r="J47" s="259">
        <v>6</v>
      </c>
      <c r="K47" s="259">
        <v>5</v>
      </c>
      <c r="L47" s="259">
        <v>5</v>
      </c>
      <c r="M47" s="2">
        <v>6</v>
      </c>
      <c r="N47" s="2">
        <v>0</v>
      </c>
      <c r="O47" s="2">
        <v>72</v>
      </c>
      <c r="P47" s="168">
        <v>3</v>
      </c>
      <c r="Q47" s="2">
        <v>0</v>
      </c>
      <c r="R47" s="2">
        <v>0</v>
      </c>
      <c r="S47" s="2">
        <v>2</v>
      </c>
      <c r="T47" s="2">
        <v>8</v>
      </c>
      <c r="U47" s="2">
        <v>4</v>
      </c>
      <c r="V47" s="242">
        <v>3731</v>
      </c>
      <c r="W47" s="1058" t="s">
        <v>6187</v>
      </c>
      <c r="X47" s="1058" t="s">
        <v>6128</v>
      </c>
      <c r="Y47" s="1058" t="s">
        <v>6110</v>
      </c>
      <c r="Z47" s="1058" t="s">
        <v>3213</v>
      </c>
      <c r="AA47" s="1058" t="s">
        <v>5700</v>
      </c>
      <c r="AB47" s="2" t="s">
        <v>5738</v>
      </c>
      <c r="AC47" s="2" t="s">
        <v>5739</v>
      </c>
      <c r="AD47" s="2" t="s">
        <v>5740</v>
      </c>
      <c r="AE47" s="2" t="s">
        <v>5741</v>
      </c>
      <c r="AF47" s="2" t="s">
        <v>5742</v>
      </c>
      <c r="AK47" s="8" t="s">
        <v>5705</v>
      </c>
    </row>
    <row r="48" spans="1:37" x14ac:dyDescent="0.3">
      <c r="A48" s="985" t="str">
        <f t="shared" si="0"/>
        <v>Sezóna 23/24</v>
      </c>
      <c r="B48" s="2">
        <v>46</v>
      </c>
      <c r="C48" s="2">
        <v>45</v>
      </c>
      <c r="D48" s="4">
        <v>45338</v>
      </c>
      <c r="E48" s="2" t="s">
        <v>6086</v>
      </c>
      <c r="F48" s="2" t="s">
        <v>16</v>
      </c>
      <c r="G48" s="1058" t="s">
        <v>6113</v>
      </c>
      <c r="H48" s="1058" t="s">
        <v>16</v>
      </c>
      <c r="I48" s="259">
        <v>3</v>
      </c>
      <c r="J48" s="259">
        <v>2</v>
      </c>
      <c r="K48" s="259">
        <v>3</v>
      </c>
      <c r="L48" s="259">
        <v>2</v>
      </c>
      <c r="M48" s="2">
        <v>5</v>
      </c>
      <c r="N48" s="2">
        <v>3</v>
      </c>
      <c r="O48" s="2">
        <v>75</v>
      </c>
      <c r="P48" s="168">
        <v>1</v>
      </c>
      <c r="Q48" s="2">
        <v>0</v>
      </c>
      <c r="R48" s="2">
        <v>0</v>
      </c>
      <c r="S48" s="2">
        <v>1</v>
      </c>
      <c r="T48" s="2">
        <v>6</v>
      </c>
      <c r="U48" s="2">
        <v>6</v>
      </c>
      <c r="V48" s="242">
        <v>3011</v>
      </c>
      <c r="W48" s="1058" t="s">
        <v>6118</v>
      </c>
      <c r="X48" s="1058" t="s">
        <v>6120</v>
      </c>
      <c r="Y48" s="1058" t="s">
        <v>6189</v>
      </c>
      <c r="AA48" s="1058" t="s">
        <v>4210</v>
      </c>
      <c r="AB48" s="2" t="s">
        <v>5743</v>
      </c>
      <c r="AC48" s="2" t="s">
        <v>5744</v>
      </c>
      <c r="AD48" s="2" t="s">
        <v>5745</v>
      </c>
      <c r="AK48" s="8" t="s">
        <v>5721</v>
      </c>
    </row>
    <row r="49" spans="1:37" x14ac:dyDescent="0.3">
      <c r="A49" s="985" t="str">
        <f t="shared" si="0"/>
        <v>Sezóna 23/24</v>
      </c>
      <c r="B49" s="2">
        <v>47</v>
      </c>
      <c r="C49" s="2">
        <v>46</v>
      </c>
      <c r="D49" s="4">
        <v>45340</v>
      </c>
      <c r="E49" s="2" t="s">
        <v>334</v>
      </c>
      <c r="F49" s="2" t="s">
        <v>16</v>
      </c>
      <c r="G49" s="1058" t="s">
        <v>6104</v>
      </c>
      <c r="H49" s="1058" t="s">
        <v>743</v>
      </c>
      <c r="I49" s="259">
        <v>2</v>
      </c>
      <c r="J49" s="259">
        <v>5</v>
      </c>
      <c r="K49" s="259">
        <v>2</v>
      </c>
      <c r="L49" s="259">
        <v>5</v>
      </c>
      <c r="M49" s="2">
        <v>6</v>
      </c>
      <c r="N49" s="2">
        <v>3</v>
      </c>
      <c r="O49" s="2">
        <v>75</v>
      </c>
      <c r="P49" s="168">
        <v>0</v>
      </c>
      <c r="Q49" s="2">
        <v>0</v>
      </c>
      <c r="R49" s="2">
        <v>0</v>
      </c>
      <c r="S49" s="2">
        <v>3</v>
      </c>
      <c r="T49" s="2">
        <v>5</v>
      </c>
      <c r="U49" s="2">
        <v>5</v>
      </c>
      <c r="V49" s="242">
        <v>5031</v>
      </c>
      <c r="W49" s="1058" t="s">
        <v>6120</v>
      </c>
      <c r="X49" s="1058" t="s">
        <v>6079</v>
      </c>
      <c r="Y49" s="1058" t="s">
        <v>6097</v>
      </c>
      <c r="AA49" s="1058" t="s">
        <v>5723</v>
      </c>
      <c r="AB49" s="2" t="s">
        <v>5746</v>
      </c>
      <c r="AC49" s="2" t="s">
        <v>5747</v>
      </c>
      <c r="AK49" s="8" t="s">
        <v>5722</v>
      </c>
    </row>
    <row r="50" spans="1:37" x14ac:dyDescent="0.3">
      <c r="A50" s="985" t="str">
        <f t="shared" si="0"/>
        <v>Sezóna 23/24</v>
      </c>
      <c r="B50" s="2">
        <v>48</v>
      </c>
      <c r="C50" s="2">
        <v>48</v>
      </c>
      <c r="D50" s="4">
        <v>45345</v>
      </c>
      <c r="E50" s="2" t="s">
        <v>6091</v>
      </c>
      <c r="F50" s="2" t="s">
        <v>16</v>
      </c>
      <c r="G50" s="1058" t="s">
        <v>6220</v>
      </c>
      <c r="H50" s="1058" t="s">
        <v>16</v>
      </c>
      <c r="I50" s="259">
        <v>7</v>
      </c>
      <c r="J50" s="259">
        <v>4</v>
      </c>
      <c r="K50" s="259">
        <v>6</v>
      </c>
      <c r="L50" s="259">
        <v>4</v>
      </c>
      <c r="M50" s="2">
        <v>4</v>
      </c>
      <c r="N50" s="2">
        <v>6</v>
      </c>
      <c r="O50" s="2">
        <v>78</v>
      </c>
      <c r="P50" s="168">
        <v>1</v>
      </c>
      <c r="Q50" s="2">
        <v>0</v>
      </c>
      <c r="R50" s="2">
        <v>0</v>
      </c>
      <c r="S50" s="2">
        <v>1</v>
      </c>
      <c r="T50" s="2">
        <v>2</v>
      </c>
      <c r="U50" s="2">
        <v>4</v>
      </c>
      <c r="V50" s="242">
        <v>6057</v>
      </c>
      <c r="W50" s="1058" t="s">
        <v>6089</v>
      </c>
      <c r="X50" s="1058" t="s">
        <v>6073</v>
      </c>
      <c r="Y50" s="1058" t="s">
        <v>6097</v>
      </c>
      <c r="AA50" s="1058" t="s">
        <v>5724</v>
      </c>
      <c r="AB50" s="2" t="s">
        <v>5748</v>
      </c>
      <c r="AC50" s="2" t="s">
        <v>5749</v>
      </c>
      <c r="AD50" s="2" t="s">
        <v>5750</v>
      </c>
      <c r="AE50" s="2" t="s">
        <v>5751</v>
      </c>
      <c r="AF50" s="2" t="s">
        <v>5752</v>
      </c>
      <c r="AG50" s="2" t="s">
        <v>5753</v>
      </c>
      <c r="AH50" s="2" t="s">
        <v>5754</v>
      </c>
      <c r="AK50" s="8" t="s">
        <v>5725</v>
      </c>
    </row>
    <row r="51" spans="1:37" x14ac:dyDescent="0.3">
      <c r="A51" s="985" t="str">
        <f t="shared" si="0"/>
        <v>Sezóna 23/24</v>
      </c>
      <c r="B51" s="2">
        <v>49</v>
      </c>
      <c r="C51" s="2">
        <v>49</v>
      </c>
      <c r="D51" s="4">
        <v>45347</v>
      </c>
      <c r="E51" s="2" t="s">
        <v>325</v>
      </c>
      <c r="F51" s="2" t="s">
        <v>17</v>
      </c>
      <c r="G51" s="1058" t="s">
        <v>6221</v>
      </c>
      <c r="H51" s="1058" t="s">
        <v>743</v>
      </c>
      <c r="I51" s="259">
        <v>3</v>
      </c>
      <c r="J51" s="259">
        <v>8</v>
      </c>
      <c r="K51" s="259">
        <v>3</v>
      </c>
      <c r="L51" s="259">
        <v>8</v>
      </c>
      <c r="M51" s="2">
        <v>5</v>
      </c>
      <c r="N51" s="2">
        <v>3</v>
      </c>
      <c r="O51" s="2">
        <v>78</v>
      </c>
      <c r="P51" s="168">
        <v>1</v>
      </c>
      <c r="Q51" s="2">
        <v>0</v>
      </c>
      <c r="R51" s="2">
        <v>0</v>
      </c>
      <c r="S51" s="2">
        <v>0</v>
      </c>
      <c r="T51" s="2">
        <v>2</v>
      </c>
      <c r="U51" s="2">
        <v>2</v>
      </c>
      <c r="V51" s="242">
        <v>5944</v>
      </c>
      <c r="W51" s="1058" t="s">
        <v>6187</v>
      </c>
      <c r="X51" s="1058" t="s">
        <v>6128</v>
      </c>
      <c r="Y51" s="1058" t="s">
        <v>6102</v>
      </c>
      <c r="AA51" s="1058" t="s">
        <v>5734</v>
      </c>
      <c r="AB51" s="2" t="s">
        <v>5735</v>
      </c>
      <c r="AC51" s="2" t="s">
        <v>5736</v>
      </c>
      <c r="AD51" s="2" t="s">
        <v>5737</v>
      </c>
      <c r="AK51" s="8" t="s">
        <v>5731</v>
      </c>
    </row>
    <row r="52" spans="1:37" x14ac:dyDescent="0.3">
      <c r="A52" s="985" t="str">
        <f t="shared" si="0"/>
        <v>Sezóna 23/24</v>
      </c>
      <c r="B52" s="2">
        <v>50</v>
      </c>
      <c r="C52" s="2">
        <v>50</v>
      </c>
      <c r="D52" s="4">
        <v>45349</v>
      </c>
      <c r="E52" s="2" t="s">
        <v>332</v>
      </c>
      <c r="F52" s="2" t="s">
        <v>16</v>
      </c>
      <c r="G52" s="1058" t="s">
        <v>6171</v>
      </c>
      <c r="H52" s="1058" t="s">
        <v>743</v>
      </c>
      <c r="I52" s="259">
        <v>0</v>
      </c>
      <c r="J52" s="259">
        <v>2</v>
      </c>
      <c r="K52" s="259">
        <v>0</v>
      </c>
      <c r="L52" s="259">
        <v>2</v>
      </c>
      <c r="M52" s="2">
        <v>7</v>
      </c>
      <c r="N52" s="2">
        <v>3</v>
      </c>
      <c r="O52" s="2">
        <v>78</v>
      </c>
      <c r="P52" s="168">
        <v>0</v>
      </c>
      <c r="Q52" s="2">
        <v>0</v>
      </c>
      <c r="R52" s="2">
        <v>0</v>
      </c>
      <c r="S52" s="2">
        <v>2</v>
      </c>
      <c r="T52" s="2">
        <v>2</v>
      </c>
      <c r="U52" s="2">
        <v>4</v>
      </c>
      <c r="V52" s="242">
        <v>2725</v>
      </c>
      <c r="W52" s="1058" t="s">
        <v>6188</v>
      </c>
      <c r="X52" s="1058" t="s">
        <v>6189</v>
      </c>
      <c r="Y52" s="1058" t="s">
        <v>6189</v>
      </c>
      <c r="AA52" s="1058" t="s">
        <v>6171</v>
      </c>
      <c r="AB52" s="2" t="s">
        <v>515</v>
      </c>
      <c r="AJ52" s="2"/>
      <c r="AK52" s="8" t="s">
        <v>5732</v>
      </c>
    </row>
    <row r="53" spans="1:37" x14ac:dyDescent="0.3">
      <c r="A53" s="985" t="str">
        <f t="shared" si="0"/>
        <v>Sezóna 23/24</v>
      </c>
      <c r="B53" s="2">
        <v>51</v>
      </c>
      <c r="C53" s="2">
        <v>51</v>
      </c>
      <c r="D53" s="4">
        <v>45352</v>
      </c>
      <c r="E53" s="2" t="s">
        <v>328</v>
      </c>
      <c r="F53" s="2" t="s">
        <v>17</v>
      </c>
      <c r="G53" s="1058" t="s">
        <v>6222</v>
      </c>
      <c r="H53" s="1058" t="s">
        <v>16</v>
      </c>
      <c r="I53" s="259">
        <v>5</v>
      </c>
      <c r="J53" s="259">
        <v>4</v>
      </c>
      <c r="K53" s="259">
        <v>5</v>
      </c>
      <c r="L53" s="259">
        <v>4</v>
      </c>
      <c r="M53" s="2">
        <v>6</v>
      </c>
      <c r="N53" s="2">
        <v>3</v>
      </c>
      <c r="O53" s="2">
        <v>81</v>
      </c>
      <c r="P53" s="168">
        <v>1</v>
      </c>
      <c r="Q53" s="2">
        <v>0</v>
      </c>
      <c r="R53" s="2">
        <v>0</v>
      </c>
      <c r="S53" s="2">
        <v>1</v>
      </c>
      <c r="T53" s="2">
        <v>4</v>
      </c>
      <c r="U53" s="2">
        <v>4</v>
      </c>
      <c r="V53" s="242">
        <v>4033</v>
      </c>
      <c r="W53" s="1058" t="s">
        <v>6118</v>
      </c>
      <c r="X53" s="1058" t="s">
        <v>6194</v>
      </c>
      <c r="Y53" s="1058" t="s">
        <v>6187</v>
      </c>
      <c r="AA53" s="1058" t="s">
        <v>5760</v>
      </c>
      <c r="AB53" s="2" t="s">
        <v>5755</v>
      </c>
      <c r="AC53" s="2" t="s">
        <v>5756</v>
      </c>
      <c r="AD53" s="2" t="s">
        <v>5757</v>
      </c>
      <c r="AE53" s="2" t="s">
        <v>5758</v>
      </c>
      <c r="AF53" s="2" t="s">
        <v>5759</v>
      </c>
      <c r="AK53" s="8" t="s">
        <v>5733</v>
      </c>
    </row>
    <row r="54" spans="1:37" s="191" customFormat="1" x14ac:dyDescent="0.3">
      <c r="A54" s="985" t="str">
        <f t="shared" si="0"/>
        <v>Sezóna 23/24</v>
      </c>
      <c r="B54" s="170">
        <v>52</v>
      </c>
      <c r="C54" s="170">
        <v>52</v>
      </c>
      <c r="D54" s="4">
        <v>45354</v>
      </c>
      <c r="E54" s="170" t="s">
        <v>626</v>
      </c>
      <c r="F54" s="170" t="s">
        <v>16</v>
      </c>
      <c r="G54" s="1059" t="s">
        <v>159</v>
      </c>
      <c r="H54" s="1059" t="s">
        <v>793</v>
      </c>
      <c r="I54" s="1091">
        <v>4</v>
      </c>
      <c r="J54" s="1091">
        <v>3</v>
      </c>
      <c r="K54" s="1091">
        <v>3</v>
      </c>
      <c r="L54" s="1091">
        <v>3</v>
      </c>
      <c r="M54" s="269">
        <v>5</v>
      </c>
      <c r="N54" s="269">
        <v>5</v>
      </c>
      <c r="O54" s="269">
        <v>83</v>
      </c>
      <c r="P54" s="169">
        <v>1</v>
      </c>
      <c r="Q54" s="170">
        <v>0</v>
      </c>
      <c r="R54" s="170">
        <v>1</v>
      </c>
      <c r="S54" s="170">
        <v>0</v>
      </c>
      <c r="T54" s="170">
        <v>6</v>
      </c>
      <c r="U54" s="170">
        <v>6</v>
      </c>
      <c r="V54" s="171">
        <v>5023</v>
      </c>
      <c r="W54" s="1059" t="s">
        <v>6189</v>
      </c>
      <c r="X54" s="1059" t="s">
        <v>6120</v>
      </c>
      <c r="Y54" s="1059" t="s">
        <v>6194</v>
      </c>
      <c r="Z54" s="1059" t="s">
        <v>3533</v>
      </c>
      <c r="AA54" s="1059" t="s">
        <v>5765</v>
      </c>
      <c r="AB54" s="170" t="s">
        <v>5761</v>
      </c>
      <c r="AC54" s="170" t="s">
        <v>5762</v>
      </c>
      <c r="AD54" s="170" t="s">
        <v>5763</v>
      </c>
      <c r="AE54" s="170"/>
      <c r="AF54" s="170"/>
      <c r="AG54" s="170"/>
      <c r="AH54" s="170"/>
      <c r="AI54" s="171"/>
      <c r="AJ54" s="268" t="s">
        <v>5764</v>
      </c>
      <c r="AK54" s="268" t="s">
        <v>5733</v>
      </c>
    </row>
    <row r="55" spans="1:37" x14ac:dyDescent="0.3">
      <c r="A55" s="985" t="str">
        <f t="shared" si="0"/>
        <v>Sezóna 23/24</v>
      </c>
      <c r="B55" s="2">
        <v>53</v>
      </c>
      <c r="C55" s="2" t="s">
        <v>336</v>
      </c>
      <c r="D55" s="4">
        <v>45357</v>
      </c>
      <c r="E55" s="2" t="s">
        <v>331</v>
      </c>
      <c r="F55" s="2" t="s">
        <v>17</v>
      </c>
      <c r="G55" s="1058" t="s">
        <v>6073</v>
      </c>
      <c r="H55" s="1058" t="s">
        <v>16</v>
      </c>
      <c r="I55" s="2">
        <v>4</v>
      </c>
      <c r="J55" s="2">
        <v>2</v>
      </c>
      <c r="K55" s="2">
        <v>3</v>
      </c>
      <c r="L55" s="2">
        <v>2</v>
      </c>
      <c r="M55" s="981" t="s">
        <v>5870</v>
      </c>
      <c r="N55" s="981"/>
      <c r="O55" s="598"/>
      <c r="P55" s="2">
        <v>1</v>
      </c>
      <c r="Q55" s="2">
        <v>0</v>
      </c>
      <c r="R55" s="2">
        <v>0</v>
      </c>
      <c r="S55" s="2">
        <v>1</v>
      </c>
      <c r="T55" s="2">
        <v>4</v>
      </c>
      <c r="U55" s="2">
        <v>3</v>
      </c>
      <c r="V55" s="242">
        <v>4522</v>
      </c>
      <c r="W55" s="1058" t="s">
        <v>6189</v>
      </c>
      <c r="X55" s="1058" t="s">
        <v>6187</v>
      </c>
      <c r="Y55" s="1058" t="s">
        <v>6110</v>
      </c>
      <c r="AA55" s="1058" t="s">
        <v>6229</v>
      </c>
      <c r="AB55" s="2" t="s">
        <v>5795</v>
      </c>
      <c r="AC55" s="2" t="s">
        <v>5796</v>
      </c>
      <c r="AD55" s="2" t="s">
        <v>5797</v>
      </c>
      <c r="AE55" s="2" t="s">
        <v>5798</v>
      </c>
      <c r="AK55" s="8" t="s">
        <v>5881</v>
      </c>
    </row>
    <row r="56" spans="1:37" x14ac:dyDescent="0.3">
      <c r="A56" s="985" t="str">
        <f t="shared" si="0"/>
        <v>Sezóna 23/24</v>
      </c>
      <c r="B56" s="2">
        <v>54</v>
      </c>
      <c r="C56" s="2" t="s">
        <v>336</v>
      </c>
      <c r="D56" s="4">
        <v>45358</v>
      </c>
      <c r="E56" s="2" t="s">
        <v>331</v>
      </c>
      <c r="F56" s="2" t="s">
        <v>17</v>
      </c>
      <c r="G56" s="1058" t="s">
        <v>6148</v>
      </c>
      <c r="H56" s="1058" t="s">
        <v>16</v>
      </c>
      <c r="I56" s="259">
        <v>4</v>
      </c>
      <c r="J56" s="259">
        <v>1</v>
      </c>
      <c r="K56" s="259">
        <v>4</v>
      </c>
      <c r="L56" s="259">
        <v>1</v>
      </c>
      <c r="M56" s="2" t="s">
        <v>5871</v>
      </c>
      <c r="O56" s="242"/>
      <c r="P56" s="2">
        <v>1</v>
      </c>
      <c r="Q56" s="2">
        <v>0</v>
      </c>
      <c r="R56" s="2">
        <v>0</v>
      </c>
      <c r="S56" s="2">
        <v>0</v>
      </c>
      <c r="T56" s="2">
        <v>4.5</v>
      </c>
      <c r="U56" s="2">
        <v>2</v>
      </c>
      <c r="V56" s="242">
        <v>4717</v>
      </c>
      <c r="W56" s="1058" t="s">
        <v>6120</v>
      </c>
      <c r="X56" s="1058" t="s">
        <v>6118</v>
      </c>
      <c r="Y56" s="1058" t="s">
        <v>6120</v>
      </c>
      <c r="AA56" s="1058" t="s">
        <v>4151</v>
      </c>
      <c r="AB56" t="s">
        <v>5805</v>
      </c>
      <c r="AC56" t="s">
        <v>5806</v>
      </c>
      <c r="AD56" t="s">
        <v>5807</v>
      </c>
      <c r="AE56" t="s">
        <v>5808</v>
      </c>
      <c r="AK56" s="8" t="s">
        <v>5733</v>
      </c>
    </row>
    <row r="57" spans="1:37" x14ac:dyDescent="0.3">
      <c r="A57" s="985" t="str">
        <f t="shared" si="0"/>
        <v>Sezóna 23/24</v>
      </c>
      <c r="B57" s="170">
        <v>55</v>
      </c>
      <c r="C57" s="170" t="s">
        <v>336</v>
      </c>
      <c r="D57" s="4">
        <v>45360</v>
      </c>
      <c r="E57" s="2" t="s">
        <v>331</v>
      </c>
      <c r="F57" s="2" t="s">
        <v>16</v>
      </c>
      <c r="G57" s="1058" t="s">
        <v>160</v>
      </c>
      <c r="H57" s="1058" t="s">
        <v>793</v>
      </c>
      <c r="I57" s="259">
        <v>2</v>
      </c>
      <c r="J57" s="259">
        <v>1</v>
      </c>
      <c r="K57" s="259">
        <v>1</v>
      </c>
      <c r="L57" s="259">
        <v>1</v>
      </c>
      <c r="M57" s="982" t="s">
        <v>5872</v>
      </c>
      <c r="N57" s="982"/>
      <c r="O57" s="983"/>
      <c r="P57" s="2">
        <v>1</v>
      </c>
      <c r="Q57" s="2">
        <v>0</v>
      </c>
      <c r="R57" s="2">
        <v>0</v>
      </c>
      <c r="S57" s="2">
        <v>0</v>
      </c>
      <c r="T57" s="2">
        <v>6</v>
      </c>
      <c r="U57" s="2">
        <v>5.5</v>
      </c>
      <c r="V57" s="242">
        <v>6531</v>
      </c>
      <c r="W57" s="1058" t="s">
        <v>6187</v>
      </c>
      <c r="X57" s="1058" t="s">
        <v>6188</v>
      </c>
      <c r="Y57" s="1058" t="s">
        <v>6188</v>
      </c>
      <c r="Z57" s="1058" t="s">
        <v>756</v>
      </c>
      <c r="AA57" s="1058" t="s">
        <v>3828</v>
      </c>
      <c r="AB57" t="s">
        <v>5809</v>
      </c>
      <c r="AC57" t="s">
        <v>5810</v>
      </c>
      <c r="AK57" s="8" t="s">
        <v>5882</v>
      </c>
    </row>
    <row r="58" spans="1:37" x14ac:dyDescent="0.3">
      <c r="A58" s="985" t="str">
        <f t="shared" si="0"/>
        <v>Sezóna 23/24</v>
      </c>
      <c r="B58" s="2">
        <v>56</v>
      </c>
      <c r="C58" s="2" t="s">
        <v>534</v>
      </c>
      <c r="D58" s="4">
        <v>45368</v>
      </c>
      <c r="E58" s="2" t="s">
        <v>6179</v>
      </c>
      <c r="F58" s="2" t="s">
        <v>16</v>
      </c>
      <c r="G58" s="1058" t="s">
        <v>355</v>
      </c>
      <c r="H58" s="1058" t="s">
        <v>793</v>
      </c>
      <c r="I58" s="259">
        <v>2</v>
      </c>
      <c r="J58" s="259">
        <v>1</v>
      </c>
      <c r="K58" s="259">
        <v>1</v>
      </c>
      <c r="L58" s="259">
        <v>1</v>
      </c>
      <c r="M58" s="2" t="s">
        <v>5870</v>
      </c>
      <c r="O58" s="242"/>
      <c r="P58" s="2">
        <v>0</v>
      </c>
      <c r="Q58" s="2">
        <v>0</v>
      </c>
      <c r="R58" s="2">
        <v>0</v>
      </c>
      <c r="S58" s="2">
        <v>0</v>
      </c>
      <c r="T58" s="2">
        <v>4</v>
      </c>
      <c r="U58" s="2">
        <v>3</v>
      </c>
      <c r="V58" s="242">
        <v>7700</v>
      </c>
      <c r="W58" s="1058" t="s">
        <v>6120</v>
      </c>
      <c r="X58" s="1058" t="s">
        <v>6188</v>
      </c>
      <c r="Y58" s="1058" t="s">
        <v>6189</v>
      </c>
      <c r="Z58" s="1058" t="s">
        <v>352</v>
      </c>
      <c r="AA58" s="1058" t="s">
        <v>6230</v>
      </c>
      <c r="AB58" t="s">
        <v>5811</v>
      </c>
      <c r="AJ58" s="8" t="s">
        <v>5812</v>
      </c>
      <c r="AK58" s="8" t="s">
        <v>5883</v>
      </c>
    </row>
    <row r="59" spans="1:37" s="168" customFormat="1" x14ac:dyDescent="0.3">
      <c r="A59" s="985" t="str">
        <f t="shared" si="0"/>
        <v>Sezóna 23/24</v>
      </c>
      <c r="B59" s="2">
        <v>57</v>
      </c>
      <c r="C59" s="2" t="s">
        <v>534</v>
      </c>
      <c r="D59" s="4">
        <v>45369</v>
      </c>
      <c r="E59" s="2" t="s">
        <v>6179</v>
      </c>
      <c r="F59" s="2" t="s">
        <v>16</v>
      </c>
      <c r="G59" s="1058" t="s">
        <v>6190</v>
      </c>
      <c r="H59" s="1058" t="s">
        <v>16</v>
      </c>
      <c r="I59" s="259">
        <v>5</v>
      </c>
      <c r="J59" s="259">
        <v>1</v>
      </c>
      <c r="K59" s="259">
        <v>5</v>
      </c>
      <c r="L59" s="259">
        <v>1</v>
      </c>
      <c r="M59" s="2" t="s">
        <v>5871</v>
      </c>
      <c r="N59" s="2"/>
      <c r="O59" s="242"/>
      <c r="P59" s="2">
        <v>1</v>
      </c>
      <c r="Q59" s="2">
        <v>0</v>
      </c>
      <c r="R59" s="2">
        <v>0</v>
      </c>
      <c r="S59" s="2">
        <v>0</v>
      </c>
      <c r="T59" s="2">
        <v>3.5</v>
      </c>
      <c r="U59" s="2">
        <v>2</v>
      </c>
      <c r="V59" s="242">
        <v>7700</v>
      </c>
      <c r="W59" s="1058" t="s">
        <v>6120</v>
      </c>
      <c r="X59" s="1058" t="s">
        <v>6202</v>
      </c>
      <c r="Y59" s="1058" t="s">
        <v>6189</v>
      </c>
      <c r="Z59" s="1058"/>
      <c r="AA59" s="1058" t="s">
        <v>4897</v>
      </c>
      <c r="AB59" t="s">
        <v>5813</v>
      </c>
      <c r="AC59" t="s">
        <v>5814</v>
      </c>
      <c r="AD59" t="s">
        <v>5815</v>
      </c>
      <c r="AE59" t="s">
        <v>5816</v>
      </c>
      <c r="AF59" t="s">
        <v>5817</v>
      </c>
      <c r="AG59" s="2"/>
      <c r="AH59" s="2"/>
      <c r="AI59" s="242"/>
      <c r="AJ59" s="8"/>
      <c r="AK59" s="8" t="s">
        <v>5884</v>
      </c>
    </row>
    <row r="60" spans="1:37" s="168" customFormat="1" x14ac:dyDescent="0.3">
      <c r="A60" s="985" t="str">
        <f t="shared" si="0"/>
        <v>Sezóna 23/24</v>
      </c>
      <c r="B60" s="170">
        <v>58</v>
      </c>
      <c r="C60" s="2" t="s">
        <v>534</v>
      </c>
      <c r="D60" s="4">
        <v>45372</v>
      </c>
      <c r="E60" s="2" t="s">
        <v>6179</v>
      </c>
      <c r="F60" s="2" t="s">
        <v>17</v>
      </c>
      <c r="G60" s="1058" t="s">
        <v>6211</v>
      </c>
      <c r="H60" s="1058" t="s">
        <v>743</v>
      </c>
      <c r="I60" s="259">
        <v>3</v>
      </c>
      <c r="J60" s="259">
        <v>4</v>
      </c>
      <c r="K60" s="259">
        <v>3</v>
      </c>
      <c r="L60" s="259">
        <v>4</v>
      </c>
      <c r="M60" s="2" t="s">
        <v>5873</v>
      </c>
      <c r="N60" s="2"/>
      <c r="O60" s="242"/>
      <c r="P60" s="2">
        <v>1</v>
      </c>
      <c r="Q60" s="2">
        <v>0</v>
      </c>
      <c r="R60" s="2">
        <v>0</v>
      </c>
      <c r="S60" s="2">
        <v>1</v>
      </c>
      <c r="T60" s="2">
        <v>5</v>
      </c>
      <c r="U60" s="2">
        <v>2</v>
      </c>
      <c r="V60" s="242">
        <v>5944</v>
      </c>
      <c r="W60" s="1058" t="s">
        <v>6188</v>
      </c>
      <c r="X60" s="1058" t="s">
        <v>6194</v>
      </c>
      <c r="Y60" s="1058" t="s">
        <v>6097</v>
      </c>
      <c r="Z60" s="1058"/>
      <c r="AA60" s="1058" t="s">
        <v>6231</v>
      </c>
      <c r="AB60" t="s">
        <v>5818</v>
      </c>
      <c r="AC60" t="s">
        <v>5819</v>
      </c>
      <c r="AD60" t="s">
        <v>5820</v>
      </c>
      <c r="AE60" s="2"/>
      <c r="AF60" s="2"/>
      <c r="AG60" s="2"/>
      <c r="AH60" s="2"/>
      <c r="AI60" s="242"/>
      <c r="AJ60" s="8"/>
      <c r="AK60" s="8" t="s">
        <v>5885</v>
      </c>
    </row>
    <row r="61" spans="1:37" x14ac:dyDescent="0.3">
      <c r="A61" s="985" t="str">
        <f t="shared" si="0"/>
        <v>Sezóna 23/24</v>
      </c>
      <c r="B61" s="2">
        <v>59</v>
      </c>
      <c r="C61" s="2" t="s">
        <v>534</v>
      </c>
      <c r="D61" s="4">
        <v>45373</v>
      </c>
      <c r="E61" s="2" t="s">
        <v>6179</v>
      </c>
      <c r="F61" s="2" t="s">
        <v>17</v>
      </c>
      <c r="G61" s="1058" t="s">
        <v>6084</v>
      </c>
      <c r="H61" s="1058" t="s">
        <v>743</v>
      </c>
      <c r="I61" s="259">
        <v>1</v>
      </c>
      <c r="J61" s="259">
        <v>5</v>
      </c>
      <c r="K61" s="259">
        <v>1</v>
      </c>
      <c r="L61" s="259">
        <v>5</v>
      </c>
      <c r="M61" s="2" t="s">
        <v>5874</v>
      </c>
      <c r="O61" s="242"/>
      <c r="P61" s="2">
        <v>1</v>
      </c>
      <c r="Q61" s="2">
        <v>0</v>
      </c>
      <c r="R61" s="2">
        <v>1</v>
      </c>
      <c r="S61" s="2">
        <v>1</v>
      </c>
      <c r="T61" s="2">
        <v>4</v>
      </c>
      <c r="U61" s="2">
        <v>2</v>
      </c>
      <c r="V61" s="242">
        <v>5944</v>
      </c>
      <c r="W61" s="1058" t="s">
        <v>6171</v>
      </c>
      <c r="X61" s="1058" t="s">
        <v>6171</v>
      </c>
      <c r="Y61" s="1058" t="s">
        <v>6187</v>
      </c>
      <c r="AA61" s="1058" t="s">
        <v>3242</v>
      </c>
      <c r="AB61" t="s">
        <v>5821</v>
      </c>
      <c r="AK61" s="8" t="s">
        <v>5886</v>
      </c>
    </row>
    <row r="62" spans="1:37" s="168" customFormat="1" x14ac:dyDescent="0.3">
      <c r="A62" s="985" t="str">
        <f t="shared" si="0"/>
        <v>Sezóna 23/24</v>
      </c>
      <c r="B62" s="2">
        <v>60</v>
      </c>
      <c r="C62" s="2" t="s">
        <v>534</v>
      </c>
      <c r="D62" s="4">
        <v>45375</v>
      </c>
      <c r="E62" s="2" t="s">
        <v>6179</v>
      </c>
      <c r="F62" s="2" t="s">
        <v>16</v>
      </c>
      <c r="G62" s="1058" t="s">
        <v>160</v>
      </c>
      <c r="H62" s="1058" t="s">
        <v>793</v>
      </c>
      <c r="I62" s="259">
        <v>2</v>
      </c>
      <c r="J62" s="259">
        <v>1</v>
      </c>
      <c r="K62" s="259">
        <v>1</v>
      </c>
      <c r="L62" s="259">
        <v>1</v>
      </c>
      <c r="M62" s="2" t="s">
        <v>5875</v>
      </c>
      <c r="N62" s="2"/>
      <c r="O62" s="242"/>
      <c r="P62" s="2">
        <v>1</v>
      </c>
      <c r="Q62" s="2">
        <v>0</v>
      </c>
      <c r="R62" s="2">
        <v>0</v>
      </c>
      <c r="S62" s="2">
        <v>0</v>
      </c>
      <c r="T62" s="2">
        <v>2</v>
      </c>
      <c r="U62" s="2">
        <v>2</v>
      </c>
      <c r="V62" s="242">
        <v>7700</v>
      </c>
      <c r="W62" s="1058" t="s">
        <v>6189</v>
      </c>
      <c r="X62" s="1058" t="s">
        <v>6188</v>
      </c>
      <c r="Y62" s="1058" t="s">
        <v>6120</v>
      </c>
      <c r="Z62" s="1058" t="s">
        <v>756</v>
      </c>
      <c r="AA62" s="1058" t="s">
        <v>3828</v>
      </c>
      <c r="AB62" t="s">
        <v>5822</v>
      </c>
      <c r="AC62" t="s">
        <v>5823</v>
      </c>
      <c r="AD62" s="2"/>
      <c r="AE62" s="2"/>
      <c r="AF62" s="2"/>
      <c r="AG62" s="2"/>
      <c r="AH62" s="2"/>
      <c r="AI62" s="242"/>
      <c r="AJ62" s="8"/>
      <c r="AK62" s="8" t="s">
        <v>5887</v>
      </c>
    </row>
    <row r="63" spans="1:37" s="168" customFormat="1" x14ac:dyDescent="0.3">
      <c r="A63" s="985" t="str">
        <f t="shared" si="0"/>
        <v>Sezóna 23/24</v>
      </c>
      <c r="B63" s="170">
        <v>61</v>
      </c>
      <c r="C63" s="2" t="s">
        <v>534</v>
      </c>
      <c r="D63" s="4">
        <v>45377</v>
      </c>
      <c r="E63" s="2" t="s">
        <v>6179</v>
      </c>
      <c r="F63" s="2" t="s">
        <v>17</v>
      </c>
      <c r="G63" s="1058" t="s">
        <v>6148</v>
      </c>
      <c r="H63" s="1058" t="s">
        <v>16</v>
      </c>
      <c r="I63" s="259">
        <v>4</v>
      </c>
      <c r="J63" s="259">
        <v>1</v>
      </c>
      <c r="K63" s="259">
        <v>4</v>
      </c>
      <c r="L63" s="259">
        <v>1</v>
      </c>
      <c r="M63" s="982" t="s">
        <v>5876</v>
      </c>
      <c r="N63" s="982"/>
      <c r="O63" s="983"/>
      <c r="P63" s="2">
        <v>1</v>
      </c>
      <c r="Q63" s="2">
        <v>0</v>
      </c>
      <c r="R63" s="2">
        <v>0</v>
      </c>
      <c r="S63" s="2">
        <v>0</v>
      </c>
      <c r="T63" s="2">
        <v>5</v>
      </c>
      <c r="U63" s="2">
        <v>4</v>
      </c>
      <c r="V63" s="242">
        <v>5944</v>
      </c>
      <c r="W63" s="1058" t="s">
        <v>6089</v>
      </c>
      <c r="X63" s="1058" t="s">
        <v>6118</v>
      </c>
      <c r="Y63" s="1058" t="s">
        <v>6188</v>
      </c>
      <c r="Z63" s="1058"/>
      <c r="AA63" s="1058" t="s">
        <v>4732</v>
      </c>
      <c r="AB63" t="s">
        <v>5824</v>
      </c>
      <c r="AC63" t="s">
        <v>5825</v>
      </c>
      <c r="AD63" t="s">
        <v>5826</v>
      </c>
      <c r="AE63" t="s">
        <v>5827</v>
      </c>
      <c r="AF63" s="2"/>
      <c r="AG63" s="2"/>
      <c r="AH63" s="2"/>
      <c r="AI63" s="242"/>
      <c r="AJ63" s="8"/>
      <c r="AK63" s="8" t="s">
        <v>5888</v>
      </c>
    </row>
    <row r="64" spans="1:37" s="168" customFormat="1" x14ac:dyDescent="0.3">
      <c r="A64" s="985" t="str">
        <f t="shared" si="0"/>
        <v>Sezóna 23/24</v>
      </c>
      <c r="B64" s="2">
        <v>62</v>
      </c>
      <c r="C64" s="2" t="s">
        <v>6316</v>
      </c>
      <c r="D64" s="4">
        <v>45382</v>
      </c>
      <c r="E64" s="2" t="s">
        <v>327</v>
      </c>
      <c r="F64" s="2" t="s">
        <v>16</v>
      </c>
      <c r="G64" s="1058" t="s">
        <v>6097</v>
      </c>
      <c r="H64" s="1058" t="s">
        <v>743</v>
      </c>
      <c r="I64" s="259">
        <v>1</v>
      </c>
      <c r="J64" s="259">
        <v>2</v>
      </c>
      <c r="K64" s="259">
        <v>1</v>
      </c>
      <c r="L64" s="259">
        <v>2</v>
      </c>
      <c r="M64" s="2" t="s">
        <v>5877</v>
      </c>
      <c r="N64" s="2"/>
      <c r="O64" s="242"/>
      <c r="P64" s="2">
        <v>0</v>
      </c>
      <c r="Q64" s="2">
        <v>0</v>
      </c>
      <c r="R64" s="2">
        <v>0</v>
      </c>
      <c r="S64" s="2">
        <v>0</v>
      </c>
      <c r="T64" s="2">
        <v>0</v>
      </c>
      <c r="U64" s="2">
        <v>2</v>
      </c>
      <c r="V64" s="242">
        <v>10050</v>
      </c>
      <c r="W64" s="1058" t="s">
        <v>6187</v>
      </c>
      <c r="X64" s="1058" t="s">
        <v>6188</v>
      </c>
      <c r="Y64" s="1058" t="s">
        <v>6189</v>
      </c>
      <c r="Z64" s="1058"/>
      <c r="AA64" s="1058" t="s">
        <v>3819</v>
      </c>
      <c r="AB64" t="s">
        <v>5833</v>
      </c>
      <c r="AC64" s="2"/>
      <c r="AD64" s="2"/>
      <c r="AE64" s="2"/>
      <c r="AF64" s="2"/>
      <c r="AG64" s="2"/>
      <c r="AH64" s="2"/>
      <c r="AI64" s="242"/>
      <c r="AJ64" s="8"/>
      <c r="AK64" s="8" t="s">
        <v>5889</v>
      </c>
    </row>
    <row r="65" spans="1:37" x14ac:dyDescent="0.3">
      <c r="A65" s="985" t="str">
        <f t="shared" si="0"/>
        <v>Sezóna 23/24</v>
      </c>
      <c r="B65" s="2">
        <v>63</v>
      </c>
      <c r="C65" s="2" t="s">
        <v>6316</v>
      </c>
      <c r="D65" s="4">
        <v>45383</v>
      </c>
      <c r="E65" s="2" t="s">
        <v>327</v>
      </c>
      <c r="F65" s="2" t="s">
        <v>16</v>
      </c>
      <c r="G65" s="1058" t="s">
        <v>6079</v>
      </c>
      <c r="H65" s="1058" t="s">
        <v>743</v>
      </c>
      <c r="I65" s="259">
        <v>0</v>
      </c>
      <c r="J65" s="259">
        <v>3</v>
      </c>
      <c r="K65" s="259">
        <v>0</v>
      </c>
      <c r="L65" s="259">
        <v>1</v>
      </c>
      <c r="M65" s="2" t="s">
        <v>5878</v>
      </c>
      <c r="O65" s="242"/>
      <c r="P65" s="2">
        <v>0</v>
      </c>
      <c r="Q65" s="2">
        <v>0</v>
      </c>
      <c r="R65" s="2">
        <v>0</v>
      </c>
      <c r="S65" s="2">
        <v>0</v>
      </c>
      <c r="T65" s="2">
        <v>2</v>
      </c>
      <c r="U65" s="2">
        <v>3</v>
      </c>
      <c r="V65" s="242">
        <v>10035</v>
      </c>
      <c r="W65" s="1058" t="s">
        <v>6189</v>
      </c>
      <c r="X65" s="1058" t="s">
        <v>6188</v>
      </c>
      <c r="Y65" s="1058" t="s">
        <v>6171</v>
      </c>
      <c r="AA65" s="1058" t="s">
        <v>6079</v>
      </c>
      <c r="AB65" s="8" t="s">
        <v>515</v>
      </c>
      <c r="AK65" s="8" t="s">
        <v>5890</v>
      </c>
    </row>
    <row r="66" spans="1:37" s="168" customFormat="1" x14ac:dyDescent="0.3">
      <c r="A66" s="985" t="str">
        <f t="shared" si="0"/>
        <v>Sezóna 23/24</v>
      </c>
      <c r="B66" s="170">
        <v>64</v>
      </c>
      <c r="C66" s="2" t="s">
        <v>6316</v>
      </c>
      <c r="D66" s="4">
        <v>45386</v>
      </c>
      <c r="E66" s="2" t="s">
        <v>327</v>
      </c>
      <c r="F66" s="2" t="s">
        <v>17</v>
      </c>
      <c r="G66" s="1058" t="s">
        <v>6146</v>
      </c>
      <c r="H66" s="1058" t="s">
        <v>743</v>
      </c>
      <c r="I66" s="259">
        <v>2</v>
      </c>
      <c r="J66" s="259">
        <v>3</v>
      </c>
      <c r="K66" s="259">
        <v>2</v>
      </c>
      <c r="L66" s="259">
        <v>3</v>
      </c>
      <c r="M66" s="2" t="s">
        <v>5879</v>
      </c>
      <c r="N66" s="2"/>
      <c r="O66" s="242"/>
      <c r="P66" s="2">
        <v>0</v>
      </c>
      <c r="Q66" s="2">
        <v>0</v>
      </c>
      <c r="R66" s="2">
        <v>0</v>
      </c>
      <c r="S66" s="2">
        <v>1</v>
      </c>
      <c r="T66" s="2">
        <v>0</v>
      </c>
      <c r="U66" s="2">
        <v>2</v>
      </c>
      <c r="V66" s="242">
        <v>5944</v>
      </c>
      <c r="W66" s="1058" t="s">
        <v>6171</v>
      </c>
      <c r="X66" s="1058" t="s">
        <v>6188</v>
      </c>
      <c r="Y66" s="1058" t="s">
        <v>6118</v>
      </c>
      <c r="Z66" s="1058"/>
      <c r="AA66" s="1058" t="s">
        <v>3061</v>
      </c>
      <c r="AB66" t="s">
        <v>5834</v>
      </c>
      <c r="AC66" t="s">
        <v>5835</v>
      </c>
      <c r="AD66" s="2"/>
      <c r="AE66" s="2"/>
      <c r="AF66" s="2"/>
      <c r="AG66" s="2"/>
      <c r="AH66" s="2"/>
      <c r="AI66" s="242"/>
      <c r="AJ66" s="8"/>
      <c r="AK66" s="8" t="s">
        <v>5891</v>
      </c>
    </row>
    <row r="67" spans="1:37" x14ac:dyDescent="0.3">
      <c r="A67" s="985" t="str">
        <f t="shared" si="0"/>
        <v>Sezóna 23/24</v>
      </c>
      <c r="B67" s="2">
        <v>65</v>
      </c>
      <c r="C67" s="2" t="s">
        <v>6316</v>
      </c>
      <c r="D67" s="4">
        <v>45387</v>
      </c>
      <c r="E67" s="2" t="s">
        <v>327</v>
      </c>
      <c r="F67" s="2" t="s">
        <v>17</v>
      </c>
      <c r="G67" s="1058" t="s">
        <v>6223</v>
      </c>
      <c r="H67" s="1058" t="s">
        <v>743</v>
      </c>
      <c r="I67" s="259">
        <v>5</v>
      </c>
      <c r="J67" s="259">
        <v>6</v>
      </c>
      <c r="K67" s="259">
        <v>5</v>
      </c>
      <c r="L67" s="259">
        <v>6</v>
      </c>
      <c r="M67" s="2" t="s">
        <v>5880</v>
      </c>
      <c r="O67" s="242"/>
      <c r="P67" s="2">
        <v>2</v>
      </c>
      <c r="Q67" s="2">
        <v>0</v>
      </c>
      <c r="R67" s="2">
        <v>0</v>
      </c>
      <c r="S67" s="2">
        <v>0</v>
      </c>
      <c r="T67" s="2">
        <v>4</v>
      </c>
      <c r="U67" s="2">
        <v>1</v>
      </c>
      <c r="V67" s="242">
        <v>5944</v>
      </c>
      <c r="W67" s="1058" t="s">
        <v>6100</v>
      </c>
      <c r="X67" s="1058" t="s">
        <v>6077</v>
      </c>
      <c r="Y67" s="1058" t="s">
        <v>6118</v>
      </c>
      <c r="AA67" s="1058" t="s">
        <v>6232</v>
      </c>
      <c r="AB67" t="s">
        <v>5828</v>
      </c>
      <c r="AC67" t="s">
        <v>5829</v>
      </c>
      <c r="AD67" t="s">
        <v>5830</v>
      </c>
      <c r="AE67" t="s">
        <v>5831</v>
      </c>
      <c r="AF67" t="s">
        <v>5832</v>
      </c>
      <c r="AK67" s="8" t="s">
        <v>5892</v>
      </c>
    </row>
    <row r="68" spans="1:37" s="168" customFormat="1" x14ac:dyDescent="0.3">
      <c r="A68" s="1087" t="s">
        <v>817</v>
      </c>
      <c r="B68" s="2"/>
      <c r="C68" s="2"/>
      <c r="D68" s="2"/>
      <c r="E68" s="2"/>
      <c r="F68" s="2"/>
      <c r="G68" s="2"/>
      <c r="H68" s="2"/>
      <c r="I68" s="259">
        <f>SUBTOTAL(109,Zapasy20232024[Góly LIT])</f>
        <v>198</v>
      </c>
      <c r="J68" s="259">
        <f>SUBTOTAL(109,Zapasy20232024[Góly soupeř])</f>
        <v>196</v>
      </c>
      <c r="K68" s="259">
        <f>SUBTOTAL(109,Zapasy20232024[G LIT 60(BEZ EN)])</f>
        <v>179</v>
      </c>
      <c r="L68" s="259">
        <f>SUBTOTAL(109,Zapasy20232024[G Soupeř 60(BEZ EN)])</f>
        <v>184</v>
      </c>
      <c r="M68" s="1096">
        <f>SUBTOTAL(101,Zapasy20232024[Umístění LIT])</f>
        <v>4.0769230769230766</v>
      </c>
      <c r="N68" s="2"/>
      <c r="O68" s="242">
        <f>SUBTOTAL(104,Zapasy20232024[Bodů celkově])</f>
        <v>83</v>
      </c>
      <c r="P68" s="2">
        <f>SUBTOTAL(109,Zapasy20232024[Góly v přesilovce])</f>
        <v>55</v>
      </c>
      <c r="Q68" s="2">
        <f>SUBTOTAL(109,Zapasy20232024[Góly v oslabení])</f>
        <v>2</v>
      </c>
      <c r="R68" s="2">
        <f>SUBTOTAL(109,Zapasy20232024[Góly inkas. v přesilovce])</f>
        <v>6</v>
      </c>
      <c r="S68" s="2">
        <f>SUBTOTAL(109,Zapasy20232024[Góly inkas. v oslabení])</f>
        <v>45</v>
      </c>
      <c r="T68" s="2">
        <f>SUBTOTAL(109,Zapasy20232024[Počet přesilovek])</f>
        <v>258.5</v>
      </c>
      <c r="U68" s="2">
        <f>SUBTOTAL(109,Zapasy20232024[Počet oslabení])</f>
        <v>225.5</v>
      </c>
      <c r="V68" s="1088">
        <f>SUBTOTAL(101,Zapasy20232024[Počet diváků])</f>
        <v>5635.0153846153844</v>
      </c>
      <c r="W68" s="2" t="s">
        <v>6338</v>
      </c>
      <c r="X68" s="2" t="s">
        <v>6339</v>
      </c>
      <c r="Y68" s="2" t="s">
        <v>6340</v>
      </c>
      <c r="Z68" s="2" t="s">
        <v>6341</v>
      </c>
      <c r="AA68" s="8"/>
      <c r="AB68"/>
      <c r="AC68"/>
      <c r="AD68" s="2"/>
      <c r="AE68" s="2"/>
      <c r="AF68" s="2"/>
      <c r="AG68" s="2"/>
      <c r="AH68" s="2"/>
      <c r="AI68" s="242"/>
      <c r="AJ68" s="8"/>
      <c r="AK68" s="8">
        <f>SUBTOTAL(103,Zapasy20232024[Sestava])</f>
        <v>65</v>
      </c>
    </row>
    <row r="69" spans="1:37" x14ac:dyDescent="0.3">
      <c r="A69" s="2"/>
      <c r="M69" s="60"/>
      <c r="N69" s="60"/>
      <c r="O69" s="60"/>
      <c r="AK69" s="2"/>
    </row>
    <row r="100" spans="1:7" ht="15" thickBot="1" x14ac:dyDescent="0.35">
      <c r="C100"/>
      <c r="D100"/>
      <c r="E100"/>
      <c r="F100"/>
      <c r="G100"/>
    </row>
    <row r="101" spans="1:7" ht="15" thickBot="1" x14ac:dyDescent="0.35">
      <c r="A101" s="1146" t="s">
        <v>5668</v>
      </c>
      <c r="B101" s="1147"/>
      <c r="C101" s="1147"/>
      <c r="D101" s="1147"/>
      <c r="E101" s="1147"/>
      <c r="F101" s="1147"/>
      <c r="G101" s="1148"/>
    </row>
    <row r="102" spans="1:7" ht="15" thickBot="1" x14ac:dyDescent="0.35">
      <c r="A102" s="1084"/>
      <c r="B102" s="1085" t="s">
        <v>16</v>
      </c>
      <c r="C102" s="1085" t="s">
        <v>793</v>
      </c>
      <c r="D102" s="1085" t="s">
        <v>794</v>
      </c>
      <c r="E102" s="1085" t="s">
        <v>743</v>
      </c>
      <c r="F102" s="1085" t="s">
        <v>796</v>
      </c>
      <c r="G102" s="1086" t="s">
        <v>795</v>
      </c>
    </row>
    <row r="103" spans="1:7" x14ac:dyDescent="0.3">
      <c r="A103" s="204" t="s">
        <v>792</v>
      </c>
      <c r="B103" s="205">
        <f>B104+B105</f>
        <v>9</v>
      </c>
      <c r="C103" s="205">
        <f t="shared" ref="C103:E103" si="1">C104+C105</f>
        <v>2</v>
      </c>
      <c r="D103" s="205">
        <f t="shared" si="1"/>
        <v>0</v>
      </c>
      <c r="E103" s="205">
        <f t="shared" si="1"/>
        <v>2</v>
      </c>
      <c r="F103" s="589">
        <f>F104+F105</f>
        <v>31</v>
      </c>
      <c r="G103" s="274" t="str">
        <f>CONCATENATE(SUM(I3:I15),":",SUM(J3:J15))</f>
        <v>50:33</v>
      </c>
    </row>
    <row r="104" spans="1:7" x14ac:dyDescent="0.3">
      <c r="A104" s="198" t="s">
        <v>797</v>
      </c>
      <c r="B104" s="183">
        <v>7</v>
      </c>
      <c r="C104" s="183">
        <v>1</v>
      </c>
      <c r="D104" s="183">
        <v>0</v>
      </c>
      <c r="E104" s="183">
        <v>0</v>
      </c>
      <c r="F104" s="383">
        <f>B104*3+C104*2+D104</f>
        <v>23</v>
      </c>
      <c r="G104" s="400"/>
    </row>
    <row r="105" spans="1:7" ht="15" thickBot="1" x14ac:dyDescent="0.35">
      <c r="A105" s="199" t="s">
        <v>798</v>
      </c>
      <c r="B105" s="200">
        <v>2</v>
      </c>
      <c r="C105" s="200">
        <v>1</v>
      </c>
      <c r="D105" s="200">
        <v>0</v>
      </c>
      <c r="E105" s="200">
        <v>2</v>
      </c>
      <c r="F105" s="384">
        <f>B105*3+C105*2+D105</f>
        <v>8</v>
      </c>
      <c r="G105" s="249"/>
    </row>
    <row r="106" spans="1:7" x14ac:dyDescent="0.3">
      <c r="A106" s="594" t="s">
        <v>799</v>
      </c>
      <c r="B106" s="595">
        <f>B107+B108</f>
        <v>3</v>
      </c>
      <c r="C106" s="595">
        <f t="shared" ref="C106:E106" si="2">C107+C108</f>
        <v>1</v>
      </c>
      <c r="D106" s="595">
        <f t="shared" si="2"/>
        <v>1</v>
      </c>
      <c r="E106" s="595">
        <f t="shared" si="2"/>
        <v>8</v>
      </c>
      <c r="F106" s="910">
        <f>F107+F108</f>
        <v>12</v>
      </c>
      <c r="G106" s="591" t="str">
        <f>CONCATENATE(SUM(I16:I28),":",SUM(J16:J28))</f>
        <v>27:42</v>
      </c>
    </row>
    <row r="107" spans="1:7" x14ac:dyDescent="0.3">
      <c r="A107" s="198" t="s">
        <v>797</v>
      </c>
      <c r="B107" s="183">
        <v>3</v>
      </c>
      <c r="C107" s="183">
        <v>0</v>
      </c>
      <c r="D107" s="183">
        <v>1</v>
      </c>
      <c r="E107" s="183">
        <v>1</v>
      </c>
      <c r="F107" s="383">
        <f>B107*3+C107*2+D107</f>
        <v>10</v>
      </c>
      <c r="G107" s="400"/>
    </row>
    <row r="108" spans="1:7" ht="15" thickBot="1" x14ac:dyDescent="0.35">
      <c r="A108" s="199" t="s">
        <v>798</v>
      </c>
      <c r="B108" s="200">
        <v>0</v>
      </c>
      <c r="C108" s="200">
        <v>1</v>
      </c>
      <c r="D108" s="200">
        <v>0</v>
      </c>
      <c r="E108" s="200">
        <v>7</v>
      </c>
      <c r="F108" s="384">
        <f>B108*3+C108*2+D108</f>
        <v>2</v>
      </c>
      <c r="G108" s="249"/>
    </row>
    <row r="109" spans="1:7" x14ac:dyDescent="0.3">
      <c r="A109" s="594" t="s">
        <v>800</v>
      </c>
      <c r="B109" s="595">
        <f>B110+B111</f>
        <v>6</v>
      </c>
      <c r="C109" s="595">
        <f t="shared" ref="C109:E109" si="3">C110+C111</f>
        <v>1</v>
      </c>
      <c r="D109" s="595">
        <f t="shared" si="3"/>
        <v>2</v>
      </c>
      <c r="E109" s="595">
        <f t="shared" si="3"/>
        <v>4</v>
      </c>
      <c r="F109" s="595">
        <f>F110+F111</f>
        <v>22</v>
      </c>
      <c r="G109" s="591" t="str">
        <f>CONCATENATE(SUM(I29:I41),":",SUM(J29:J41))</f>
        <v>43:40</v>
      </c>
    </row>
    <row r="110" spans="1:7" x14ac:dyDescent="0.3">
      <c r="A110" s="198" t="s">
        <v>797</v>
      </c>
      <c r="B110" s="183">
        <v>4</v>
      </c>
      <c r="C110" s="183">
        <v>1</v>
      </c>
      <c r="D110" s="183">
        <v>1</v>
      </c>
      <c r="E110" s="183">
        <v>1</v>
      </c>
      <c r="F110" s="383">
        <f>B110*3+C110*2+D110</f>
        <v>15</v>
      </c>
      <c r="G110" s="400"/>
    </row>
    <row r="111" spans="1:7" ht="15" thickBot="1" x14ac:dyDescent="0.35">
      <c r="A111" s="199" t="s">
        <v>798</v>
      </c>
      <c r="B111" s="200">
        <v>2</v>
      </c>
      <c r="C111" s="200">
        <v>0</v>
      </c>
      <c r="D111" s="200">
        <v>1</v>
      </c>
      <c r="E111" s="200">
        <v>3</v>
      </c>
      <c r="F111" s="384">
        <f>B111*3+C111*2+D111</f>
        <v>7</v>
      </c>
      <c r="G111" s="249"/>
    </row>
    <row r="112" spans="1:7" x14ac:dyDescent="0.3">
      <c r="A112" s="204" t="s">
        <v>801</v>
      </c>
      <c r="B112" s="205">
        <f>B113+B114</f>
        <v>5</v>
      </c>
      <c r="C112" s="205">
        <f>C113+C114</f>
        <v>1</v>
      </c>
      <c r="D112" s="205">
        <f t="shared" ref="D112:E112" si="4">D113+D114</f>
        <v>1</v>
      </c>
      <c r="E112" s="205">
        <f t="shared" si="4"/>
        <v>6</v>
      </c>
      <c r="F112" s="205">
        <f>F113+F114</f>
        <v>18</v>
      </c>
      <c r="G112" s="274" t="str">
        <f>CONCATENATE(SUM(I42:I54),":",SUM(J42:J54))</f>
        <v>43:50</v>
      </c>
    </row>
    <row r="113" spans="1:7" x14ac:dyDescent="0.3">
      <c r="A113" s="198" t="s">
        <v>797</v>
      </c>
      <c r="B113" s="183">
        <v>2</v>
      </c>
      <c r="C113" s="183">
        <v>0</v>
      </c>
      <c r="D113" s="183">
        <v>1</v>
      </c>
      <c r="E113" s="183">
        <v>3</v>
      </c>
      <c r="F113" s="383">
        <f>B113*3+C113*2+D113</f>
        <v>7</v>
      </c>
      <c r="G113" s="229"/>
    </row>
    <row r="114" spans="1:7" ht="15" thickBot="1" x14ac:dyDescent="0.35">
      <c r="A114" s="592" t="s">
        <v>798</v>
      </c>
      <c r="B114" s="202">
        <v>3</v>
      </c>
      <c r="C114" s="202">
        <v>1</v>
      </c>
      <c r="D114" s="202">
        <v>0</v>
      </c>
      <c r="E114" s="202">
        <v>3</v>
      </c>
      <c r="F114" s="593">
        <f t="shared" ref="F114" si="5">B114*3+C114*2+D114</f>
        <v>11</v>
      </c>
      <c r="G114" s="590"/>
    </row>
    <row r="115" spans="1:7" x14ac:dyDescent="0.3">
      <c r="A115" s="220" t="s">
        <v>804</v>
      </c>
      <c r="B115" s="221">
        <f>B103+B106+B109+B112</f>
        <v>23</v>
      </c>
      <c r="C115" s="221">
        <f t="shared" ref="C115:D117" si="6">C103+C106+C109+C112</f>
        <v>5</v>
      </c>
      <c r="D115" s="221">
        <f t="shared" si="6"/>
        <v>4</v>
      </c>
      <c r="E115" s="221">
        <f>E103+E106+E109+E112</f>
        <v>20</v>
      </c>
      <c r="F115" s="563">
        <f>B115*3+C115*2+D115</f>
        <v>83</v>
      </c>
      <c r="G115" s="274" t="str">
        <f>CONCATENATE(SUM(I3:I54),":",SUM(J3:J54))</f>
        <v>163:165</v>
      </c>
    </row>
    <row r="116" spans="1:7" x14ac:dyDescent="0.3">
      <c r="A116" s="223" t="s">
        <v>797</v>
      </c>
      <c r="B116" s="224">
        <f>B104+B107+B110+B113</f>
        <v>16</v>
      </c>
      <c r="C116" s="224">
        <f t="shared" si="6"/>
        <v>2</v>
      </c>
      <c r="D116" s="224">
        <f t="shared" si="6"/>
        <v>3</v>
      </c>
      <c r="E116" s="224">
        <f>E104+E107+E110+E113</f>
        <v>5</v>
      </c>
      <c r="F116" s="256">
        <f>B116*3+C116*2+D116</f>
        <v>55</v>
      </c>
      <c r="G116" s="400"/>
    </row>
    <row r="117" spans="1:7" ht="15" thickBot="1" x14ac:dyDescent="0.35">
      <c r="A117" s="226" t="s">
        <v>798</v>
      </c>
      <c r="B117" s="227">
        <f>B105+B108+B111+B114</f>
        <v>7</v>
      </c>
      <c r="C117" s="227">
        <f t="shared" si="6"/>
        <v>3</v>
      </c>
      <c r="D117" s="227">
        <f t="shared" si="6"/>
        <v>1</v>
      </c>
      <c r="E117" s="227">
        <f>E105+E108+E111+E114</f>
        <v>15</v>
      </c>
      <c r="F117" s="258">
        <f>B117*3+C117*2+D117</f>
        <v>28</v>
      </c>
      <c r="G117" s="400"/>
    </row>
    <row r="118" spans="1:7" x14ac:dyDescent="0.3">
      <c r="G118" s="2"/>
    </row>
    <row r="119" spans="1:7" ht="15" thickBot="1" x14ac:dyDescent="0.35">
      <c r="G119" s="2"/>
    </row>
    <row r="120" spans="1:7" ht="15" thickBot="1" x14ac:dyDescent="0.35">
      <c r="C120" s="382" t="s">
        <v>6174</v>
      </c>
      <c r="D120" s="380"/>
      <c r="E120" s="398" t="s">
        <v>5588</v>
      </c>
      <c r="G120" s="2"/>
    </row>
    <row r="121" spans="1:7" x14ac:dyDescent="0.3">
      <c r="C121" s="1048" t="str" cm="1">
        <f t="array" ref="C121:C148">_xlfn.UNIQUE(Zapasy20242025[Výsledek pro LIT])</f>
        <v>4:2</v>
      </c>
      <c r="D121" s="1048"/>
      <c r="E121" s="2">
        <f>COUNTIF(Zapasy20242025[Výsledek pro LIT], C121)</f>
        <v>2</v>
      </c>
      <c r="G121" s="2"/>
    </row>
    <row r="122" spans="1:7" x14ac:dyDescent="0.3">
      <c r="C122" s="2" t="str">
        <v>3:1</v>
      </c>
      <c r="E122" s="2">
        <f>COUNTIF(Zapasy20242025[Výsledek pro LIT], C122)</f>
        <v>1</v>
      </c>
      <c r="G122" s="2"/>
    </row>
    <row r="123" spans="1:7" x14ac:dyDescent="0.3">
      <c r="C123" s="2" t="str">
        <v>3:2</v>
      </c>
      <c r="E123" s="2">
        <f>COUNTIF(Zapasy20242025[Výsledek pro LIT], C123)</f>
        <v>4</v>
      </c>
      <c r="G123" s="2"/>
    </row>
    <row r="124" spans="1:7" x14ac:dyDescent="0.3">
      <c r="C124" s="2" t="str">
        <v>5:2</v>
      </c>
      <c r="E124" s="2">
        <f>COUNTIF(Zapasy20242025[Výsledek pro LIT], C124)</f>
        <v>2</v>
      </c>
      <c r="G124" s="2"/>
    </row>
    <row r="125" spans="1:7" x14ac:dyDescent="0.3">
      <c r="C125" s="2" t="str">
        <v>2:1</v>
      </c>
      <c r="E125" s="2">
        <f>COUNTIF(Zapasy20242025[Výsledek pro LIT], C125)</f>
        <v>2</v>
      </c>
      <c r="G125" s="2"/>
    </row>
    <row r="126" spans="1:7" x14ac:dyDescent="0.3">
      <c r="C126" s="2" t="str">
        <v>5:1</v>
      </c>
      <c r="E126" s="2">
        <f>COUNTIF(Zapasy20242025[Výsledek pro LIT], C126)</f>
        <v>1</v>
      </c>
      <c r="G126" s="2"/>
    </row>
    <row r="127" spans="1:7" x14ac:dyDescent="0.3">
      <c r="C127" s="2" t="str">
        <v>1:3</v>
      </c>
      <c r="E127" s="2">
        <f>COUNTIF(Zapasy20242025[Výsledek pro LIT], C127)</f>
        <v>6</v>
      </c>
      <c r="G127" s="1049" t="s">
        <v>6151</v>
      </c>
    </row>
    <row r="128" spans="1:7" x14ac:dyDescent="0.3">
      <c r="C128" s="2" t="str">
        <v>2:3pp</v>
      </c>
      <c r="E128" s="2">
        <f>COUNTIF(Zapasy20242025[Výsledek pro LIT], C128)</f>
        <v>3</v>
      </c>
      <c r="G128" s="1050" t="s">
        <v>161</v>
      </c>
    </row>
    <row r="129" spans="3:7" x14ac:dyDescent="0.3">
      <c r="C129" s="2" t="str">
        <v>2:4</v>
      </c>
      <c r="E129" s="2">
        <f>COUNTIF(Zapasy20242025[Výsledek pro LIT], C129)</f>
        <v>2</v>
      </c>
      <c r="G129" s="2" t="str">
        <f>MID(G128,3,1)</f>
        <v>3</v>
      </c>
    </row>
    <row r="130" spans="3:7" x14ac:dyDescent="0.3">
      <c r="C130" s="2" t="str">
        <v>1:4</v>
      </c>
      <c r="E130" s="2">
        <f>COUNTIF(Zapasy20242025[Výsledek pro LIT], C130)</f>
        <v>4</v>
      </c>
      <c r="G130" s="2"/>
    </row>
    <row r="131" spans="3:7" x14ac:dyDescent="0.3">
      <c r="C131" s="2" t="str">
        <v>0:2</v>
      </c>
      <c r="E131" s="2">
        <f>COUNTIF(Zapasy20242025[Výsledek pro LIT], C131)</f>
        <v>3</v>
      </c>
      <c r="G131" s="2"/>
    </row>
    <row r="132" spans="3:7" x14ac:dyDescent="0.3">
      <c r="C132" s="2" t="str">
        <v>6:0</v>
      </c>
      <c r="E132" s="2">
        <f>COUNTIF(Zapasy20242025[Výsledek pro LIT], C132)</f>
        <v>1</v>
      </c>
      <c r="G132" s="2"/>
    </row>
    <row r="133" spans="3:7" x14ac:dyDescent="0.3">
      <c r="C133" s="2" t="str">
        <v>4:3</v>
      </c>
      <c r="E133" s="2">
        <f>COUNTIF(Zapasy20242025[Výsledek pro LIT], C133)</f>
        <v>3</v>
      </c>
      <c r="G133" s="2"/>
    </row>
    <row r="134" spans="3:7" x14ac:dyDescent="0.3">
      <c r="C134" s="2" t="str">
        <v>4:1</v>
      </c>
      <c r="E134" s="2">
        <f>COUNTIF(Zapasy20242025[Výsledek pro LIT], C134)</f>
        <v>3</v>
      </c>
      <c r="G134" s="2"/>
    </row>
    <row r="135" spans="3:7" x14ac:dyDescent="0.3">
      <c r="C135" s="2" t="str">
        <v>4:0</v>
      </c>
      <c r="E135" s="2">
        <f>COUNTIF(Zapasy20242025[Výsledek pro LIT], C135)</f>
        <v>1</v>
      </c>
      <c r="G135" s="2"/>
    </row>
    <row r="136" spans="3:7" x14ac:dyDescent="0.3">
      <c r="C136" s="2" t="str">
        <v>0:4</v>
      </c>
      <c r="E136" s="2">
        <f>COUNTIF(Zapasy20242025[Výsledek pro LIT], C136)</f>
        <v>1</v>
      </c>
      <c r="G136" s="2"/>
    </row>
    <row r="137" spans="3:7" x14ac:dyDescent="0.3">
      <c r="C137" s="2" t="str">
        <v>3:0</v>
      </c>
      <c r="E137" s="2">
        <f>COUNTIF(Zapasy20242025[Výsledek pro LIT], C137)</f>
        <v>2</v>
      </c>
      <c r="G137" s="2"/>
    </row>
    <row r="138" spans="3:7" x14ac:dyDescent="0.3">
      <c r="C138" s="2" t="str">
        <v>1:0</v>
      </c>
      <c r="E138" s="2">
        <f>COUNTIF(Zapasy20242025[Výsledek pro LIT], C138)</f>
        <v>3</v>
      </c>
      <c r="G138" s="2"/>
    </row>
    <row r="139" spans="3:7" x14ac:dyDescent="0.3">
      <c r="C139" s="2" t="str">
        <v>4:5</v>
      </c>
      <c r="E139" s="2">
        <f>COUNTIF(Zapasy20242025[Výsledek pro LIT], C139)</f>
        <v>1</v>
      </c>
      <c r="G139" s="2"/>
    </row>
    <row r="140" spans="3:7" x14ac:dyDescent="0.3">
      <c r="C140" s="2" t="str">
        <v>1:2</v>
      </c>
      <c r="E140" s="2">
        <f>COUNTIF(Zapasy20242025[Výsledek pro LIT], C140)</f>
        <v>1</v>
      </c>
      <c r="G140" s="2"/>
    </row>
    <row r="141" spans="3:7" x14ac:dyDescent="0.3">
      <c r="C141" s="2" t="str">
        <v>3:5</v>
      </c>
      <c r="E141" s="2">
        <f>COUNTIF(Zapasy20242025[Výsledek pro LIT], C141)</f>
        <v>1</v>
      </c>
      <c r="G141" s="2"/>
    </row>
    <row r="142" spans="3:7" x14ac:dyDescent="0.3">
      <c r="C142" s="2" t="str">
        <v>2:5</v>
      </c>
      <c r="E142" s="2">
        <f>COUNTIF(Zapasy20242025[Výsledek pro LIT], C142)</f>
        <v>2</v>
      </c>
      <c r="G142" s="2"/>
    </row>
    <row r="143" spans="3:7" x14ac:dyDescent="0.3">
      <c r="C143" s="2" t="str">
        <v>0:3</v>
      </c>
      <c r="E143" s="2">
        <f>COUNTIF(Zapasy20242025[Výsledek pro LIT], C143)</f>
        <v>1</v>
      </c>
      <c r="G143" s="2"/>
    </row>
    <row r="144" spans="3:7" x14ac:dyDescent="0.3">
      <c r="C144" s="2" t="str">
        <v>4:6</v>
      </c>
      <c r="E144" s="2">
        <f>COUNTIF(Zapasy20242025[Výsledek pro LIT], C144)</f>
        <v>1</v>
      </c>
      <c r="G144" s="2"/>
    </row>
    <row r="145" spans="3:7" x14ac:dyDescent="0.3">
      <c r="C145" s="2" t="str">
        <v>1:5</v>
      </c>
      <c r="E145" s="2">
        <f>COUNTIF(Zapasy20242025[Výsledek pro LIT], C145)</f>
        <v>2</v>
      </c>
      <c r="G145" s="2"/>
    </row>
    <row r="146" spans="3:7" x14ac:dyDescent="0.3">
      <c r="C146" s="2" t="str">
        <v>3:2sn</v>
      </c>
      <c r="E146" s="2">
        <f>COUNTIF(Zapasy20242025[Výsledek pro LIT], C146)</f>
        <v>1</v>
      </c>
      <c r="G146" s="2"/>
    </row>
    <row r="147" spans="3:7" x14ac:dyDescent="0.3">
      <c r="C147" s="2" t="str">
        <v>2:1pp</v>
      </c>
      <c r="E147" s="2">
        <f>COUNTIF(Zapasy20242025[Výsledek pro LIT], C147)</f>
        <v>1</v>
      </c>
      <c r="G147" s="2"/>
    </row>
    <row r="148" spans="3:7" x14ac:dyDescent="0.3">
      <c r="C148" s="2" t="str">
        <v>2:3</v>
      </c>
      <c r="E148" s="2">
        <f>COUNTIF(Zapasy20242025[Výsledek pro LIT], C148)</f>
        <v>1</v>
      </c>
      <c r="G148" s="2"/>
    </row>
    <row r="149" spans="3:7" x14ac:dyDescent="0.3">
      <c r="G149" s="2"/>
    </row>
    <row r="150" spans="3:7" x14ac:dyDescent="0.3">
      <c r="G150" s="2"/>
    </row>
    <row r="151" spans="3:7" x14ac:dyDescent="0.3">
      <c r="G151" s="2"/>
    </row>
    <row r="152" spans="3:7" x14ac:dyDescent="0.3">
      <c r="G152" s="2"/>
    </row>
    <row r="153" spans="3:7" x14ac:dyDescent="0.3">
      <c r="G153" s="2"/>
    </row>
    <row r="154" spans="3:7" x14ac:dyDescent="0.3">
      <c r="G154" s="2"/>
    </row>
    <row r="155" spans="3:7" x14ac:dyDescent="0.3">
      <c r="G155" s="2"/>
    </row>
    <row r="156" spans="3:7" x14ac:dyDescent="0.3">
      <c r="G156" s="2"/>
    </row>
    <row r="157" spans="3:7" x14ac:dyDescent="0.3">
      <c r="G157" s="2"/>
    </row>
    <row r="158" spans="3:7" x14ac:dyDescent="0.3">
      <c r="G158" s="2"/>
    </row>
    <row r="159" spans="3:7" x14ac:dyDescent="0.3">
      <c r="G159" s="2"/>
    </row>
    <row r="160" spans="3:7" x14ac:dyDescent="0.3">
      <c r="G160" s="2"/>
    </row>
    <row r="161" spans="7:7" x14ac:dyDescent="0.3">
      <c r="G161" s="2"/>
    </row>
    <row r="162" spans="7:7" x14ac:dyDescent="0.3">
      <c r="G162" s="2"/>
    </row>
    <row r="163" spans="7:7" x14ac:dyDescent="0.3">
      <c r="G163" s="2"/>
    </row>
    <row r="164" spans="7:7" x14ac:dyDescent="0.3">
      <c r="G164" s="2"/>
    </row>
    <row r="165" spans="7:7" x14ac:dyDescent="0.3">
      <c r="G165" s="2"/>
    </row>
    <row r="166" spans="7:7" x14ac:dyDescent="0.3">
      <c r="G166" s="2"/>
    </row>
    <row r="167" spans="7:7" x14ac:dyDescent="0.3">
      <c r="G167" s="2"/>
    </row>
    <row r="168" spans="7:7" x14ac:dyDescent="0.3">
      <c r="G168" s="2"/>
    </row>
    <row r="169" spans="7:7" x14ac:dyDescent="0.3">
      <c r="G169" s="2"/>
    </row>
    <row r="170" spans="7:7" x14ac:dyDescent="0.3">
      <c r="G170" s="2"/>
    </row>
    <row r="171" spans="7:7" x14ac:dyDescent="0.3">
      <c r="G171" s="2"/>
    </row>
    <row r="172" spans="7:7" x14ac:dyDescent="0.3">
      <c r="G172" s="2"/>
    </row>
    <row r="173" spans="7:7" x14ac:dyDescent="0.3">
      <c r="G173" s="2"/>
    </row>
    <row r="174" spans="7:7" x14ac:dyDescent="0.3">
      <c r="G174" s="2"/>
    </row>
    <row r="175" spans="7:7" x14ac:dyDescent="0.3">
      <c r="G175" s="2"/>
    </row>
    <row r="176" spans="7:7" x14ac:dyDescent="0.3">
      <c r="G176" s="2"/>
    </row>
    <row r="177" spans="7:7" x14ac:dyDescent="0.3">
      <c r="G177" s="2"/>
    </row>
    <row r="178" spans="7:7" x14ac:dyDescent="0.3">
      <c r="G178" s="2"/>
    </row>
    <row r="179" spans="7:7" x14ac:dyDescent="0.3">
      <c r="G179" s="2"/>
    </row>
    <row r="180" spans="7:7" x14ac:dyDescent="0.3">
      <c r="G180" s="2"/>
    </row>
    <row r="181" spans="7:7" x14ac:dyDescent="0.3">
      <c r="G181" s="2"/>
    </row>
    <row r="182" spans="7:7" x14ac:dyDescent="0.3">
      <c r="G182" s="2"/>
    </row>
    <row r="183" spans="7:7" x14ac:dyDescent="0.3">
      <c r="G183" s="2"/>
    </row>
    <row r="184" spans="7:7" x14ac:dyDescent="0.3">
      <c r="G184" s="2"/>
    </row>
    <row r="185" spans="7:7" x14ac:dyDescent="0.3">
      <c r="G185" s="2"/>
    </row>
    <row r="186" spans="7:7" x14ac:dyDescent="0.3">
      <c r="G186" s="2"/>
    </row>
    <row r="187" spans="7:7" x14ac:dyDescent="0.3">
      <c r="G187" s="2"/>
    </row>
    <row r="188" spans="7:7" x14ac:dyDescent="0.3">
      <c r="G188" s="2"/>
    </row>
    <row r="189" spans="7:7" x14ac:dyDescent="0.3">
      <c r="G189" s="2"/>
    </row>
    <row r="190" spans="7:7" x14ac:dyDescent="0.3">
      <c r="G190" s="2"/>
    </row>
    <row r="191" spans="7:7" x14ac:dyDescent="0.3">
      <c r="G191" s="2"/>
    </row>
    <row r="192" spans="7:7" x14ac:dyDescent="0.3">
      <c r="G192" s="2"/>
    </row>
    <row r="193" spans="7:7" x14ac:dyDescent="0.3">
      <c r="G193" s="2"/>
    </row>
    <row r="194" spans="7:7" x14ac:dyDescent="0.3">
      <c r="G194" s="2"/>
    </row>
    <row r="195" spans="7:7" x14ac:dyDescent="0.3">
      <c r="G195" s="2"/>
    </row>
    <row r="196" spans="7:7" x14ac:dyDescent="0.3">
      <c r="G196" s="2"/>
    </row>
    <row r="197" spans="7:7" x14ac:dyDescent="0.3">
      <c r="G197" s="2"/>
    </row>
    <row r="198" spans="7:7" x14ac:dyDescent="0.3">
      <c r="G198" s="2"/>
    </row>
    <row r="199" spans="7:7" x14ac:dyDescent="0.3">
      <c r="G199" s="2"/>
    </row>
    <row r="200" spans="7:7" x14ac:dyDescent="0.3">
      <c r="G200" s="2"/>
    </row>
    <row r="201" spans="7:7" x14ac:dyDescent="0.3">
      <c r="G201" s="2"/>
    </row>
    <row r="202" spans="7:7" x14ac:dyDescent="0.3">
      <c r="G202" s="2"/>
    </row>
  </sheetData>
  <mergeCells count="6">
    <mergeCell ref="A101:G101"/>
    <mergeCell ref="AB1:AI1"/>
    <mergeCell ref="P1:Q1"/>
    <mergeCell ref="R1:S1"/>
    <mergeCell ref="T1:V1"/>
    <mergeCell ref="W1:AA1"/>
  </mergeCells>
  <phoneticPr fontId="79" type="noConversion"/>
  <conditionalFormatting sqref="D102">
    <cfRule type="cellIs" dxfId="127" priority="7" operator="equal">
      <formula>"ne"</formula>
    </cfRule>
    <cfRule type="cellIs" dxfId="126" priority="8" operator="equal">
      <formula>"pá"</formula>
    </cfRule>
  </conditionalFormatting>
  <conditionalFormatting sqref="E102">
    <cfRule type="cellIs" dxfId="125" priority="9" operator="equal">
      <formula>"D"</formula>
    </cfRule>
  </conditionalFormatting>
  <conditionalFormatting sqref="E104:E105 E107:E108 E110:E111 E113:E114">
    <cfRule type="cellIs" dxfId="124" priority="2" operator="equal">
      <formula>"ne"</formula>
    </cfRule>
    <cfRule type="cellIs" dxfId="123" priority="3" operator="equal">
      <formula>"pá"</formula>
    </cfRule>
  </conditionalFormatting>
  <conditionalFormatting sqref="F3:F67 D53:D54 D56:D58 D61:D67 F69:F99">
    <cfRule type="cellIs" dxfId="122" priority="20" operator="equal">
      <formula>"D"</formula>
    </cfRule>
  </conditionalFormatting>
  <conditionalFormatting sqref="F104:F105 F107:F108 F110:F111 F113:F117">
    <cfRule type="cellIs" dxfId="121" priority="1" operator="equal">
      <formula>"D"</formula>
    </cfRule>
  </conditionalFormatting>
  <conditionalFormatting sqref="F149:F204">
    <cfRule type="cellIs" dxfId="120" priority="11" operator="equal">
      <formula>"D"</formula>
    </cfRule>
  </conditionalFormatting>
  <conditionalFormatting sqref="G118:G126">
    <cfRule type="cellIs" dxfId="119" priority="6" operator="equal">
      <formula>"D"</formula>
    </cfRule>
  </conditionalFormatting>
  <conditionalFormatting sqref="G129:G148">
    <cfRule type="cellIs" dxfId="118" priority="10" operator="equal">
      <formula>"D"</formula>
    </cfRule>
  </conditionalFormatting>
  <conditionalFormatting sqref="G7:L7 G15:L16 G20:L21">
    <cfRule type="cellIs" dxfId="117" priority="37" operator="equal">
      <formula>"D"</formula>
    </cfRule>
  </conditionalFormatting>
  <pageMargins left="0.7" right="0.7" top="0.78740157499999996" bottom="0.78740157499999996" header="0.3" footer="0.3"/>
  <pageSetup orientation="portrait" r:id="rId1"/>
  <drawing r:id="rId2"/>
  <legacyDrawing r:id="rId3"/>
  <tableParts count="1">
    <tablePart r:id="rId4"/>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C47"/>
  <sheetViews>
    <sheetView workbookViewId="0">
      <selection activeCell="L12" sqref="L12"/>
    </sheetView>
  </sheetViews>
  <sheetFormatPr defaultRowHeight="14.4" x14ac:dyDescent="0.3"/>
  <cols>
    <col min="1" max="1" width="3.33203125" customWidth="1"/>
    <col min="2" max="2" width="15.109375" customWidth="1"/>
    <col min="3" max="3" width="16.6640625" customWidth="1"/>
    <col min="4" max="4" width="15.44140625" customWidth="1"/>
    <col min="5" max="5" width="13.109375" customWidth="1"/>
    <col min="6" max="6" width="13.5546875" customWidth="1"/>
    <col min="7" max="7" width="15.33203125" customWidth="1"/>
    <col min="8" max="8" width="22.5546875" customWidth="1"/>
    <col min="9" max="9" width="16.6640625" customWidth="1"/>
    <col min="10" max="10" width="15.5546875" customWidth="1"/>
    <col min="11" max="11" width="20.44140625" customWidth="1"/>
    <col min="12" max="12" width="15.6640625" customWidth="1"/>
    <col min="13" max="13" width="14.33203125" customWidth="1"/>
    <col min="14" max="14" width="18.109375" customWidth="1"/>
    <col min="16" max="16" width="18.88671875" customWidth="1"/>
    <col min="17" max="17" width="13.44140625" customWidth="1"/>
    <col min="18" max="18" width="13.88671875" customWidth="1"/>
    <col min="19" max="19" width="14" customWidth="1"/>
    <col min="20" max="20" width="24.44140625" customWidth="1"/>
    <col min="21" max="21" width="19.44140625" customWidth="1"/>
    <col min="22" max="22" width="18.44140625" customWidth="1"/>
    <col min="23" max="23" width="32.109375" customWidth="1"/>
    <col min="24" max="24" width="17.5546875" customWidth="1"/>
    <col min="25" max="25" width="14.44140625" customWidth="1"/>
    <col min="26" max="26" width="13.5546875" customWidth="1"/>
    <col min="39" max="39" width="16.44140625" customWidth="1"/>
    <col min="40" max="40" width="35.33203125" customWidth="1"/>
    <col min="44" max="44" width="31.109375" customWidth="1"/>
    <col min="49" max="49" width="38" customWidth="1"/>
    <col min="52" max="52" width="31.44140625" customWidth="1"/>
    <col min="55" max="55" width="39.44140625" customWidth="1"/>
  </cols>
  <sheetData>
    <row r="1" spans="2:55" ht="14.25" customHeight="1" thickBot="1" x14ac:dyDescent="0.35"/>
    <row r="2" spans="2:55" x14ac:dyDescent="0.3">
      <c r="B2" s="303"/>
      <c r="C2" s="1142" t="s">
        <v>5348</v>
      </c>
      <c r="D2" s="1143"/>
      <c r="E2" s="1144"/>
      <c r="F2" s="1142" t="s">
        <v>5611</v>
      </c>
      <c r="G2" s="1143"/>
      <c r="H2" s="1144"/>
      <c r="I2" s="1142" t="s">
        <v>5666</v>
      </c>
      <c r="J2" s="1143"/>
      <c r="K2" s="1144"/>
      <c r="L2" s="1145" t="s">
        <v>3663</v>
      </c>
      <c r="M2" s="1143"/>
      <c r="N2" s="1144"/>
      <c r="P2" s="231"/>
      <c r="Q2" s="826" t="s">
        <v>5159</v>
      </c>
      <c r="R2" s="824" t="s">
        <v>5160</v>
      </c>
      <c r="S2" s="824" t="s">
        <v>5161</v>
      </c>
      <c r="T2" s="825" t="s">
        <v>5162</v>
      </c>
    </row>
    <row r="3" spans="2:55" ht="15" thickBot="1" x14ac:dyDescent="0.35">
      <c r="B3" s="304"/>
      <c r="C3" s="199" t="s">
        <v>999</v>
      </c>
      <c r="D3" s="200" t="s">
        <v>796</v>
      </c>
      <c r="E3" s="230" t="s">
        <v>1000</v>
      </c>
      <c r="F3" s="235" t="s">
        <v>999</v>
      </c>
      <c r="G3" s="200" t="s">
        <v>796</v>
      </c>
      <c r="H3" s="230" t="s">
        <v>1000</v>
      </c>
      <c r="I3" s="235" t="s">
        <v>999</v>
      </c>
      <c r="J3" s="200" t="s">
        <v>796</v>
      </c>
      <c r="K3" s="230" t="s">
        <v>1000</v>
      </c>
      <c r="L3" s="235" t="s">
        <v>999</v>
      </c>
      <c r="M3" s="200" t="s">
        <v>796</v>
      </c>
      <c r="N3" s="230" t="s">
        <v>1000</v>
      </c>
      <c r="P3" s="232"/>
      <c r="Q3" s="184" t="s">
        <v>5163</v>
      </c>
      <c r="R3" s="183" t="s">
        <v>5163</v>
      </c>
      <c r="S3" s="183" t="s">
        <v>5163</v>
      </c>
      <c r="T3" s="828" t="s">
        <v>5163</v>
      </c>
      <c r="AH3" s="2"/>
      <c r="AI3" s="2"/>
    </row>
    <row r="4" spans="2:55" x14ac:dyDescent="0.3">
      <c r="B4" s="280" t="s">
        <v>610</v>
      </c>
      <c r="C4" s="277">
        <v>13</v>
      </c>
      <c r="D4" s="278">
        <v>17</v>
      </c>
      <c r="E4" s="279">
        <f>D4/C4</f>
        <v>1.3076923076923077</v>
      </c>
      <c r="F4" s="171">
        <v>27</v>
      </c>
      <c r="G4" s="278">
        <v>41</v>
      </c>
      <c r="H4" s="279">
        <f t="shared" ref="H4:H17" si="0">G4/F4</f>
        <v>1.5185185185185186</v>
      </c>
      <c r="I4" s="171">
        <v>41</v>
      </c>
      <c r="J4" s="278">
        <v>65</v>
      </c>
      <c r="K4" s="279">
        <f t="shared" ref="K4:K17" si="1">J4/I4</f>
        <v>1.5853658536585367</v>
      </c>
      <c r="L4" s="171">
        <v>52</v>
      </c>
      <c r="M4" s="278"/>
      <c r="N4" s="279">
        <f t="shared" ref="N4:N17" si="2">M4/L4</f>
        <v>0</v>
      </c>
      <c r="P4" s="232" t="str">
        <f>B4</f>
        <v>Liberec</v>
      </c>
      <c r="Q4" s="830">
        <f>E4</f>
        <v>1.3076923076923077</v>
      </c>
      <c r="R4" s="827">
        <f>H4</f>
        <v>1.5185185185185186</v>
      </c>
      <c r="S4" s="827">
        <f>K4</f>
        <v>1.5853658536585367</v>
      </c>
      <c r="T4" s="275">
        <f>N4</f>
        <v>0</v>
      </c>
      <c r="AG4" s="2"/>
      <c r="AH4" s="2"/>
      <c r="AI4" s="60"/>
      <c r="AJ4" s="60"/>
      <c r="AK4" s="60"/>
      <c r="AL4" s="60"/>
      <c r="AM4" s="2"/>
      <c r="AN4" s="8"/>
      <c r="AO4" s="2"/>
      <c r="AR4" s="178"/>
      <c r="AW4" s="178"/>
      <c r="AZ4" s="178"/>
      <c r="BC4" s="178"/>
    </row>
    <row r="5" spans="2:55" x14ac:dyDescent="0.3">
      <c r="B5" s="281" t="s">
        <v>334</v>
      </c>
      <c r="C5" s="198">
        <v>12</v>
      </c>
      <c r="D5" s="183">
        <v>20</v>
      </c>
      <c r="E5" s="275">
        <f t="shared" ref="E5:E17" si="3">D5/C5</f>
        <v>1.6666666666666667</v>
      </c>
      <c r="F5" s="184">
        <v>25</v>
      </c>
      <c r="G5" s="183">
        <v>50</v>
      </c>
      <c r="H5" s="275">
        <f t="shared" si="0"/>
        <v>2</v>
      </c>
      <c r="I5" s="184">
        <v>39</v>
      </c>
      <c r="J5" s="183">
        <v>72</v>
      </c>
      <c r="K5" s="275">
        <f t="shared" si="1"/>
        <v>1.8461538461538463</v>
      </c>
      <c r="L5" s="184">
        <v>52</v>
      </c>
      <c r="M5" s="183"/>
      <c r="N5" s="275">
        <f t="shared" si="2"/>
        <v>0</v>
      </c>
      <c r="P5" s="232" t="str">
        <f t="shared" ref="P5:P17" si="4">B5</f>
        <v>Třinec</v>
      </c>
      <c r="Q5" s="830">
        <f t="shared" ref="Q5:Q16" si="5">E5</f>
        <v>1.6666666666666667</v>
      </c>
      <c r="R5" s="827">
        <f t="shared" ref="R5:R16" si="6">H5</f>
        <v>2</v>
      </c>
      <c r="S5" s="827">
        <f t="shared" ref="S5:S16" si="7">K5</f>
        <v>1.8461538461538463</v>
      </c>
      <c r="T5" s="275">
        <f t="shared" ref="T5:T16" si="8">N5</f>
        <v>0</v>
      </c>
      <c r="AG5" s="2"/>
      <c r="AH5" s="2"/>
      <c r="AI5" s="60"/>
      <c r="AJ5" s="60"/>
      <c r="AK5" s="60"/>
      <c r="AL5" s="60"/>
      <c r="AM5" s="2"/>
      <c r="AN5" s="8"/>
      <c r="AO5" s="2"/>
      <c r="AR5" s="178"/>
      <c r="AW5" s="178"/>
      <c r="AZ5" s="8"/>
      <c r="BC5" s="178"/>
    </row>
    <row r="6" spans="2:55" x14ac:dyDescent="0.3">
      <c r="B6" s="281" t="s">
        <v>331</v>
      </c>
      <c r="C6" s="198">
        <v>12</v>
      </c>
      <c r="D6" s="183">
        <v>15</v>
      </c>
      <c r="E6" s="275">
        <f t="shared" si="3"/>
        <v>1.25</v>
      </c>
      <c r="F6" s="184">
        <v>25</v>
      </c>
      <c r="G6" s="183">
        <v>30</v>
      </c>
      <c r="H6" s="275">
        <f t="shared" si="0"/>
        <v>1.2</v>
      </c>
      <c r="I6" s="184">
        <v>38</v>
      </c>
      <c r="J6" s="183">
        <v>50</v>
      </c>
      <c r="K6" s="275">
        <f t="shared" si="1"/>
        <v>1.3157894736842106</v>
      </c>
      <c r="L6" s="171">
        <v>52</v>
      </c>
      <c r="M6" s="183"/>
      <c r="N6" s="275">
        <f t="shared" si="2"/>
        <v>0</v>
      </c>
      <c r="P6" s="232" t="str">
        <f t="shared" si="4"/>
        <v>Plzeň</v>
      </c>
      <c r="Q6" s="830">
        <f t="shared" si="5"/>
        <v>1.25</v>
      </c>
      <c r="R6" s="827">
        <f t="shared" si="6"/>
        <v>1.2</v>
      </c>
      <c r="S6" s="827">
        <f t="shared" si="7"/>
        <v>1.3157894736842106</v>
      </c>
      <c r="T6" s="275">
        <f t="shared" si="8"/>
        <v>0</v>
      </c>
      <c r="AG6" s="2"/>
      <c r="AH6" s="2"/>
      <c r="AI6" s="60"/>
      <c r="AJ6" s="60"/>
      <c r="AK6" s="60"/>
      <c r="AL6" s="60"/>
      <c r="AM6" s="2"/>
      <c r="AN6" s="182"/>
      <c r="AO6" s="2"/>
      <c r="AR6" s="178"/>
      <c r="AW6" s="178"/>
      <c r="AZ6" s="8"/>
      <c r="BC6" s="8"/>
    </row>
    <row r="7" spans="2:55" x14ac:dyDescent="0.3">
      <c r="B7" s="281" t="s">
        <v>1274</v>
      </c>
      <c r="C7" s="198">
        <v>13</v>
      </c>
      <c r="D7" s="183">
        <v>19</v>
      </c>
      <c r="E7" s="275">
        <f t="shared" si="3"/>
        <v>1.4615384615384615</v>
      </c>
      <c r="F7" s="184">
        <v>26</v>
      </c>
      <c r="G7" s="183">
        <v>43</v>
      </c>
      <c r="H7" s="275">
        <f t="shared" si="0"/>
        <v>1.6538461538461537</v>
      </c>
      <c r="I7" s="184">
        <v>40</v>
      </c>
      <c r="J7" s="183">
        <v>58</v>
      </c>
      <c r="K7" s="275">
        <f t="shared" si="1"/>
        <v>1.45</v>
      </c>
      <c r="L7" s="184">
        <v>52</v>
      </c>
      <c r="M7" s="183"/>
      <c r="N7" s="275">
        <f t="shared" si="2"/>
        <v>0</v>
      </c>
      <c r="P7" s="232" t="str">
        <f t="shared" si="4"/>
        <v>Mountfield HK</v>
      </c>
      <c r="Q7" s="830">
        <f t="shared" si="5"/>
        <v>1.4615384615384615</v>
      </c>
      <c r="R7" s="827">
        <f t="shared" si="6"/>
        <v>1.6538461538461537</v>
      </c>
      <c r="S7" s="827">
        <f t="shared" si="7"/>
        <v>1.45</v>
      </c>
      <c r="T7" s="275">
        <f t="shared" si="8"/>
        <v>0</v>
      </c>
      <c r="AG7" s="2"/>
      <c r="AH7" s="2"/>
      <c r="AI7" s="60"/>
      <c r="AJ7" s="60"/>
      <c r="AK7" s="60"/>
      <c r="AL7" s="60"/>
      <c r="AM7" s="2"/>
      <c r="AN7" s="8"/>
      <c r="AO7" s="2"/>
      <c r="AR7" s="178"/>
      <c r="AW7" s="8"/>
      <c r="AZ7" s="8"/>
      <c r="BC7" s="8"/>
    </row>
    <row r="8" spans="2:55" x14ac:dyDescent="0.3">
      <c r="B8" s="281" t="s">
        <v>6179</v>
      </c>
      <c r="C8" s="198">
        <v>13</v>
      </c>
      <c r="D8" s="183">
        <v>18</v>
      </c>
      <c r="E8" s="275">
        <f t="shared" si="3"/>
        <v>1.3846153846153846</v>
      </c>
      <c r="F8" s="184">
        <v>25</v>
      </c>
      <c r="G8" s="183">
        <v>40</v>
      </c>
      <c r="H8" s="275">
        <f t="shared" si="0"/>
        <v>1.6</v>
      </c>
      <c r="I8" s="184">
        <v>39</v>
      </c>
      <c r="J8" s="183">
        <v>61</v>
      </c>
      <c r="K8" s="275">
        <f t="shared" si="1"/>
        <v>1.5641025641025641</v>
      </c>
      <c r="L8" s="171">
        <v>52</v>
      </c>
      <c r="M8" s="183"/>
      <c r="N8" s="275">
        <f t="shared" si="2"/>
        <v>0</v>
      </c>
      <c r="P8" s="232" t="str">
        <f t="shared" si="4"/>
        <v>Kometa Brno</v>
      </c>
      <c r="Q8" s="830">
        <f t="shared" si="5"/>
        <v>1.3846153846153846</v>
      </c>
      <c r="R8" s="827">
        <f t="shared" si="6"/>
        <v>1.6</v>
      </c>
      <c r="S8" s="827">
        <f t="shared" si="7"/>
        <v>1.5641025641025641</v>
      </c>
      <c r="T8" s="275">
        <f t="shared" si="8"/>
        <v>0</v>
      </c>
      <c r="AG8" s="2"/>
      <c r="AH8" s="2"/>
      <c r="AI8" s="60"/>
      <c r="AJ8" s="60"/>
      <c r="AK8" s="60"/>
      <c r="AL8" s="60"/>
      <c r="AM8" s="2"/>
      <c r="AN8" s="8"/>
      <c r="AO8" s="2"/>
      <c r="AR8" s="178"/>
      <c r="AW8" s="8"/>
      <c r="AZ8" s="8"/>
      <c r="BC8" s="8"/>
    </row>
    <row r="9" spans="2:55" x14ac:dyDescent="0.3">
      <c r="B9" s="281" t="s">
        <v>626</v>
      </c>
      <c r="C9" s="198">
        <v>13</v>
      </c>
      <c r="D9" s="183">
        <v>15</v>
      </c>
      <c r="E9" s="275">
        <f t="shared" si="3"/>
        <v>1.1538461538461537</v>
      </c>
      <c r="F9" s="184">
        <v>26</v>
      </c>
      <c r="G9" s="183">
        <v>35</v>
      </c>
      <c r="H9" s="275">
        <f t="shared" si="0"/>
        <v>1.3461538461538463</v>
      </c>
      <c r="I9" s="184">
        <v>40</v>
      </c>
      <c r="J9" s="183">
        <v>52</v>
      </c>
      <c r="K9" s="275">
        <f t="shared" si="1"/>
        <v>1.3</v>
      </c>
      <c r="L9" s="184">
        <v>52</v>
      </c>
      <c r="M9" s="183"/>
      <c r="N9" s="275">
        <f t="shared" si="2"/>
        <v>0</v>
      </c>
      <c r="P9" s="232" t="str">
        <f t="shared" si="4"/>
        <v>Olomouc</v>
      </c>
      <c r="Q9" s="830">
        <f t="shared" si="5"/>
        <v>1.1538461538461537</v>
      </c>
      <c r="R9" s="827">
        <f t="shared" si="6"/>
        <v>1.3461538461538463</v>
      </c>
      <c r="S9" s="827">
        <f t="shared" si="7"/>
        <v>1.3</v>
      </c>
      <c r="T9" s="275">
        <f t="shared" si="8"/>
        <v>0</v>
      </c>
      <c r="AG9" s="2"/>
      <c r="AH9" s="2"/>
      <c r="AI9" s="60"/>
      <c r="AJ9" s="60"/>
      <c r="AK9" s="60"/>
      <c r="AL9" s="60"/>
      <c r="AM9" s="2"/>
      <c r="AN9" s="8"/>
      <c r="AO9" s="2"/>
      <c r="AR9" s="178"/>
      <c r="AW9" s="8"/>
      <c r="AZ9" s="272"/>
      <c r="BC9" s="8"/>
    </row>
    <row r="10" spans="2:55" x14ac:dyDescent="0.3">
      <c r="B10" s="281" t="s">
        <v>328</v>
      </c>
      <c r="C10" s="198">
        <v>13</v>
      </c>
      <c r="D10" s="183">
        <v>13</v>
      </c>
      <c r="E10" s="275">
        <f t="shared" si="3"/>
        <v>1</v>
      </c>
      <c r="F10" s="184">
        <v>24</v>
      </c>
      <c r="G10" s="183">
        <v>23</v>
      </c>
      <c r="H10" s="275">
        <f t="shared" si="0"/>
        <v>0.95833333333333337</v>
      </c>
      <c r="I10" s="184">
        <v>36</v>
      </c>
      <c r="J10" s="183">
        <v>44</v>
      </c>
      <c r="K10" s="275">
        <f t="shared" si="1"/>
        <v>1.2222222222222223</v>
      </c>
      <c r="L10" s="171">
        <v>52</v>
      </c>
      <c r="M10" s="183"/>
      <c r="N10" s="275">
        <f t="shared" si="2"/>
        <v>0</v>
      </c>
      <c r="P10" s="232" t="str">
        <f t="shared" si="4"/>
        <v>Vítkovice</v>
      </c>
      <c r="Q10" s="830">
        <f t="shared" si="5"/>
        <v>1</v>
      </c>
      <c r="R10" s="827">
        <f t="shared" si="6"/>
        <v>0.95833333333333337</v>
      </c>
      <c r="S10" s="827">
        <f t="shared" si="7"/>
        <v>1.2222222222222223</v>
      </c>
      <c r="T10" s="275">
        <f t="shared" si="8"/>
        <v>0</v>
      </c>
      <c r="AG10" s="2"/>
      <c r="AH10" s="2"/>
      <c r="AI10" s="60"/>
      <c r="AJ10" s="60"/>
      <c r="AK10" s="60"/>
      <c r="AL10" s="60"/>
      <c r="AM10" s="2"/>
      <c r="AN10" s="178"/>
      <c r="AO10" s="2"/>
      <c r="AR10" s="178"/>
      <c r="AW10" s="8"/>
      <c r="AZ10" s="8"/>
      <c r="BC10" s="8"/>
    </row>
    <row r="11" spans="2:55" x14ac:dyDescent="0.3">
      <c r="B11" s="281" t="s">
        <v>6086</v>
      </c>
      <c r="C11" s="198">
        <v>13</v>
      </c>
      <c r="D11" s="183">
        <v>11</v>
      </c>
      <c r="E11" s="275">
        <f t="shared" si="3"/>
        <v>0.84615384615384615</v>
      </c>
      <c r="F11" s="184">
        <v>26</v>
      </c>
      <c r="G11" s="183">
        <v>18</v>
      </c>
      <c r="H11" s="275">
        <f t="shared" si="0"/>
        <v>0.69230769230769229</v>
      </c>
      <c r="I11" s="184">
        <v>40</v>
      </c>
      <c r="J11" s="183">
        <v>35</v>
      </c>
      <c r="K11" s="275">
        <f t="shared" si="1"/>
        <v>0.875</v>
      </c>
      <c r="L11" s="184">
        <v>52</v>
      </c>
      <c r="M11" s="183"/>
      <c r="N11" s="275">
        <f t="shared" si="2"/>
        <v>0</v>
      </c>
      <c r="P11" s="232" t="str">
        <f t="shared" si="4"/>
        <v>Ml.Boleslav</v>
      </c>
      <c r="Q11" s="830">
        <f t="shared" si="5"/>
        <v>0.84615384615384615</v>
      </c>
      <c r="R11" s="827">
        <f t="shared" si="6"/>
        <v>0.69230769230769229</v>
      </c>
      <c r="S11" s="827">
        <f t="shared" si="7"/>
        <v>0.875</v>
      </c>
      <c r="T11" s="275">
        <f t="shared" si="8"/>
        <v>0</v>
      </c>
      <c r="AG11" s="2"/>
      <c r="AH11" s="2"/>
      <c r="AI11" s="60"/>
      <c r="AJ11" s="60"/>
      <c r="AK11" s="60"/>
      <c r="AL11" s="60"/>
      <c r="AM11" s="2"/>
      <c r="AN11" s="8"/>
      <c r="AO11" s="2"/>
      <c r="AR11" s="178"/>
      <c r="AW11" s="8"/>
      <c r="AZ11" s="8"/>
      <c r="BC11" s="8"/>
    </row>
    <row r="12" spans="2:55" x14ac:dyDescent="0.3">
      <c r="B12" s="281" t="s">
        <v>325</v>
      </c>
      <c r="C12" s="198">
        <v>13</v>
      </c>
      <c r="D12" s="183">
        <v>25</v>
      </c>
      <c r="E12" s="275">
        <f t="shared" si="3"/>
        <v>1.9230769230769231</v>
      </c>
      <c r="F12" s="184">
        <v>26</v>
      </c>
      <c r="G12" s="183">
        <v>55</v>
      </c>
      <c r="H12" s="275">
        <f t="shared" si="0"/>
        <v>2.1153846153846154</v>
      </c>
      <c r="I12" s="184">
        <v>40</v>
      </c>
      <c r="J12" s="183">
        <v>83</v>
      </c>
      <c r="K12" s="275">
        <f t="shared" si="1"/>
        <v>2.0750000000000002</v>
      </c>
      <c r="L12" s="171">
        <v>52</v>
      </c>
      <c r="M12" s="183"/>
      <c r="N12" s="275">
        <f t="shared" si="2"/>
        <v>0</v>
      </c>
      <c r="P12" s="232" t="str">
        <f t="shared" si="4"/>
        <v>Sparta</v>
      </c>
      <c r="Q12" s="830">
        <f t="shared" si="5"/>
        <v>1.9230769230769231</v>
      </c>
      <c r="R12" s="827">
        <f t="shared" si="6"/>
        <v>2.1153846153846154</v>
      </c>
      <c r="S12" s="827">
        <f t="shared" si="7"/>
        <v>2.0750000000000002</v>
      </c>
      <c r="T12" s="275">
        <f t="shared" si="8"/>
        <v>0</v>
      </c>
      <c r="AG12" s="2"/>
      <c r="AH12" s="2"/>
      <c r="AI12" s="60"/>
      <c r="AJ12" s="60"/>
      <c r="AK12" s="60"/>
      <c r="AL12" s="60"/>
      <c r="AM12" s="2"/>
      <c r="AN12" s="178"/>
      <c r="AO12" s="2"/>
      <c r="AR12" s="8"/>
      <c r="AZ12" s="8"/>
      <c r="BC12" s="8"/>
    </row>
    <row r="13" spans="2:55" x14ac:dyDescent="0.3">
      <c r="B13" s="282" t="s">
        <v>818</v>
      </c>
      <c r="C13" s="287">
        <v>13</v>
      </c>
      <c r="D13" s="288">
        <v>31</v>
      </c>
      <c r="E13" s="289">
        <f t="shared" si="3"/>
        <v>2.3846153846153846</v>
      </c>
      <c r="F13" s="237">
        <v>26</v>
      </c>
      <c r="G13" s="288">
        <v>43</v>
      </c>
      <c r="H13" s="289">
        <f>G13/F13</f>
        <v>1.6538461538461537</v>
      </c>
      <c r="I13" s="237">
        <v>40</v>
      </c>
      <c r="J13" s="288">
        <v>68</v>
      </c>
      <c r="K13" s="289">
        <f>J13/I13</f>
        <v>1.7</v>
      </c>
      <c r="L13" s="403">
        <v>52</v>
      </c>
      <c r="M13" s="288"/>
      <c r="N13" s="289">
        <f t="shared" si="2"/>
        <v>0</v>
      </c>
      <c r="P13" s="239" t="str">
        <f t="shared" si="4"/>
        <v>Litvínov</v>
      </c>
      <c r="Q13" s="832">
        <f t="shared" si="5"/>
        <v>2.3846153846153846</v>
      </c>
      <c r="R13" s="833">
        <f t="shared" si="6"/>
        <v>1.6538461538461537</v>
      </c>
      <c r="S13" s="833">
        <f t="shared" si="7"/>
        <v>1.7</v>
      </c>
      <c r="T13" s="289">
        <f t="shared" si="8"/>
        <v>0</v>
      </c>
      <c r="AG13" s="2"/>
      <c r="AH13" s="2"/>
      <c r="AI13" s="60"/>
      <c r="AJ13" s="60"/>
      <c r="AK13" s="60"/>
      <c r="AL13" s="60"/>
      <c r="AM13" s="2"/>
      <c r="AN13" s="178"/>
      <c r="AO13" s="2"/>
      <c r="AR13" s="8"/>
      <c r="AW13" s="182"/>
      <c r="BC13" s="8"/>
    </row>
    <row r="14" spans="2:55" x14ac:dyDescent="0.3">
      <c r="B14" s="281" t="s">
        <v>6076</v>
      </c>
      <c r="C14" s="198">
        <v>12</v>
      </c>
      <c r="D14" s="183">
        <v>17</v>
      </c>
      <c r="E14" s="275">
        <f t="shared" si="3"/>
        <v>1.4166666666666667</v>
      </c>
      <c r="F14" s="184">
        <v>25</v>
      </c>
      <c r="G14" s="183">
        <v>33</v>
      </c>
      <c r="H14" s="275">
        <f t="shared" si="0"/>
        <v>1.32</v>
      </c>
      <c r="I14" s="184">
        <v>39</v>
      </c>
      <c r="J14" s="183">
        <v>52</v>
      </c>
      <c r="K14" s="275">
        <f t="shared" si="1"/>
        <v>1.3333333333333333</v>
      </c>
      <c r="L14" s="184">
        <v>52</v>
      </c>
      <c r="M14" s="183"/>
      <c r="N14" s="275">
        <f t="shared" si="2"/>
        <v>0</v>
      </c>
      <c r="P14" s="232" t="str">
        <f t="shared" si="4"/>
        <v>Energie KV</v>
      </c>
      <c r="Q14" s="830">
        <f t="shared" si="5"/>
        <v>1.4166666666666667</v>
      </c>
      <c r="R14" s="827">
        <f t="shared" si="6"/>
        <v>1.32</v>
      </c>
      <c r="S14" s="827">
        <f t="shared" si="7"/>
        <v>1.3333333333333333</v>
      </c>
      <c r="T14" s="275">
        <f t="shared" si="8"/>
        <v>0</v>
      </c>
      <c r="AG14" s="2"/>
      <c r="AH14" s="2"/>
      <c r="AI14" s="60"/>
      <c r="AJ14" s="60"/>
      <c r="AK14" s="60"/>
      <c r="AL14" s="60"/>
      <c r="AM14" s="2"/>
      <c r="AN14" s="182"/>
      <c r="AO14" s="2"/>
      <c r="AR14" s="8"/>
      <c r="AW14" s="8"/>
      <c r="AZ14" s="178"/>
      <c r="BC14" s="8"/>
    </row>
    <row r="15" spans="2:55" x14ac:dyDescent="0.3">
      <c r="B15" s="281" t="s">
        <v>332</v>
      </c>
      <c r="C15" s="198">
        <v>12</v>
      </c>
      <c r="D15" s="183">
        <v>14</v>
      </c>
      <c r="E15" s="275">
        <f t="shared" si="3"/>
        <v>1.1666666666666667</v>
      </c>
      <c r="F15" s="184">
        <v>24</v>
      </c>
      <c r="G15" s="183">
        <v>23</v>
      </c>
      <c r="H15" s="275">
        <f t="shared" si="0"/>
        <v>0.95833333333333337</v>
      </c>
      <c r="I15" s="184">
        <v>37</v>
      </c>
      <c r="J15" s="183">
        <v>30</v>
      </c>
      <c r="K15" s="275">
        <f t="shared" si="1"/>
        <v>0.81081081081081086</v>
      </c>
      <c r="L15" s="171">
        <v>52</v>
      </c>
      <c r="M15" s="183"/>
      <c r="N15" s="275">
        <f t="shared" si="2"/>
        <v>0</v>
      </c>
      <c r="P15" s="232" t="str">
        <f t="shared" si="4"/>
        <v>Kladno</v>
      </c>
      <c r="Q15" s="830">
        <f t="shared" si="5"/>
        <v>1.1666666666666667</v>
      </c>
      <c r="R15" s="827">
        <f t="shared" si="6"/>
        <v>0.95833333333333337</v>
      </c>
      <c r="S15" s="827">
        <f t="shared" si="7"/>
        <v>0.81081081081081086</v>
      </c>
      <c r="T15" s="275">
        <f t="shared" si="8"/>
        <v>0</v>
      </c>
      <c r="AG15" s="2"/>
      <c r="AH15" s="2"/>
      <c r="AI15" s="60"/>
      <c r="AJ15" s="60"/>
      <c r="AK15" s="60"/>
      <c r="AL15" s="60"/>
      <c r="AM15" s="2"/>
      <c r="AN15" s="8"/>
      <c r="AO15" s="2"/>
      <c r="AR15" s="8"/>
      <c r="AW15" s="8"/>
      <c r="AZ15" s="8"/>
      <c r="BC15" s="8"/>
    </row>
    <row r="16" spans="2:55" x14ac:dyDescent="0.3">
      <c r="B16" s="281" t="s">
        <v>6091</v>
      </c>
      <c r="C16" s="198">
        <v>13</v>
      </c>
      <c r="D16" s="183">
        <v>20</v>
      </c>
      <c r="E16" s="275">
        <f t="shared" si="3"/>
        <v>1.5384615384615385</v>
      </c>
      <c r="F16" s="184">
        <v>25</v>
      </c>
      <c r="G16" s="183">
        <v>39</v>
      </c>
      <c r="H16" s="275">
        <f t="shared" si="0"/>
        <v>1.56</v>
      </c>
      <c r="I16" s="184">
        <v>39</v>
      </c>
      <c r="J16" s="183">
        <v>61</v>
      </c>
      <c r="K16" s="275">
        <f t="shared" si="1"/>
        <v>1.5641025641025641</v>
      </c>
      <c r="L16" s="171">
        <v>52</v>
      </c>
      <c r="M16" s="183"/>
      <c r="N16" s="275">
        <f t="shared" si="2"/>
        <v>0</v>
      </c>
      <c r="P16" s="232" t="str">
        <f t="shared" si="4"/>
        <v>Motor ČB</v>
      </c>
      <c r="Q16" s="830">
        <f t="shared" si="5"/>
        <v>1.5384615384615385</v>
      </c>
      <c r="R16" s="827">
        <f t="shared" si="6"/>
        <v>1.56</v>
      </c>
      <c r="S16" s="827">
        <f t="shared" si="7"/>
        <v>1.5641025641025641</v>
      </c>
      <c r="T16" s="275">
        <f t="shared" si="8"/>
        <v>0</v>
      </c>
      <c r="AG16" s="2"/>
      <c r="AH16" s="2"/>
      <c r="AI16" s="60"/>
      <c r="AJ16" s="60"/>
      <c r="AK16" s="60"/>
      <c r="AL16" s="60"/>
      <c r="AM16" s="2"/>
      <c r="AN16" s="178"/>
      <c r="AO16" s="2"/>
      <c r="AR16" s="8"/>
      <c r="AW16" s="182"/>
      <c r="AZ16" s="8"/>
      <c r="BC16" s="8"/>
    </row>
    <row r="17" spans="2:55" ht="15" thickBot="1" x14ac:dyDescent="0.35">
      <c r="B17" s="283" t="s">
        <v>327</v>
      </c>
      <c r="C17" s="199">
        <v>13</v>
      </c>
      <c r="D17" s="200">
        <v>32</v>
      </c>
      <c r="E17" s="276">
        <f t="shared" si="3"/>
        <v>2.4615384615384617</v>
      </c>
      <c r="F17" s="235">
        <v>26</v>
      </c>
      <c r="G17" s="200">
        <v>61</v>
      </c>
      <c r="H17" s="276">
        <f t="shared" si="0"/>
        <v>2.3461538461538463</v>
      </c>
      <c r="I17" s="235">
        <v>38</v>
      </c>
      <c r="J17" s="200">
        <v>88</v>
      </c>
      <c r="K17" s="276">
        <f t="shared" si="1"/>
        <v>2.3157894736842106</v>
      </c>
      <c r="L17" s="235">
        <v>52</v>
      </c>
      <c r="M17" s="200"/>
      <c r="N17" s="276">
        <f t="shared" si="2"/>
        <v>0</v>
      </c>
      <c r="P17" s="233" t="str">
        <f t="shared" si="4"/>
        <v>Pardubice</v>
      </c>
      <c r="Q17" s="831">
        <f>E17</f>
        <v>2.4615384615384617</v>
      </c>
      <c r="R17" s="829">
        <f>H17</f>
        <v>2.3461538461538463</v>
      </c>
      <c r="S17" s="829">
        <f>K17</f>
        <v>2.3157894736842106</v>
      </c>
      <c r="T17" s="276">
        <f>N17</f>
        <v>0</v>
      </c>
      <c r="AG17" s="2"/>
      <c r="AH17" s="2"/>
      <c r="AI17" s="60"/>
      <c r="AJ17" s="60"/>
      <c r="AK17" s="60"/>
      <c r="AL17" s="60"/>
      <c r="AM17" s="2"/>
      <c r="AN17" s="178"/>
      <c r="AO17" s="2"/>
      <c r="AR17" s="8"/>
      <c r="AW17" s="178"/>
      <c r="AZ17" s="8"/>
      <c r="BC17" s="8"/>
    </row>
    <row r="18" spans="2:55" ht="15" thickBot="1" x14ac:dyDescent="0.35">
      <c r="AG18" s="2"/>
      <c r="AH18" s="2"/>
      <c r="AI18" s="60"/>
      <c r="AJ18" s="60"/>
      <c r="AK18" s="60"/>
      <c r="AL18" s="60"/>
      <c r="AM18" s="2"/>
      <c r="AN18" s="8"/>
      <c r="AO18" s="2"/>
      <c r="AR18" s="8"/>
    </row>
    <row r="19" spans="2:55" ht="15" thickBot="1" x14ac:dyDescent="0.35">
      <c r="B19" s="291"/>
      <c r="C19" s="292"/>
      <c r="D19" s="292"/>
      <c r="E19" s="292"/>
      <c r="F19" s="292"/>
      <c r="G19" s="292"/>
      <c r="H19" s="292"/>
      <c r="I19" s="292"/>
      <c r="J19" s="292"/>
      <c r="K19" s="292"/>
      <c r="L19" s="292"/>
      <c r="M19" s="292"/>
      <c r="N19" s="293"/>
      <c r="AG19" s="2"/>
      <c r="AH19" s="2"/>
      <c r="AI19" s="60"/>
      <c r="AJ19" s="60"/>
      <c r="AK19" s="60"/>
      <c r="AL19" s="60"/>
      <c r="AM19" s="2"/>
      <c r="AN19" s="8"/>
      <c r="AO19" s="2"/>
      <c r="AR19" s="8"/>
    </row>
    <row r="20" spans="2:55" ht="15" thickBot="1" x14ac:dyDescent="0.35">
      <c r="AG20" s="2"/>
      <c r="AH20" s="2"/>
      <c r="AI20" s="60"/>
      <c r="AJ20" s="60"/>
      <c r="AK20" s="60"/>
      <c r="AL20" s="60"/>
      <c r="AM20" s="2"/>
      <c r="AN20" s="8"/>
      <c r="AO20" s="2"/>
      <c r="AR20" s="8"/>
    </row>
    <row r="21" spans="2:55" x14ac:dyDescent="0.3">
      <c r="B21" s="303"/>
      <c r="C21" s="1142" t="s">
        <v>5348</v>
      </c>
      <c r="D21" s="1143"/>
      <c r="E21" s="1144"/>
      <c r="F21" s="1145" t="s">
        <v>5612</v>
      </c>
      <c r="G21" s="1143"/>
      <c r="H21" s="1144"/>
      <c r="I21" s="1142" t="s">
        <v>5665</v>
      </c>
      <c r="J21" s="1143"/>
      <c r="K21" s="1144"/>
      <c r="L21" s="1142" t="s">
        <v>5667</v>
      </c>
      <c r="M21" s="1143"/>
      <c r="N21" s="1144"/>
      <c r="P21" s="231"/>
      <c r="Q21" s="826" t="s">
        <v>4180</v>
      </c>
      <c r="R21" s="824" t="s">
        <v>4181</v>
      </c>
      <c r="S21" s="824" t="s">
        <v>4182</v>
      </c>
      <c r="T21" s="825" t="s">
        <v>4183</v>
      </c>
      <c r="AG21" s="2"/>
      <c r="AH21" s="2"/>
      <c r="AI21" s="60"/>
      <c r="AJ21" s="60"/>
      <c r="AK21" s="60"/>
      <c r="AL21" s="60"/>
      <c r="AM21" s="2"/>
      <c r="AN21" s="8"/>
      <c r="AO21" s="2"/>
      <c r="AR21" s="272"/>
    </row>
    <row r="22" spans="2:55" ht="15" thickBot="1" x14ac:dyDescent="0.35">
      <c r="B22" s="304"/>
      <c r="C22" s="199" t="s">
        <v>999</v>
      </c>
      <c r="D22" s="200" t="s">
        <v>796</v>
      </c>
      <c r="E22" s="404" t="s">
        <v>1000</v>
      </c>
      <c r="F22" s="199" t="s">
        <v>999</v>
      </c>
      <c r="G22" s="200" t="s">
        <v>796</v>
      </c>
      <c r="H22" s="404" t="s">
        <v>1000</v>
      </c>
      <c r="I22" s="199" t="s">
        <v>999</v>
      </c>
      <c r="J22" s="200" t="s">
        <v>796</v>
      </c>
      <c r="K22" s="408" t="s">
        <v>1000</v>
      </c>
      <c r="L22" s="199" t="s">
        <v>999</v>
      </c>
      <c r="M22" s="200" t="s">
        <v>796</v>
      </c>
      <c r="N22" s="408" t="s">
        <v>1000</v>
      </c>
      <c r="P22" s="232"/>
      <c r="Q22" s="184" t="s">
        <v>5163</v>
      </c>
      <c r="R22" s="183" t="s">
        <v>5163</v>
      </c>
      <c r="S22" s="183" t="s">
        <v>5163</v>
      </c>
      <c r="T22" s="828" t="s">
        <v>5163</v>
      </c>
      <c r="AG22" s="2"/>
      <c r="AH22" s="2"/>
      <c r="AI22" s="60"/>
      <c r="AJ22" s="60"/>
      <c r="AK22" s="60"/>
      <c r="AL22" s="60"/>
      <c r="AM22" s="2"/>
      <c r="AN22" s="8"/>
      <c r="AO22" s="2"/>
      <c r="AR22" s="8"/>
    </row>
    <row r="23" spans="2:55" x14ac:dyDescent="0.3">
      <c r="B23" s="280" t="s">
        <v>610</v>
      </c>
      <c r="C23" s="277">
        <f>C4</f>
        <v>13</v>
      </c>
      <c r="D23" s="278">
        <f>D4</f>
        <v>17</v>
      </c>
      <c r="E23" s="405">
        <f t="shared" ref="E23:E36" si="9">D23/C23</f>
        <v>1.3076923076923077</v>
      </c>
      <c r="F23" s="277">
        <f t="shared" ref="F23:G36" si="10">F4-C4</f>
        <v>14</v>
      </c>
      <c r="G23" s="278">
        <f t="shared" si="10"/>
        <v>24</v>
      </c>
      <c r="H23" s="405">
        <f t="shared" ref="H23:H36" si="11">G23/F23</f>
        <v>1.7142857142857142</v>
      </c>
      <c r="I23" s="277">
        <f t="shared" ref="I23:J36" si="12">I4-F4</f>
        <v>14</v>
      </c>
      <c r="J23" s="278">
        <f t="shared" si="12"/>
        <v>24</v>
      </c>
      <c r="K23" s="405">
        <f t="shared" ref="K23:K36" si="13">J23/I23</f>
        <v>1.7142857142857142</v>
      </c>
      <c r="L23" s="277">
        <f t="shared" ref="L23:M36" si="14">L4-I4</f>
        <v>11</v>
      </c>
      <c r="M23" s="278">
        <f t="shared" si="14"/>
        <v>-65</v>
      </c>
      <c r="N23" s="405">
        <f t="shared" ref="N23:N36" si="15">M23/L23</f>
        <v>-5.9090909090909092</v>
      </c>
      <c r="P23" s="232" t="str">
        <f t="shared" ref="P23:P36" si="16">B23</f>
        <v>Liberec</v>
      </c>
      <c r="Q23" s="830">
        <f>E23</f>
        <v>1.3076923076923077</v>
      </c>
      <c r="R23" s="827">
        <f>H23</f>
        <v>1.7142857142857142</v>
      </c>
      <c r="S23" s="827">
        <f>K23</f>
        <v>1.7142857142857142</v>
      </c>
      <c r="T23" s="275">
        <f>N23</f>
        <v>-5.9090909090909092</v>
      </c>
      <c r="AG23" s="2"/>
      <c r="AH23" s="2"/>
      <c r="AI23" s="60"/>
      <c r="AJ23" s="60"/>
      <c r="AK23" s="60"/>
      <c r="AL23" s="60"/>
      <c r="AM23" s="2"/>
      <c r="AN23" s="8"/>
      <c r="AO23" s="2"/>
      <c r="AR23" s="8"/>
    </row>
    <row r="24" spans="2:55" x14ac:dyDescent="0.3">
      <c r="B24" s="281" t="s">
        <v>334</v>
      </c>
      <c r="C24" s="277">
        <f t="shared" ref="C24:D35" si="17">C5</f>
        <v>12</v>
      </c>
      <c r="D24" s="278">
        <f t="shared" si="17"/>
        <v>20</v>
      </c>
      <c r="E24" s="406">
        <f t="shared" si="9"/>
        <v>1.6666666666666667</v>
      </c>
      <c r="F24" s="277">
        <f t="shared" si="10"/>
        <v>13</v>
      </c>
      <c r="G24" s="278">
        <f t="shared" si="10"/>
        <v>30</v>
      </c>
      <c r="H24" s="406">
        <f t="shared" si="11"/>
        <v>2.3076923076923075</v>
      </c>
      <c r="I24" s="277">
        <f t="shared" si="12"/>
        <v>14</v>
      </c>
      <c r="J24" s="278">
        <f t="shared" si="12"/>
        <v>22</v>
      </c>
      <c r="K24" s="406">
        <f t="shared" si="13"/>
        <v>1.5714285714285714</v>
      </c>
      <c r="L24" s="277">
        <f t="shared" si="14"/>
        <v>13</v>
      </c>
      <c r="M24" s="278">
        <f t="shared" si="14"/>
        <v>-72</v>
      </c>
      <c r="N24" s="406">
        <f t="shared" si="15"/>
        <v>-5.5384615384615383</v>
      </c>
      <c r="P24" s="232" t="str">
        <f t="shared" si="16"/>
        <v>Třinec</v>
      </c>
      <c r="Q24" s="830">
        <f t="shared" ref="Q24:Q35" si="18">E24</f>
        <v>1.6666666666666667</v>
      </c>
      <c r="R24" s="827">
        <f t="shared" ref="R24:R35" si="19">H24</f>
        <v>2.3076923076923075</v>
      </c>
      <c r="S24" s="827">
        <f t="shared" ref="S24:S35" si="20">K24</f>
        <v>1.5714285714285714</v>
      </c>
      <c r="T24" s="275">
        <f>N24</f>
        <v>-5.5384615384615383</v>
      </c>
      <c r="AG24" s="2"/>
      <c r="AH24" s="2"/>
      <c r="AI24" s="60"/>
      <c r="AJ24" s="60"/>
      <c r="AK24" s="60"/>
      <c r="AL24" s="60"/>
      <c r="AM24" s="2"/>
      <c r="AN24" s="8"/>
      <c r="AO24" s="2"/>
      <c r="AR24" s="8"/>
    </row>
    <row r="25" spans="2:55" x14ac:dyDescent="0.3">
      <c r="B25" s="281" t="s">
        <v>331</v>
      </c>
      <c r="C25" s="277">
        <f t="shared" si="17"/>
        <v>12</v>
      </c>
      <c r="D25" s="278">
        <f t="shared" si="17"/>
        <v>15</v>
      </c>
      <c r="E25" s="406">
        <f t="shared" si="9"/>
        <v>1.25</v>
      </c>
      <c r="F25" s="277">
        <f t="shared" si="10"/>
        <v>13</v>
      </c>
      <c r="G25" s="278">
        <f t="shared" si="10"/>
        <v>15</v>
      </c>
      <c r="H25" s="406">
        <f t="shared" si="11"/>
        <v>1.1538461538461537</v>
      </c>
      <c r="I25" s="277">
        <f t="shared" si="12"/>
        <v>13</v>
      </c>
      <c r="J25" s="278">
        <f t="shared" si="12"/>
        <v>20</v>
      </c>
      <c r="K25" s="406">
        <f t="shared" si="13"/>
        <v>1.5384615384615385</v>
      </c>
      <c r="L25" s="277">
        <f t="shared" si="14"/>
        <v>14</v>
      </c>
      <c r="M25" s="278">
        <f t="shared" si="14"/>
        <v>-50</v>
      </c>
      <c r="N25" s="406">
        <f t="shared" si="15"/>
        <v>-3.5714285714285716</v>
      </c>
      <c r="P25" s="232" t="str">
        <f t="shared" si="16"/>
        <v>Plzeň</v>
      </c>
      <c r="Q25" s="830">
        <f t="shared" si="18"/>
        <v>1.25</v>
      </c>
      <c r="R25" s="827">
        <f t="shared" si="19"/>
        <v>1.1538461538461537</v>
      </c>
      <c r="S25" s="827">
        <f t="shared" si="20"/>
        <v>1.5384615384615385</v>
      </c>
      <c r="T25" s="275">
        <f>N25</f>
        <v>-3.5714285714285716</v>
      </c>
      <c r="AG25" s="2"/>
      <c r="AH25" s="2"/>
      <c r="AI25" s="60"/>
      <c r="AJ25" s="60"/>
      <c r="AK25" s="60"/>
      <c r="AL25" s="60"/>
      <c r="AM25" s="2"/>
      <c r="AN25" s="272"/>
      <c r="AO25" s="2"/>
      <c r="AR25" s="8"/>
    </row>
    <row r="26" spans="2:55" x14ac:dyDescent="0.3">
      <c r="B26" s="281" t="s">
        <v>1274</v>
      </c>
      <c r="C26" s="277">
        <f t="shared" si="17"/>
        <v>13</v>
      </c>
      <c r="D26" s="278">
        <f t="shared" si="17"/>
        <v>19</v>
      </c>
      <c r="E26" s="406">
        <f t="shared" si="9"/>
        <v>1.4615384615384615</v>
      </c>
      <c r="F26" s="277">
        <f t="shared" si="10"/>
        <v>13</v>
      </c>
      <c r="G26" s="278">
        <f t="shared" si="10"/>
        <v>24</v>
      </c>
      <c r="H26" s="406">
        <f t="shared" si="11"/>
        <v>1.8461538461538463</v>
      </c>
      <c r="I26" s="277">
        <f t="shared" si="12"/>
        <v>14</v>
      </c>
      <c r="J26" s="278">
        <f t="shared" si="12"/>
        <v>15</v>
      </c>
      <c r="K26" s="406">
        <f t="shared" si="13"/>
        <v>1.0714285714285714</v>
      </c>
      <c r="L26" s="277">
        <f t="shared" si="14"/>
        <v>12</v>
      </c>
      <c r="M26" s="278">
        <f t="shared" si="14"/>
        <v>-58</v>
      </c>
      <c r="N26" s="406">
        <f t="shared" si="15"/>
        <v>-4.833333333333333</v>
      </c>
      <c r="P26" s="232" t="str">
        <f t="shared" si="16"/>
        <v>Mountfield HK</v>
      </c>
      <c r="Q26" s="830">
        <f t="shared" si="18"/>
        <v>1.4615384615384615</v>
      </c>
      <c r="R26" s="827">
        <f t="shared" si="19"/>
        <v>1.8461538461538463</v>
      </c>
      <c r="S26" s="827">
        <f t="shared" si="20"/>
        <v>1.0714285714285714</v>
      </c>
      <c r="T26" s="275">
        <f t="shared" ref="T26:T35" si="21">N26</f>
        <v>-4.833333333333333</v>
      </c>
      <c r="AG26" s="2"/>
      <c r="AH26" s="2"/>
      <c r="AI26" s="60"/>
      <c r="AJ26" s="60"/>
      <c r="AK26" s="60"/>
      <c r="AL26" s="60"/>
      <c r="AM26" s="2"/>
      <c r="AN26" s="8"/>
      <c r="AO26" s="2"/>
      <c r="AR26" s="8"/>
    </row>
    <row r="27" spans="2:55" x14ac:dyDescent="0.3">
      <c r="B27" s="281" t="s">
        <v>6179</v>
      </c>
      <c r="C27" s="277">
        <f t="shared" si="17"/>
        <v>13</v>
      </c>
      <c r="D27" s="278">
        <f t="shared" si="17"/>
        <v>18</v>
      </c>
      <c r="E27" s="406">
        <f t="shared" si="9"/>
        <v>1.3846153846153846</v>
      </c>
      <c r="F27" s="277">
        <f t="shared" si="10"/>
        <v>12</v>
      </c>
      <c r="G27" s="278">
        <f t="shared" si="10"/>
        <v>22</v>
      </c>
      <c r="H27" s="406">
        <f t="shared" si="11"/>
        <v>1.8333333333333333</v>
      </c>
      <c r="I27" s="277">
        <f t="shared" si="12"/>
        <v>14</v>
      </c>
      <c r="J27" s="278">
        <f t="shared" si="12"/>
        <v>21</v>
      </c>
      <c r="K27" s="406">
        <f t="shared" si="13"/>
        <v>1.5</v>
      </c>
      <c r="L27" s="277">
        <f t="shared" si="14"/>
        <v>13</v>
      </c>
      <c r="M27" s="278">
        <f t="shared" si="14"/>
        <v>-61</v>
      </c>
      <c r="N27" s="406">
        <f t="shared" si="15"/>
        <v>-4.6923076923076925</v>
      </c>
      <c r="P27" s="232" t="str">
        <f t="shared" si="16"/>
        <v>Kometa Brno</v>
      </c>
      <c r="Q27" s="830">
        <f t="shared" si="18"/>
        <v>1.3846153846153846</v>
      </c>
      <c r="R27" s="827">
        <f t="shared" si="19"/>
        <v>1.8333333333333333</v>
      </c>
      <c r="S27" s="827">
        <f t="shared" si="20"/>
        <v>1.5</v>
      </c>
      <c r="T27" s="275">
        <f>N27</f>
        <v>-4.6923076923076925</v>
      </c>
      <c r="AG27" s="2"/>
      <c r="AH27" s="2"/>
      <c r="AI27" s="2"/>
      <c r="AJ27" s="60"/>
      <c r="AK27" s="60"/>
      <c r="AL27" s="60"/>
      <c r="AM27" s="2"/>
      <c r="AN27" s="8"/>
      <c r="AO27" s="2"/>
      <c r="AR27" s="8"/>
    </row>
    <row r="28" spans="2:55" x14ac:dyDescent="0.3">
      <c r="B28" s="281" t="s">
        <v>626</v>
      </c>
      <c r="C28" s="277">
        <f t="shared" si="17"/>
        <v>13</v>
      </c>
      <c r="D28" s="278">
        <f t="shared" si="17"/>
        <v>15</v>
      </c>
      <c r="E28" s="406">
        <f t="shared" si="9"/>
        <v>1.1538461538461537</v>
      </c>
      <c r="F28" s="277">
        <f t="shared" si="10"/>
        <v>13</v>
      </c>
      <c r="G28" s="278">
        <f t="shared" si="10"/>
        <v>20</v>
      </c>
      <c r="H28" s="406">
        <f t="shared" si="11"/>
        <v>1.5384615384615385</v>
      </c>
      <c r="I28" s="277">
        <f t="shared" si="12"/>
        <v>14</v>
      </c>
      <c r="J28" s="278">
        <f t="shared" si="12"/>
        <v>17</v>
      </c>
      <c r="K28" s="406">
        <f>J28/I28</f>
        <v>1.2142857142857142</v>
      </c>
      <c r="L28" s="277">
        <f t="shared" si="14"/>
        <v>12</v>
      </c>
      <c r="M28" s="278">
        <f t="shared" si="14"/>
        <v>-52</v>
      </c>
      <c r="N28" s="406">
        <f t="shared" si="15"/>
        <v>-4.333333333333333</v>
      </c>
      <c r="P28" s="232" t="str">
        <f t="shared" si="16"/>
        <v>Olomouc</v>
      </c>
      <c r="Q28" s="830">
        <f t="shared" si="18"/>
        <v>1.1538461538461537</v>
      </c>
      <c r="R28" s="827">
        <f t="shared" si="19"/>
        <v>1.5384615384615385</v>
      </c>
      <c r="S28" s="827">
        <f t="shared" si="20"/>
        <v>1.2142857142857142</v>
      </c>
      <c r="T28" s="275">
        <f t="shared" si="21"/>
        <v>-4.333333333333333</v>
      </c>
      <c r="AG28" s="2"/>
      <c r="AH28" s="2"/>
      <c r="AI28" s="60"/>
      <c r="AJ28" s="60"/>
      <c r="AK28" s="60"/>
      <c r="AL28" s="60"/>
      <c r="AM28" s="2"/>
      <c r="AN28" s="178"/>
      <c r="AO28" s="2"/>
      <c r="AR28" s="8"/>
    </row>
    <row r="29" spans="2:55" x14ac:dyDescent="0.3">
      <c r="B29" s="281" t="s">
        <v>328</v>
      </c>
      <c r="C29" s="277">
        <f t="shared" si="17"/>
        <v>13</v>
      </c>
      <c r="D29" s="278">
        <f t="shared" si="17"/>
        <v>13</v>
      </c>
      <c r="E29" s="406">
        <f t="shared" si="9"/>
        <v>1</v>
      </c>
      <c r="F29" s="277">
        <f t="shared" si="10"/>
        <v>11</v>
      </c>
      <c r="G29" s="278">
        <f t="shared" si="10"/>
        <v>10</v>
      </c>
      <c r="H29" s="406">
        <f t="shared" si="11"/>
        <v>0.90909090909090906</v>
      </c>
      <c r="I29" s="277">
        <f t="shared" si="12"/>
        <v>12</v>
      </c>
      <c r="J29" s="278">
        <f t="shared" si="12"/>
        <v>21</v>
      </c>
      <c r="K29" s="406">
        <f t="shared" si="13"/>
        <v>1.75</v>
      </c>
      <c r="L29" s="277">
        <f t="shared" si="14"/>
        <v>16</v>
      </c>
      <c r="M29" s="278">
        <f t="shared" si="14"/>
        <v>-44</v>
      </c>
      <c r="N29" s="406">
        <f t="shared" si="15"/>
        <v>-2.75</v>
      </c>
      <c r="P29" s="232" t="str">
        <f t="shared" si="16"/>
        <v>Vítkovice</v>
      </c>
      <c r="Q29" s="830">
        <f t="shared" si="18"/>
        <v>1</v>
      </c>
      <c r="R29" s="827">
        <f t="shared" si="19"/>
        <v>0.90909090909090906</v>
      </c>
      <c r="S29" s="827">
        <f t="shared" si="20"/>
        <v>1.75</v>
      </c>
      <c r="T29" s="275">
        <f t="shared" si="21"/>
        <v>-2.75</v>
      </c>
      <c r="AG29" s="2"/>
      <c r="AH29" s="2"/>
      <c r="AI29" s="60"/>
      <c r="AJ29" s="60"/>
      <c r="AK29" s="60"/>
      <c r="AL29" s="60"/>
      <c r="AM29" s="2"/>
      <c r="AN29" s="8"/>
      <c r="AO29" s="2"/>
      <c r="AR29" s="8"/>
    </row>
    <row r="30" spans="2:55" x14ac:dyDescent="0.3">
      <c r="B30" s="281" t="s">
        <v>6086</v>
      </c>
      <c r="C30" s="277">
        <f t="shared" si="17"/>
        <v>13</v>
      </c>
      <c r="D30" s="278">
        <f t="shared" si="17"/>
        <v>11</v>
      </c>
      <c r="E30" s="406">
        <f t="shared" si="9"/>
        <v>0.84615384615384615</v>
      </c>
      <c r="F30" s="277">
        <f t="shared" si="10"/>
        <v>13</v>
      </c>
      <c r="G30" s="278">
        <f t="shared" si="10"/>
        <v>7</v>
      </c>
      <c r="H30" s="406">
        <f t="shared" si="11"/>
        <v>0.53846153846153844</v>
      </c>
      <c r="I30" s="277">
        <f t="shared" si="12"/>
        <v>14</v>
      </c>
      <c r="J30" s="278">
        <f t="shared" si="12"/>
        <v>17</v>
      </c>
      <c r="K30" s="406">
        <f t="shared" si="13"/>
        <v>1.2142857142857142</v>
      </c>
      <c r="L30" s="277">
        <f t="shared" si="14"/>
        <v>12</v>
      </c>
      <c r="M30" s="278">
        <f t="shared" si="14"/>
        <v>-35</v>
      </c>
      <c r="N30" s="406">
        <f t="shared" si="15"/>
        <v>-2.9166666666666665</v>
      </c>
      <c r="P30" s="232" t="str">
        <f t="shared" si="16"/>
        <v>Ml.Boleslav</v>
      </c>
      <c r="Q30" s="830">
        <f t="shared" si="18"/>
        <v>0.84615384615384615</v>
      </c>
      <c r="R30" s="827">
        <f t="shared" si="19"/>
        <v>0.53846153846153844</v>
      </c>
      <c r="S30" s="827">
        <f t="shared" si="20"/>
        <v>1.2142857142857142</v>
      </c>
      <c r="T30" s="275">
        <f t="shared" si="21"/>
        <v>-2.9166666666666665</v>
      </c>
      <c r="AG30" s="2"/>
      <c r="AH30" s="2"/>
      <c r="AI30" s="60"/>
      <c r="AJ30" s="60"/>
      <c r="AK30" s="60"/>
      <c r="AL30" s="60"/>
      <c r="AM30" s="2"/>
      <c r="AN30" s="8"/>
      <c r="AO30" s="2"/>
      <c r="AR30" s="8"/>
    </row>
    <row r="31" spans="2:55" x14ac:dyDescent="0.3">
      <c r="B31" s="281" t="s">
        <v>325</v>
      </c>
      <c r="C31" s="277">
        <f t="shared" si="17"/>
        <v>13</v>
      </c>
      <c r="D31" s="278">
        <f t="shared" si="17"/>
        <v>25</v>
      </c>
      <c r="E31" s="406">
        <f t="shared" si="9"/>
        <v>1.9230769230769231</v>
      </c>
      <c r="F31" s="277">
        <f t="shared" si="10"/>
        <v>13</v>
      </c>
      <c r="G31" s="278">
        <f t="shared" si="10"/>
        <v>30</v>
      </c>
      <c r="H31" s="406">
        <f t="shared" si="11"/>
        <v>2.3076923076923075</v>
      </c>
      <c r="I31" s="277">
        <f t="shared" si="12"/>
        <v>14</v>
      </c>
      <c r="J31" s="278">
        <f t="shared" si="12"/>
        <v>28</v>
      </c>
      <c r="K31" s="406">
        <f t="shared" si="13"/>
        <v>2</v>
      </c>
      <c r="L31" s="277">
        <f t="shared" si="14"/>
        <v>12</v>
      </c>
      <c r="M31" s="278">
        <f t="shared" si="14"/>
        <v>-83</v>
      </c>
      <c r="N31" s="406">
        <f>M31/L31</f>
        <v>-6.916666666666667</v>
      </c>
      <c r="P31" s="232" t="str">
        <f t="shared" si="16"/>
        <v>Sparta</v>
      </c>
      <c r="Q31" s="830">
        <f t="shared" si="18"/>
        <v>1.9230769230769231</v>
      </c>
      <c r="R31" s="827">
        <f t="shared" si="19"/>
        <v>2.3076923076923075</v>
      </c>
      <c r="S31" s="827">
        <f t="shared" si="20"/>
        <v>2</v>
      </c>
      <c r="T31" s="275">
        <f t="shared" si="21"/>
        <v>-6.916666666666667</v>
      </c>
      <c r="AG31" s="2"/>
      <c r="AH31" s="2"/>
      <c r="AI31" s="60"/>
      <c r="AJ31" s="60"/>
      <c r="AK31" s="60"/>
      <c r="AL31" s="60"/>
      <c r="AM31" s="2"/>
      <c r="AN31" s="178"/>
      <c r="AO31" s="2"/>
      <c r="AR31" s="8"/>
    </row>
    <row r="32" spans="2:55" x14ac:dyDescent="0.3">
      <c r="B32" s="282" t="s">
        <v>818</v>
      </c>
      <c r="C32" s="401">
        <f t="shared" si="17"/>
        <v>13</v>
      </c>
      <c r="D32" s="402">
        <f t="shared" si="17"/>
        <v>31</v>
      </c>
      <c r="E32" s="289">
        <f t="shared" si="9"/>
        <v>2.3846153846153846</v>
      </c>
      <c r="F32" s="401">
        <f t="shared" si="10"/>
        <v>13</v>
      </c>
      <c r="G32" s="402">
        <f t="shared" si="10"/>
        <v>12</v>
      </c>
      <c r="H32" s="289">
        <f>G32/F32</f>
        <v>0.92307692307692313</v>
      </c>
      <c r="I32" s="401">
        <f t="shared" si="12"/>
        <v>14</v>
      </c>
      <c r="J32" s="402">
        <f t="shared" si="12"/>
        <v>25</v>
      </c>
      <c r="K32" s="289">
        <f>J32/I32</f>
        <v>1.7857142857142858</v>
      </c>
      <c r="L32" s="401">
        <f t="shared" si="14"/>
        <v>12</v>
      </c>
      <c r="M32" s="402">
        <f t="shared" si="14"/>
        <v>-68</v>
      </c>
      <c r="N32" s="289">
        <f t="shared" si="15"/>
        <v>-5.666666666666667</v>
      </c>
      <c r="P32" s="239" t="str">
        <f t="shared" si="16"/>
        <v>Litvínov</v>
      </c>
      <c r="Q32" s="832">
        <f t="shared" si="18"/>
        <v>2.3846153846153846</v>
      </c>
      <c r="R32" s="833">
        <f t="shared" si="19"/>
        <v>0.92307692307692313</v>
      </c>
      <c r="S32" s="833">
        <f t="shared" si="20"/>
        <v>1.7857142857142858</v>
      </c>
      <c r="T32" s="289">
        <f t="shared" si="21"/>
        <v>-5.666666666666667</v>
      </c>
      <c r="AG32" s="2"/>
      <c r="AH32" s="2"/>
      <c r="AI32" s="60"/>
      <c r="AJ32" s="60"/>
      <c r="AK32" s="60"/>
      <c r="AL32" s="60"/>
      <c r="AM32" s="2"/>
      <c r="AN32" s="8"/>
      <c r="AO32" s="2"/>
      <c r="AR32" s="8"/>
    </row>
    <row r="33" spans="1:44" x14ac:dyDescent="0.3">
      <c r="B33" s="281" t="s">
        <v>6076</v>
      </c>
      <c r="C33" s="277">
        <f t="shared" si="17"/>
        <v>12</v>
      </c>
      <c r="D33" s="278">
        <f t="shared" si="17"/>
        <v>17</v>
      </c>
      <c r="E33" s="406">
        <f t="shared" si="9"/>
        <v>1.4166666666666667</v>
      </c>
      <c r="F33" s="277">
        <f t="shared" si="10"/>
        <v>13</v>
      </c>
      <c r="G33" s="278">
        <f t="shared" si="10"/>
        <v>16</v>
      </c>
      <c r="H33" s="406">
        <f t="shared" si="11"/>
        <v>1.2307692307692308</v>
      </c>
      <c r="I33" s="277">
        <f t="shared" si="12"/>
        <v>14</v>
      </c>
      <c r="J33" s="278">
        <f t="shared" si="12"/>
        <v>19</v>
      </c>
      <c r="K33" s="406">
        <f t="shared" si="13"/>
        <v>1.3571428571428572</v>
      </c>
      <c r="L33" s="277">
        <f t="shared" si="14"/>
        <v>13</v>
      </c>
      <c r="M33" s="278">
        <f t="shared" si="14"/>
        <v>-52</v>
      </c>
      <c r="N33" s="406">
        <f t="shared" si="15"/>
        <v>-4</v>
      </c>
      <c r="P33" s="232" t="str">
        <f t="shared" si="16"/>
        <v>Energie KV</v>
      </c>
      <c r="Q33" s="830">
        <f t="shared" si="18"/>
        <v>1.4166666666666667</v>
      </c>
      <c r="R33" s="827">
        <f t="shared" si="19"/>
        <v>1.2307692307692308</v>
      </c>
      <c r="S33" s="827">
        <f t="shared" si="20"/>
        <v>1.3571428571428572</v>
      </c>
      <c r="T33" s="275">
        <f t="shared" si="21"/>
        <v>-4</v>
      </c>
      <c r="AG33" s="2"/>
      <c r="AH33" s="2"/>
      <c r="AI33" s="60"/>
      <c r="AJ33" s="60"/>
      <c r="AK33" s="60"/>
      <c r="AL33" s="60"/>
      <c r="AM33" s="2"/>
      <c r="AN33" s="8"/>
      <c r="AO33" s="2"/>
      <c r="AR33" s="8"/>
    </row>
    <row r="34" spans="1:44" x14ac:dyDescent="0.3">
      <c r="B34" s="281" t="s">
        <v>332</v>
      </c>
      <c r="C34" s="277">
        <f t="shared" si="17"/>
        <v>12</v>
      </c>
      <c r="D34" s="278">
        <f t="shared" si="17"/>
        <v>14</v>
      </c>
      <c r="E34" s="406">
        <f t="shared" si="9"/>
        <v>1.1666666666666667</v>
      </c>
      <c r="F34" s="277">
        <f t="shared" si="10"/>
        <v>12</v>
      </c>
      <c r="G34" s="278">
        <f t="shared" si="10"/>
        <v>9</v>
      </c>
      <c r="H34" s="406">
        <f t="shared" si="11"/>
        <v>0.75</v>
      </c>
      <c r="I34" s="277">
        <f t="shared" si="12"/>
        <v>13</v>
      </c>
      <c r="J34" s="278">
        <f t="shared" si="12"/>
        <v>7</v>
      </c>
      <c r="K34" s="406">
        <f t="shared" si="13"/>
        <v>0.53846153846153844</v>
      </c>
      <c r="L34" s="277">
        <f t="shared" si="14"/>
        <v>15</v>
      </c>
      <c r="M34" s="278">
        <f t="shared" si="14"/>
        <v>-30</v>
      </c>
      <c r="N34" s="406">
        <f>M34/L34</f>
        <v>-2</v>
      </c>
      <c r="P34" s="232" t="str">
        <f t="shared" si="16"/>
        <v>Kladno</v>
      </c>
      <c r="Q34" s="830">
        <f t="shared" si="18"/>
        <v>1.1666666666666667</v>
      </c>
      <c r="R34" s="827">
        <f t="shared" si="19"/>
        <v>0.75</v>
      </c>
      <c r="S34" s="827">
        <f t="shared" si="20"/>
        <v>0.53846153846153844</v>
      </c>
      <c r="T34" s="275">
        <f t="shared" si="21"/>
        <v>-2</v>
      </c>
      <c r="AG34" s="2"/>
      <c r="AH34" s="2"/>
      <c r="AI34" s="60"/>
      <c r="AJ34" s="60"/>
      <c r="AK34" s="60"/>
      <c r="AL34" s="60"/>
      <c r="AM34" s="2"/>
      <c r="AN34" s="8"/>
      <c r="AO34" s="2"/>
      <c r="AR34" s="8"/>
    </row>
    <row r="35" spans="1:44" x14ac:dyDescent="0.3">
      <c r="B35" s="281" t="s">
        <v>6091</v>
      </c>
      <c r="C35" s="277">
        <f t="shared" si="17"/>
        <v>13</v>
      </c>
      <c r="D35" s="278">
        <f t="shared" si="17"/>
        <v>20</v>
      </c>
      <c r="E35" s="406">
        <f t="shared" si="9"/>
        <v>1.5384615384615385</v>
      </c>
      <c r="F35" s="277">
        <f t="shared" si="10"/>
        <v>12</v>
      </c>
      <c r="G35" s="278">
        <f t="shared" si="10"/>
        <v>19</v>
      </c>
      <c r="H35" s="406">
        <f t="shared" si="11"/>
        <v>1.5833333333333333</v>
      </c>
      <c r="I35" s="277">
        <f t="shared" si="12"/>
        <v>14</v>
      </c>
      <c r="J35" s="278">
        <f t="shared" si="12"/>
        <v>22</v>
      </c>
      <c r="K35" s="406">
        <f t="shared" si="13"/>
        <v>1.5714285714285714</v>
      </c>
      <c r="L35" s="277">
        <f t="shared" si="14"/>
        <v>13</v>
      </c>
      <c r="M35" s="278">
        <f t="shared" si="14"/>
        <v>-61</v>
      </c>
      <c r="N35" s="406">
        <f t="shared" si="15"/>
        <v>-4.6923076923076925</v>
      </c>
      <c r="P35" s="232" t="str">
        <f t="shared" si="16"/>
        <v>Motor ČB</v>
      </c>
      <c r="Q35" s="830">
        <f t="shared" si="18"/>
        <v>1.5384615384615385</v>
      </c>
      <c r="R35" s="827">
        <f t="shared" si="19"/>
        <v>1.5833333333333333</v>
      </c>
      <c r="S35" s="827">
        <f t="shared" si="20"/>
        <v>1.5714285714285714</v>
      </c>
      <c r="T35" s="275">
        <f t="shared" si="21"/>
        <v>-4.6923076923076925</v>
      </c>
      <c r="X35" s="129"/>
      <c r="Y35" s="130"/>
      <c r="Z35" s="130"/>
      <c r="AG35" s="2"/>
      <c r="AH35" s="2"/>
      <c r="AI35" s="60"/>
      <c r="AJ35" s="60"/>
      <c r="AK35" s="60"/>
      <c r="AL35" s="60"/>
      <c r="AM35" s="2"/>
      <c r="AN35" s="8"/>
      <c r="AO35" s="2"/>
      <c r="AR35" s="182"/>
    </row>
    <row r="36" spans="1:44" ht="15" thickBot="1" x14ac:dyDescent="0.35">
      <c r="B36" s="283" t="s">
        <v>327</v>
      </c>
      <c r="C36" s="199">
        <f>C17</f>
        <v>13</v>
      </c>
      <c r="D36" s="200">
        <f>D17</f>
        <v>32</v>
      </c>
      <c r="E36" s="407">
        <f t="shared" si="9"/>
        <v>2.4615384615384617</v>
      </c>
      <c r="F36" s="199">
        <f t="shared" si="10"/>
        <v>13</v>
      </c>
      <c r="G36" s="200">
        <f t="shared" si="10"/>
        <v>29</v>
      </c>
      <c r="H36" s="407">
        <f t="shared" si="11"/>
        <v>2.2307692307692308</v>
      </c>
      <c r="I36" s="199">
        <f t="shared" si="12"/>
        <v>12</v>
      </c>
      <c r="J36" s="200">
        <f t="shared" si="12"/>
        <v>27</v>
      </c>
      <c r="K36" s="407">
        <f t="shared" si="13"/>
        <v>2.25</v>
      </c>
      <c r="L36" s="199">
        <f t="shared" si="14"/>
        <v>14</v>
      </c>
      <c r="M36" s="200">
        <f t="shared" si="14"/>
        <v>-88</v>
      </c>
      <c r="N36" s="407">
        <f t="shared" si="15"/>
        <v>-6.2857142857142856</v>
      </c>
      <c r="P36" s="233" t="str">
        <f t="shared" si="16"/>
        <v>Pardubice</v>
      </c>
      <c r="Q36" s="831">
        <f>E36</f>
        <v>2.4615384615384617</v>
      </c>
      <c r="R36" s="829">
        <f>H36</f>
        <v>2.2307692307692308</v>
      </c>
      <c r="S36" s="829">
        <f>K36</f>
        <v>2.25</v>
      </c>
      <c r="T36" s="276">
        <f>N36</f>
        <v>-6.2857142857142856</v>
      </c>
      <c r="V36" s="130"/>
      <c r="W36" s="130"/>
      <c r="AG36" s="2"/>
      <c r="AH36" s="2"/>
      <c r="AI36" s="60"/>
      <c r="AJ36" s="60"/>
      <c r="AK36" s="60"/>
      <c r="AL36" s="60"/>
      <c r="AM36" s="2"/>
      <c r="AN36" s="8"/>
      <c r="AO36" s="2"/>
      <c r="AR36" s="8"/>
    </row>
    <row r="37" spans="1:44" x14ac:dyDescent="0.3">
      <c r="V37" s="130"/>
      <c r="W37" s="130"/>
      <c r="AG37" s="2"/>
      <c r="AH37" s="2"/>
      <c r="AI37" s="60"/>
      <c r="AJ37" s="60"/>
      <c r="AK37" s="60"/>
      <c r="AL37" s="60"/>
      <c r="AM37" s="2"/>
      <c r="AN37" s="8"/>
      <c r="AO37" s="2"/>
      <c r="AR37" s="8"/>
    </row>
    <row r="38" spans="1:44" ht="8.25" customHeight="1" x14ac:dyDescent="0.3"/>
    <row r="39" spans="1:44" ht="8.25" customHeight="1" x14ac:dyDescent="0.3"/>
    <row r="40" spans="1:44" ht="7.5" customHeight="1" x14ac:dyDescent="0.3"/>
    <row r="47" spans="1:44" x14ac:dyDescent="0.3">
      <c r="A47">
        <v>14</v>
      </c>
    </row>
  </sheetData>
  <mergeCells count="8">
    <mergeCell ref="C2:E2"/>
    <mergeCell ref="F2:H2"/>
    <mergeCell ref="I2:K2"/>
    <mergeCell ref="L2:N2"/>
    <mergeCell ref="C21:E21"/>
    <mergeCell ref="F21:H21"/>
    <mergeCell ref="I21:K21"/>
    <mergeCell ref="L21:N21"/>
  </mergeCells>
  <pageMargins left="0.7" right="0.7" top="0.78740157499999996" bottom="0.78740157499999996"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P280"/>
  <sheetViews>
    <sheetView workbookViewId="0">
      <pane xSplit="2" ySplit="2" topLeftCell="C31" activePane="bottomRight" state="frozen"/>
      <selection activeCell="L12" sqref="L12"/>
      <selection pane="topRight" activeCell="L12" sqref="L12"/>
      <selection pane="bottomLeft" activeCell="L12" sqref="L12"/>
      <selection pane="bottomRight" activeCell="L12" sqref="L12"/>
    </sheetView>
  </sheetViews>
  <sheetFormatPr defaultRowHeight="14.4" x14ac:dyDescent="0.3"/>
  <cols>
    <col min="2" max="2" width="18.33203125" customWidth="1"/>
    <col min="3" max="3" width="17.109375" customWidth="1"/>
    <col min="18" max="18" width="16.33203125" bestFit="1" customWidth="1"/>
    <col min="19" max="19" width="3.88671875" style="552" customWidth="1"/>
    <col min="21" max="21" width="18.5546875" customWidth="1"/>
    <col min="22" max="22" width="21.88671875" customWidth="1"/>
    <col min="31" max="31" width="16.6640625" customWidth="1"/>
    <col min="35" max="35" width="11.109375" customWidth="1"/>
    <col min="38" max="38" width="5.44140625" style="552" customWidth="1"/>
    <col min="39" max="39" width="14.88671875" customWidth="1"/>
    <col min="40" max="40" width="17.5546875" customWidth="1"/>
    <col min="41" max="41" width="18.33203125" customWidth="1"/>
    <col min="57" max="57" width="5.44140625" style="552" customWidth="1"/>
    <col min="59" max="59" width="16.5546875" bestFit="1" customWidth="1"/>
    <col min="60" max="60" width="17" customWidth="1"/>
    <col min="63" max="63" width="16.88671875" customWidth="1"/>
    <col min="76" max="76" width="5.44140625" style="552" customWidth="1"/>
    <col min="78" max="78" width="18.33203125" customWidth="1"/>
    <col min="79" max="79" width="21.6640625" customWidth="1"/>
  </cols>
  <sheetData>
    <row r="1" spans="1:94" ht="15" thickBot="1" x14ac:dyDescent="0.35">
      <c r="A1" s="1153" t="s">
        <v>4175</v>
      </c>
      <c r="B1" s="1153"/>
      <c r="C1" s="1153"/>
      <c r="D1" s="1153"/>
      <c r="E1" s="1153"/>
      <c r="F1" s="1153"/>
      <c r="G1" s="1153"/>
      <c r="H1" s="1153"/>
      <c r="I1" s="1153"/>
      <c r="J1" s="1153"/>
      <c r="K1" s="1153"/>
      <c r="L1" s="1153"/>
      <c r="M1" s="1153"/>
      <c r="N1" s="1153"/>
      <c r="O1" s="1153"/>
      <c r="P1" s="1153"/>
      <c r="Q1" s="1153"/>
      <c r="R1" s="1153"/>
      <c r="T1" s="1153" t="s">
        <v>4481</v>
      </c>
      <c r="U1" s="1153"/>
      <c r="V1" s="1153"/>
      <c r="W1" s="1153"/>
      <c r="X1" s="1153"/>
      <c r="Y1" s="1153"/>
      <c r="Z1" s="1153"/>
      <c r="AA1" s="1153"/>
      <c r="AB1" s="1153"/>
      <c r="AC1" s="1153"/>
      <c r="AD1" s="1153"/>
      <c r="AE1" s="1153"/>
      <c r="AF1" s="1153"/>
      <c r="AG1" s="1153"/>
      <c r="AH1" s="1153"/>
      <c r="AI1" s="1153"/>
      <c r="AJ1" s="1153"/>
      <c r="AK1" s="1153"/>
      <c r="AM1" s="1153" t="s">
        <v>4492</v>
      </c>
      <c r="AN1" s="1153"/>
      <c r="AO1" s="1153"/>
      <c r="AP1" s="1153"/>
      <c r="AQ1" s="1153"/>
      <c r="AR1" s="1153"/>
      <c r="AS1" s="1153"/>
      <c r="AT1" s="1153"/>
      <c r="AU1" s="1153"/>
      <c r="AV1" s="1153"/>
      <c r="AW1" s="1153"/>
      <c r="AX1" s="1153"/>
      <c r="AY1" s="1153"/>
      <c r="AZ1" s="1153"/>
      <c r="BA1" s="1153"/>
      <c r="BB1" s="1153"/>
      <c r="BC1" s="1153"/>
      <c r="BD1" s="1153"/>
      <c r="BF1" s="1153" t="s">
        <v>4585</v>
      </c>
      <c r="BG1" s="1153"/>
      <c r="BH1" s="1153"/>
      <c r="BI1" s="1153"/>
      <c r="BJ1" s="1153"/>
      <c r="BK1" s="1153"/>
      <c r="BL1" s="1153"/>
      <c r="BM1" s="1153"/>
      <c r="BN1" s="1153"/>
      <c r="BO1" s="1153"/>
      <c r="BP1" s="1153"/>
      <c r="BQ1" s="1153"/>
      <c r="BR1" s="1153"/>
      <c r="BS1" s="1153"/>
      <c r="BT1" s="1153"/>
      <c r="BU1" s="1153"/>
      <c r="BV1" s="1153"/>
      <c r="BW1" s="1153"/>
      <c r="BY1" s="1153" t="s">
        <v>5775</v>
      </c>
      <c r="BZ1" s="1153"/>
      <c r="CA1" s="1153"/>
      <c r="CB1" s="1153"/>
      <c r="CC1" s="1153"/>
      <c r="CD1" s="1153"/>
      <c r="CE1" s="1153"/>
      <c r="CF1" s="1153"/>
      <c r="CG1" s="1153"/>
      <c r="CH1" s="1153"/>
      <c r="CI1" s="1153"/>
      <c r="CJ1" s="1153"/>
      <c r="CK1" s="1153"/>
      <c r="CL1" s="1153"/>
      <c r="CM1" s="1153"/>
      <c r="CN1" s="1153"/>
      <c r="CO1" s="1153"/>
      <c r="CP1" s="1153"/>
    </row>
    <row r="2" spans="1:94" ht="15" thickBot="1" x14ac:dyDescent="0.35">
      <c r="A2" s="919" t="s">
        <v>4169</v>
      </c>
      <c r="B2" s="920" t="s">
        <v>141</v>
      </c>
      <c r="C2" s="920" t="s">
        <v>140</v>
      </c>
      <c r="D2" s="920" t="s">
        <v>139</v>
      </c>
      <c r="E2" s="920" t="s">
        <v>213</v>
      </c>
      <c r="F2" s="921" t="s">
        <v>138</v>
      </c>
      <c r="G2" s="921" t="s">
        <v>137</v>
      </c>
      <c r="H2" s="921" t="s">
        <v>136</v>
      </c>
      <c r="I2" s="921" t="s">
        <v>135</v>
      </c>
      <c r="J2" s="921" t="s">
        <v>134</v>
      </c>
      <c r="K2" s="921" t="s">
        <v>133</v>
      </c>
      <c r="L2" s="921" t="s">
        <v>132</v>
      </c>
      <c r="M2" s="921" t="s">
        <v>131</v>
      </c>
      <c r="N2" s="921" t="s">
        <v>130</v>
      </c>
      <c r="O2" s="921" t="s">
        <v>129</v>
      </c>
      <c r="P2" s="921" t="s">
        <v>128</v>
      </c>
      <c r="Q2" s="921" t="s">
        <v>127</v>
      </c>
      <c r="R2" s="922" t="s">
        <v>126</v>
      </c>
      <c r="T2" s="919" t="s">
        <v>4169</v>
      </c>
      <c r="U2" s="938" t="s">
        <v>141</v>
      </c>
      <c r="V2" s="938" t="s">
        <v>140</v>
      </c>
      <c r="W2" s="920" t="s">
        <v>139</v>
      </c>
      <c r="X2" s="920" t="s">
        <v>213</v>
      </c>
      <c r="Y2" s="921" t="s">
        <v>138</v>
      </c>
      <c r="Z2" s="921" t="s">
        <v>137</v>
      </c>
      <c r="AA2" s="921" t="s">
        <v>136</v>
      </c>
      <c r="AB2" s="921" t="s">
        <v>135</v>
      </c>
      <c r="AC2" s="921" t="s">
        <v>134</v>
      </c>
      <c r="AD2" s="921" t="s">
        <v>133</v>
      </c>
      <c r="AE2" s="921" t="s">
        <v>132</v>
      </c>
      <c r="AF2" s="921" t="s">
        <v>131</v>
      </c>
      <c r="AG2" s="921" t="s">
        <v>130</v>
      </c>
      <c r="AH2" s="921" t="s">
        <v>129</v>
      </c>
      <c r="AI2" s="921" t="s">
        <v>128</v>
      </c>
      <c r="AJ2" s="921" t="s">
        <v>127</v>
      </c>
      <c r="AK2" s="922" t="s">
        <v>126</v>
      </c>
      <c r="AM2" s="634" t="s">
        <v>4169</v>
      </c>
      <c r="AN2" s="634" t="s">
        <v>141</v>
      </c>
      <c r="AO2" s="634" t="s">
        <v>140</v>
      </c>
      <c r="AP2" s="634" t="s">
        <v>139</v>
      </c>
      <c r="AQ2" s="634" t="s">
        <v>213</v>
      </c>
      <c r="AR2" s="555" t="s">
        <v>4482</v>
      </c>
      <c r="AS2" s="555" t="s">
        <v>4051</v>
      </c>
      <c r="AT2" s="555" t="s">
        <v>4052</v>
      </c>
      <c r="AU2" s="555" t="s">
        <v>743</v>
      </c>
      <c r="AV2" s="555" t="s">
        <v>4483</v>
      </c>
      <c r="AW2" s="555" t="s">
        <v>4484</v>
      </c>
      <c r="AX2" s="555" t="s">
        <v>4485</v>
      </c>
      <c r="AY2" s="555" t="s">
        <v>4486</v>
      </c>
      <c r="AZ2" s="555" t="s">
        <v>4487</v>
      </c>
      <c r="BA2" s="555" t="s">
        <v>4488</v>
      </c>
      <c r="BB2" s="555" t="s">
        <v>4489</v>
      </c>
      <c r="BC2" s="555" t="s">
        <v>4054</v>
      </c>
      <c r="BD2" s="555" t="s">
        <v>4490</v>
      </c>
      <c r="BF2" s="634" t="s">
        <v>4169</v>
      </c>
      <c r="BG2" s="634" t="s">
        <v>141</v>
      </c>
      <c r="BH2" s="634" t="s">
        <v>140</v>
      </c>
      <c r="BI2" s="634" t="s">
        <v>139</v>
      </c>
      <c r="BJ2" s="634" t="s">
        <v>213</v>
      </c>
      <c r="BK2" s="555" t="s">
        <v>4482</v>
      </c>
      <c r="BL2" s="555" t="s">
        <v>4051</v>
      </c>
      <c r="BM2" s="555" t="s">
        <v>4052</v>
      </c>
      <c r="BN2" s="555" t="s">
        <v>743</v>
      </c>
      <c r="BO2" s="555" t="s">
        <v>4483</v>
      </c>
      <c r="BP2" s="555" t="s">
        <v>4484</v>
      </c>
      <c r="BQ2" s="555" t="s">
        <v>4485</v>
      </c>
      <c r="BR2" s="555" t="s">
        <v>4486</v>
      </c>
      <c r="BS2" s="555" t="s">
        <v>4487</v>
      </c>
      <c r="BT2" s="555" t="s">
        <v>4488</v>
      </c>
      <c r="BU2" s="555" t="s">
        <v>4489</v>
      </c>
      <c r="BV2" s="555" t="s">
        <v>4054</v>
      </c>
      <c r="BW2" s="555" t="s">
        <v>4490</v>
      </c>
      <c r="BY2" s="634" t="s">
        <v>4169</v>
      </c>
      <c r="BZ2" s="634" t="s">
        <v>141</v>
      </c>
      <c r="CA2" s="634" t="s">
        <v>140</v>
      </c>
      <c r="CB2" s="634" t="s">
        <v>139</v>
      </c>
      <c r="CC2" s="634" t="s">
        <v>213</v>
      </c>
      <c r="CD2" s="555" t="s">
        <v>4482</v>
      </c>
      <c r="CE2" s="555" t="s">
        <v>4051</v>
      </c>
      <c r="CF2" s="555" t="s">
        <v>4052</v>
      </c>
      <c r="CG2" s="555" t="s">
        <v>743</v>
      </c>
      <c r="CH2" s="555" t="s">
        <v>4483</v>
      </c>
      <c r="CI2" s="555" t="s">
        <v>4484</v>
      </c>
      <c r="CJ2" s="555" t="s">
        <v>4485</v>
      </c>
      <c r="CK2" s="555" t="s">
        <v>4486</v>
      </c>
      <c r="CL2" s="555" t="s">
        <v>4487</v>
      </c>
      <c r="CM2" s="555" t="s">
        <v>4488</v>
      </c>
      <c r="CN2" s="555" t="s">
        <v>4489</v>
      </c>
      <c r="CO2" s="555" t="s">
        <v>4054</v>
      </c>
      <c r="CP2" s="555" t="s">
        <v>4490</v>
      </c>
    </row>
    <row r="3" spans="1:94" ht="18.75" customHeight="1" thickTop="1" thickBot="1" x14ac:dyDescent="0.35">
      <c r="A3" s="923">
        <v>10</v>
      </c>
      <c r="B3" s="309" t="s">
        <v>4069</v>
      </c>
      <c r="C3" s="924" t="s">
        <v>80</v>
      </c>
      <c r="D3" s="925" t="s">
        <v>79</v>
      </c>
      <c r="E3" s="925">
        <v>13</v>
      </c>
      <c r="F3" s="926">
        <v>8.6131944444444439</v>
      </c>
      <c r="G3" s="925">
        <v>3</v>
      </c>
      <c r="H3" s="925">
        <v>3</v>
      </c>
      <c r="I3" s="927">
        <v>6</v>
      </c>
      <c r="J3" s="925">
        <v>31</v>
      </c>
      <c r="K3" s="928">
        <v>25082</v>
      </c>
      <c r="L3" s="925">
        <v>0</v>
      </c>
      <c r="M3" s="925">
        <v>0</v>
      </c>
      <c r="N3" s="925">
        <v>0</v>
      </c>
      <c r="O3" s="925">
        <v>1</v>
      </c>
      <c r="P3" s="925">
        <v>4</v>
      </c>
      <c r="Q3" s="925">
        <v>4</v>
      </c>
      <c r="R3" s="929">
        <v>0.66249999999999998</v>
      </c>
      <c r="T3" s="923">
        <v>10</v>
      </c>
      <c r="U3" s="309" t="s">
        <v>4069</v>
      </c>
      <c r="V3" s="924" t="s">
        <v>80</v>
      </c>
      <c r="W3" s="925" t="s">
        <v>79</v>
      </c>
      <c r="X3" s="925">
        <v>26</v>
      </c>
      <c r="Y3" s="926">
        <v>16.655555555555555</v>
      </c>
      <c r="Z3" s="925">
        <v>4</v>
      </c>
      <c r="AA3" s="925">
        <v>4</v>
      </c>
      <c r="AB3" s="927">
        <v>8</v>
      </c>
      <c r="AC3" s="925">
        <v>61</v>
      </c>
      <c r="AD3" s="928">
        <v>20607</v>
      </c>
      <c r="AE3" s="925">
        <v>0</v>
      </c>
      <c r="AF3" s="925">
        <v>0</v>
      </c>
      <c r="AG3" s="925">
        <v>0</v>
      </c>
      <c r="AH3" s="925">
        <v>1</v>
      </c>
      <c r="AI3" s="925">
        <v>-2</v>
      </c>
      <c r="AJ3" s="925">
        <v>8</v>
      </c>
      <c r="AK3" s="929">
        <v>0.64027777777777783</v>
      </c>
      <c r="AM3" s="834">
        <v>8</v>
      </c>
      <c r="AN3" t="s">
        <v>4069</v>
      </c>
      <c r="AO3" s="836" t="s">
        <v>80</v>
      </c>
      <c r="AP3" s="834" t="s">
        <v>79</v>
      </c>
      <c r="AQ3" s="834">
        <v>40</v>
      </c>
      <c r="AR3" s="837">
        <v>25.254861111111111</v>
      </c>
      <c r="AS3" s="834">
        <v>6</v>
      </c>
      <c r="AT3" s="834">
        <v>10</v>
      </c>
      <c r="AU3" s="838">
        <v>16</v>
      </c>
      <c r="AV3" s="834">
        <v>94</v>
      </c>
      <c r="AW3" s="948">
        <v>14032</v>
      </c>
      <c r="AX3" s="834">
        <v>0</v>
      </c>
      <c r="AY3" s="834">
        <v>1</v>
      </c>
      <c r="AZ3" s="834">
        <v>0</v>
      </c>
      <c r="BA3" s="834">
        <v>1</v>
      </c>
      <c r="BB3" s="834">
        <v>-3</v>
      </c>
      <c r="BC3" s="834">
        <v>10</v>
      </c>
      <c r="BD3" s="839">
        <v>0.63124999999999998</v>
      </c>
      <c r="BF3" s="806">
        <v>8</v>
      </c>
      <c r="BG3" s="614" t="s">
        <v>4069</v>
      </c>
      <c r="BH3" s="807" t="s">
        <v>80</v>
      </c>
      <c r="BI3" s="806" t="s">
        <v>79</v>
      </c>
      <c r="BJ3" s="806">
        <v>52</v>
      </c>
      <c r="BK3" s="808">
        <v>32.611111111111114</v>
      </c>
      <c r="BL3" s="806">
        <v>8</v>
      </c>
      <c r="BM3" s="806">
        <v>13</v>
      </c>
      <c r="BN3" s="809">
        <v>21</v>
      </c>
      <c r="BO3" s="806">
        <v>116</v>
      </c>
      <c r="BP3" s="956">
        <v>33025</v>
      </c>
      <c r="BQ3" s="806">
        <v>1</v>
      </c>
      <c r="BR3" s="806">
        <v>3</v>
      </c>
      <c r="BS3" s="806">
        <v>0</v>
      </c>
      <c r="BT3" s="806">
        <v>2</v>
      </c>
      <c r="BU3" s="806">
        <v>-11</v>
      </c>
      <c r="BV3" s="806">
        <v>14</v>
      </c>
      <c r="BW3" s="810">
        <v>0.62708333333333333</v>
      </c>
      <c r="BY3" s="806">
        <v>10</v>
      </c>
      <c r="BZ3" s="614" t="s">
        <v>4069</v>
      </c>
      <c r="CA3" s="807" t="s">
        <v>80</v>
      </c>
      <c r="CB3" s="806" t="s">
        <v>79</v>
      </c>
      <c r="CC3" s="806">
        <v>13</v>
      </c>
      <c r="CD3" s="808">
        <v>8.1798611111111104</v>
      </c>
      <c r="CE3" s="806">
        <v>3</v>
      </c>
      <c r="CF3" s="806">
        <v>0</v>
      </c>
      <c r="CG3" s="809">
        <v>3</v>
      </c>
      <c r="CH3" s="806">
        <v>24</v>
      </c>
      <c r="CI3" s="956">
        <v>18598</v>
      </c>
      <c r="CJ3" s="806">
        <v>0</v>
      </c>
      <c r="CK3" s="806">
        <v>0</v>
      </c>
      <c r="CL3" s="806">
        <v>0</v>
      </c>
      <c r="CM3" s="806">
        <v>1</v>
      </c>
      <c r="CN3" s="806">
        <v>-3</v>
      </c>
      <c r="CO3" s="806">
        <v>0</v>
      </c>
      <c r="CP3" s="810">
        <v>0.62916666666666665</v>
      </c>
    </row>
    <row r="4" spans="1:94" ht="18.75" customHeight="1" thickBot="1" x14ac:dyDescent="0.35">
      <c r="A4" s="930">
        <v>1</v>
      </c>
      <c r="B4" t="s">
        <v>5368</v>
      </c>
      <c r="C4" s="812" t="s">
        <v>80</v>
      </c>
      <c r="D4" s="811" t="s">
        <v>79</v>
      </c>
      <c r="E4" s="811">
        <v>12</v>
      </c>
      <c r="F4" s="813">
        <v>9.4895833333333339</v>
      </c>
      <c r="G4" s="811">
        <v>6</v>
      </c>
      <c r="H4" s="811">
        <v>11</v>
      </c>
      <c r="I4" s="814">
        <v>17</v>
      </c>
      <c r="J4" s="811">
        <v>41</v>
      </c>
      <c r="K4" s="811" t="s">
        <v>2012</v>
      </c>
      <c r="L4" s="811">
        <v>1</v>
      </c>
      <c r="M4" s="811">
        <v>5</v>
      </c>
      <c r="N4" s="811">
        <v>0</v>
      </c>
      <c r="O4" s="811">
        <v>1</v>
      </c>
      <c r="P4" s="811">
        <v>9</v>
      </c>
      <c r="Q4" s="811">
        <v>8</v>
      </c>
      <c r="R4" s="931">
        <v>0.79027777777777775</v>
      </c>
      <c r="T4" s="930">
        <v>1</v>
      </c>
      <c r="U4" t="s">
        <v>5368</v>
      </c>
      <c r="V4" s="812" t="s">
        <v>80</v>
      </c>
      <c r="W4" s="811" t="s">
        <v>79</v>
      </c>
      <c r="X4" s="811">
        <v>25</v>
      </c>
      <c r="Y4" s="813">
        <v>20.834722222222222</v>
      </c>
      <c r="Z4" s="811">
        <v>8</v>
      </c>
      <c r="AA4" s="811">
        <v>15</v>
      </c>
      <c r="AB4" s="823">
        <v>23</v>
      </c>
      <c r="AC4" s="811">
        <v>82</v>
      </c>
      <c r="AD4" s="815">
        <v>28004</v>
      </c>
      <c r="AE4" s="811">
        <v>2</v>
      </c>
      <c r="AF4" s="811">
        <v>8</v>
      </c>
      <c r="AG4" s="811">
        <v>0</v>
      </c>
      <c r="AH4" s="811">
        <v>1</v>
      </c>
      <c r="AI4" s="811">
        <v>5</v>
      </c>
      <c r="AJ4" s="811">
        <v>22</v>
      </c>
      <c r="AK4" s="931">
        <v>0.83333333333333337</v>
      </c>
      <c r="AM4" s="811">
        <v>2</v>
      </c>
      <c r="AN4" t="s">
        <v>5368</v>
      </c>
      <c r="AO4" s="812" t="s">
        <v>80</v>
      </c>
      <c r="AP4" s="811" t="s">
        <v>79</v>
      </c>
      <c r="AQ4" s="811">
        <v>37</v>
      </c>
      <c r="AR4" s="813">
        <v>30.647916666666664</v>
      </c>
      <c r="AS4" s="811">
        <v>11</v>
      </c>
      <c r="AT4" s="811">
        <v>22</v>
      </c>
      <c r="AU4" s="814">
        <v>33</v>
      </c>
      <c r="AV4" s="811">
        <v>122</v>
      </c>
      <c r="AW4" s="840">
        <v>45331</v>
      </c>
      <c r="AX4" s="811">
        <v>3</v>
      </c>
      <c r="AY4" s="811">
        <v>13</v>
      </c>
      <c r="AZ4" s="811">
        <v>0</v>
      </c>
      <c r="BA4" s="811">
        <v>2</v>
      </c>
      <c r="BB4" s="811">
        <v>6</v>
      </c>
      <c r="BC4" s="811">
        <v>26</v>
      </c>
      <c r="BD4" s="816">
        <v>0.82777777777777783</v>
      </c>
      <c r="BF4" s="811">
        <v>2</v>
      </c>
      <c r="BG4" s="620" t="s">
        <v>5368</v>
      </c>
      <c r="BH4" s="812" t="s">
        <v>80</v>
      </c>
      <c r="BI4" s="811" t="s">
        <v>79</v>
      </c>
      <c r="BJ4" s="811">
        <v>49</v>
      </c>
      <c r="BK4" s="813">
        <v>41.979861111111113</v>
      </c>
      <c r="BL4" s="811">
        <v>14</v>
      </c>
      <c r="BM4" s="811">
        <v>29</v>
      </c>
      <c r="BN4" s="814">
        <v>43</v>
      </c>
      <c r="BO4" s="811">
        <v>161</v>
      </c>
      <c r="BP4" s="815">
        <v>25781</v>
      </c>
      <c r="BQ4" s="811">
        <v>3</v>
      </c>
      <c r="BR4" s="811">
        <v>15</v>
      </c>
      <c r="BS4" s="811">
        <v>0</v>
      </c>
      <c r="BT4" s="811">
        <v>2</v>
      </c>
      <c r="BU4" s="811">
        <v>11</v>
      </c>
      <c r="BV4" s="811">
        <v>34</v>
      </c>
      <c r="BW4" s="816">
        <v>0.85624999999999996</v>
      </c>
      <c r="BY4" s="811">
        <v>3</v>
      </c>
      <c r="BZ4" s="620" t="s">
        <v>5368</v>
      </c>
      <c r="CA4" s="812" t="s">
        <v>80</v>
      </c>
      <c r="CB4" s="811" t="s">
        <v>79</v>
      </c>
      <c r="CC4" s="811">
        <v>13</v>
      </c>
      <c r="CD4" s="813">
        <v>12.474305555555556</v>
      </c>
      <c r="CE4" s="811">
        <v>3</v>
      </c>
      <c r="CF4" s="811">
        <v>5</v>
      </c>
      <c r="CG4" s="814">
        <v>8</v>
      </c>
      <c r="CH4" s="811">
        <v>47</v>
      </c>
      <c r="CI4" s="815">
        <v>14032</v>
      </c>
      <c r="CJ4" s="811">
        <v>1</v>
      </c>
      <c r="CK4" s="811">
        <v>3</v>
      </c>
      <c r="CL4" s="811">
        <v>0</v>
      </c>
      <c r="CM4" s="811">
        <v>0</v>
      </c>
      <c r="CN4" s="811">
        <v>-3</v>
      </c>
      <c r="CO4" s="811">
        <v>10</v>
      </c>
      <c r="CP4" s="816">
        <v>0.95902777777777781</v>
      </c>
    </row>
    <row r="5" spans="1:94" ht="18.75" customHeight="1" thickBot="1" x14ac:dyDescent="0.35">
      <c r="A5" s="930">
        <v>16</v>
      </c>
      <c r="B5" t="s">
        <v>4039</v>
      </c>
      <c r="C5" s="812" t="s">
        <v>80</v>
      </c>
      <c r="D5" s="811" t="s">
        <v>88</v>
      </c>
      <c r="E5" s="811">
        <v>13</v>
      </c>
      <c r="F5" s="813">
        <v>7.1909722222222223</v>
      </c>
      <c r="G5" s="811">
        <v>0</v>
      </c>
      <c r="H5" s="811">
        <v>2</v>
      </c>
      <c r="I5" s="814">
        <v>2</v>
      </c>
      <c r="J5" s="811">
        <v>8</v>
      </c>
      <c r="K5" s="811" t="s">
        <v>78</v>
      </c>
      <c r="L5" s="811">
        <v>0</v>
      </c>
      <c r="M5" s="811">
        <v>0</v>
      </c>
      <c r="N5" s="811">
        <v>0</v>
      </c>
      <c r="O5" s="811">
        <v>0</v>
      </c>
      <c r="P5" s="811">
        <v>3</v>
      </c>
      <c r="Q5" s="811">
        <v>15</v>
      </c>
      <c r="R5" s="931">
        <v>0.55277777777777781</v>
      </c>
      <c r="T5" s="930">
        <v>18</v>
      </c>
      <c r="U5" t="s">
        <v>4039</v>
      </c>
      <c r="V5" s="812" t="s">
        <v>80</v>
      </c>
      <c r="W5" s="811" t="s">
        <v>88</v>
      </c>
      <c r="X5" s="811">
        <v>25</v>
      </c>
      <c r="Y5" s="813">
        <v>14.613194444444444</v>
      </c>
      <c r="Z5" s="811">
        <v>0</v>
      </c>
      <c r="AA5" s="811">
        <v>2</v>
      </c>
      <c r="AB5" s="814">
        <v>2</v>
      </c>
      <c r="AC5" s="811">
        <v>23</v>
      </c>
      <c r="AD5" s="811" t="s">
        <v>78</v>
      </c>
      <c r="AE5" s="811">
        <v>0</v>
      </c>
      <c r="AF5" s="811">
        <v>0</v>
      </c>
      <c r="AG5" s="811">
        <v>0</v>
      </c>
      <c r="AH5" s="811">
        <v>0</v>
      </c>
      <c r="AI5" s="811">
        <v>1</v>
      </c>
      <c r="AJ5" s="811">
        <v>27</v>
      </c>
      <c r="AK5" s="931">
        <v>0.58402777777777781</v>
      </c>
      <c r="AM5" s="811">
        <v>21</v>
      </c>
      <c r="AN5" t="s">
        <v>4039</v>
      </c>
      <c r="AO5" s="812" t="s">
        <v>80</v>
      </c>
      <c r="AP5" s="811" t="s">
        <v>88</v>
      </c>
      <c r="AQ5" s="811">
        <v>39</v>
      </c>
      <c r="AR5" s="813">
        <v>24.763194444444448</v>
      </c>
      <c r="AS5" s="811">
        <v>0</v>
      </c>
      <c r="AT5" s="811">
        <v>3</v>
      </c>
      <c r="AU5" s="814">
        <v>3</v>
      </c>
      <c r="AV5" s="811">
        <v>42</v>
      </c>
      <c r="AW5" s="811" t="s">
        <v>78</v>
      </c>
      <c r="AX5" s="811">
        <v>0</v>
      </c>
      <c r="AY5" s="811">
        <v>0</v>
      </c>
      <c r="AZ5" s="811">
        <v>0</v>
      </c>
      <c r="BA5" s="811">
        <v>0</v>
      </c>
      <c r="BB5" s="811">
        <v>-1</v>
      </c>
      <c r="BC5" s="811">
        <v>35</v>
      </c>
      <c r="BD5" s="816">
        <v>0.63472222222222219</v>
      </c>
      <c r="BF5" s="811">
        <v>19</v>
      </c>
      <c r="BG5" s="620" t="s">
        <v>4039</v>
      </c>
      <c r="BH5" s="812" t="s">
        <v>80</v>
      </c>
      <c r="BI5" s="811" t="s">
        <v>88</v>
      </c>
      <c r="BJ5" s="811">
        <v>51</v>
      </c>
      <c r="BK5" s="813">
        <v>33.288888888888891</v>
      </c>
      <c r="BL5" s="811">
        <v>0</v>
      </c>
      <c r="BM5" s="811">
        <v>5</v>
      </c>
      <c r="BN5" s="814">
        <v>5</v>
      </c>
      <c r="BO5" s="811">
        <v>58</v>
      </c>
      <c r="BP5" s="811" t="s">
        <v>78</v>
      </c>
      <c r="BQ5" s="811">
        <v>0</v>
      </c>
      <c r="BR5" s="811">
        <v>0</v>
      </c>
      <c r="BS5" s="811">
        <v>0</v>
      </c>
      <c r="BT5" s="811">
        <v>0</v>
      </c>
      <c r="BU5" s="811">
        <v>-7</v>
      </c>
      <c r="BV5" s="811">
        <v>41</v>
      </c>
      <c r="BW5" s="816">
        <v>0.65208333333333335</v>
      </c>
      <c r="BY5" s="811">
        <v>23</v>
      </c>
      <c r="BZ5" s="640" t="s">
        <v>4039</v>
      </c>
      <c r="CA5" s="812" t="s">
        <v>80</v>
      </c>
      <c r="CB5" s="811" t="s">
        <v>88</v>
      </c>
      <c r="CC5" s="811">
        <v>13</v>
      </c>
      <c r="CD5" s="813">
        <v>9.1888888888888882</v>
      </c>
      <c r="CE5" s="811">
        <v>0</v>
      </c>
      <c r="CF5" s="811">
        <v>0</v>
      </c>
      <c r="CG5" s="823">
        <v>0</v>
      </c>
      <c r="CH5" s="811">
        <v>12</v>
      </c>
      <c r="CI5" s="811" t="s">
        <v>78</v>
      </c>
      <c r="CJ5" s="811">
        <v>0</v>
      </c>
      <c r="CK5" s="811">
        <v>0</v>
      </c>
      <c r="CL5" s="811">
        <v>0</v>
      </c>
      <c r="CM5" s="811">
        <v>0</v>
      </c>
      <c r="CN5" s="811">
        <v>-6</v>
      </c>
      <c r="CO5" s="811">
        <v>2</v>
      </c>
      <c r="CP5" s="816">
        <v>0.70625000000000004</v>
      </c>
    </row>
    <row r="6" spans="1:94" ht="18.75" customHeight="1" thickBot="1" x14ac:dyDescent="0.35">
      <c r="A6" s="930">
        <v>20</v>
      </c>
      <c r="B6" t="s">
        <v>1173</v>
      </c>
      <c r="C6" s="812" t="s">
        <v>80</v>
      </c>
      <c r="D6" s="811" t="s">
        <v>88</v>
      </c>
      <c r="E6" s="811">
        <v>3</v>
      </c>
      <c r="F6" s="813">
        <v>1.2854166666666667</v>
      </c>
      <c r="G6" s="811">
        <v>0</v>
      </c>
      <c r="H6" s="811">
        <v>0</v>
      </c>
      <c r="I6" s="814">
        <v>0</v>
      </c>
      <c r="J6" s="811">
        <v>4</v>
      </c>
      <c r="K6" s="811" t="s">
        <v>78</v>
      </c>
      <c r="L6" s="811">
        <v>0</v>
      </c>
      <c r="M6" s="811">
        <v>0</v>
      </c>
      <c r="N6" s="811">
        <v>0</v>
      </c>
      <c r="O6" s="811">
        <v>0</v>
      </c>
      <c r="P6" s="811">
        <v>-4</v>
      </c>
      <c r="Q6" s="811">
        <v>0</v>
      </c>
      <c r="R6" s="931">
        <v>0.4284722222222222</v>
      </c>
      <c r="T6" s="930">
        <v>25</v>
      </c>
      <c r="U6" t="s">
        <v>1173</v>
      </c>
      <c r="V6" s="812" t="s">
        <v>80</v>
      </c>
      <c r="W6" s="811" t="s">
        <v>88</v>
      </c>
      <c r="X6" s="811">
        <v>5</v>
      </c>
      <c r="Y6" s="813">
        <v>2.2361111111111112</v>
      </c>
      <c r="Z6" s="811">
        <v>0</v>
      </c>
      <c r="AA6" s="811">
        <v>0</v>
      </c>
      <c r="AB6" s="814">
        <v>0</v>
      </c>
      <c r="AC6" s="811">
        <v>4</v>
      </c>
      <c r="AD6" s="811" t="s">
        <v>78</v>
      </c>
      <c r="AE6" s="811">
        <v>0</v>
      </c>
      <c r="AF6" s="811">
        <v>0</v>
      </c>
      <c r="AG6" s="811">
        <v>0</v>
      </c>
      <c r="AH6" s="811">
        <v>0</v>
      </c>
      <c r="AI6" s="811">
        <v>-5</v>
      </c>
      <c r="AJ6" s="811">
        <v>0</v>
      </c>
      <c r="AK6" s="931">
        <v>0.44722222222222219</v>
      </c>
      <c r="AM6" s="811">
        <v>28</v>
      </c>
      <c r="AN6" t="s">
        <v>1173</v>
      </c>
      <c r="AO6" s="812" t="s">
        <v>80</v>
      </c>
      <c r="AP6" s="811" t="s">
        <v>88</v>
      </c>
      <c r="AQ6" s="811">
        <v>5</v>
      </c>
      <c r="AR6" s="813">
        <v>2.2361111111111112</v>
      </c>
      <c r="AS6" s="811">
        <v>0</v>
      </c>
      <c r="AT6" s="811">
        <v>0</v>
      </c>
      <c r="AU6" s="814">
        <v>0</v>
      </c>
      <c r="AV6" s="811">
        <v>4</v>
      </c>
      <c r="AW6" s="811" t="s">
        <v>78</v>
      </c>
      <c r="AX6" s="811">
        <v>0</v>
      </c>
      <c r="AY6" s="811">
        <v>0</v>
      </c>
      <c r="AZ6" s="811">
        <v>0</v>
      </c>
      <c r="BA6" s="811">
        <v>0</v>
      </c>
      <c r="BB6" s="811">
        <v>-5</v>
      </c>
      <c r="BC6" s="811">
        <v>0</v>
      </c>
      <c r="BD6" s="816">
        <v>0.44722222222222219</v>
      </c>
      <c r="BF6" s="811">
        <v>28</v>
      </c>
      <c r="BG6" s="640" t="s">
        <v>1173</v>
      </c>
      <c r="BH6" s="812" t="s">
        <v>80</v>
      </c>
      <c r="BI6" s="811" t="s">
        <v>88</v>
      </c>
      <c r="BJ6" s="811">
        <v>5</v>
      </c>
      <c r="BK6" s="813">
        <v>2.2361111111111112</v>
      </c>
      <c r="BL6" s="811">
        <v>0</v>
      </c>
      <c r="BM6" s="811">
        <v>0</v>
      </c>
      <c r="BN6" s="823">
        <v>0</v>
      </c>
      <c r="BO6" s="811">
        <v>4</v>
      </c>
      <c r="BP6" s="811" t="s">
        <v>78</v>
      </c>
      <c r="BQ6" s="811">
        <v>0</v>
      </c>
      <c r="BR6" s="811">
        <v>0</v>
      </c>
      <c r="BS6" s="811">
        <v>0</v>
      </c>
      <c r="BT6" s="811">
        <v>0</v>
      </c>
      <c r="BU6" s="811">
        <v>-5</v>
      </c>
      <c r="BV6" s="811">
        <v>0</v>
      </c>
      <c r="BY6" s="811">
        <v>22</v>
      </c>
      <c r="BZ6" s="620" t="s">
        <v>1173</v>
      </c>
      <c r="CA6" s="812" t="s">
        <v>80</v>
      </c>
      <c r="CB6" s="811" t="s">
        <v>88</v>
      </c>
      <c r="CC6" s="811">
        <v>4</v>
      </c>
      <c r="CD6" s="816">
        <v>0.90555555555555556</v>
      </c>
      <c r="CE6" s="811">
        <v>0</v>
      </c>
      <c r="CF6" s="811">
        <v>0</v>
      </c>
      <c r="CG6" s="814">
        <v>0</v>
      </c>
      <c r="CH6" s="811">
        <v>0</v>
      </c>
      <c r="CI6" s="811" t="s">
        <v>78</v>
      </c>
      <c r="CJ6" s="811">
        <v>0</v>
      </c>
      <c r="CK6" s="811">
        <v>0</v>
      </c>
      <c r="CL6" s="811">
        <v>0</v>
      </c>
      <c r="CM6" s="811">
        <v>0</v>
      </c>
      <c r="CN6" s="811">
        <v>-1</v>
      </c>
      <c r="CO6" s="811">
        <v>0</v>
      </c>
      <c r="CP6" s="816">
        <v>0.22638888888888889</v>
      </c>
    </row>
    <row r="7" spans="1:94" ht="18.75" customHeight="1" thickBot="1" x14ac:dyDescent="0.35">
      <c r="A7" s="930">
        <v>8</v>
      </c>
      <c r="B7" t="s">
        <v>5072</v>
      </c>
      <c r="C7" s="812" t="s">
        <v>80</v>
      </c>
      <c r="D7" s="811" t="s">
        <v>88</v>
      </c>
      <c r="E7" s="811">
        <v>13</v>
      </c>
      <c r="F7" s="813">
        <v>10.503472222222223</v>
      </c>
      <c r="G7" s="811">
        <v>2</v>
      </c>
      <c r="H7" s="811">
        <v>5</v>
      </c>
      <c r="I7" s="814">
        <v>7</v>
      </c>
      <c r="J7" s="811">
        <v>23</v>
      </c>
      <c r="K7" s="815">
        <v>25781</v>
      </c>
      <c r="L7" s="811">
        <v>2</v>
      </c>
      <c r="M7" s="811">
        <v>6</v>
      </c>
      <c r="N7" s="811">
        <v>0</v>
      </c>
      <c r="O7" s="811">
        <v>1</v>
      </c>
      <c r="P7" s="811">
        <v>-1</v>
      </c>
      <c r="Q7" s="811">
        <v>2</v>
      </c>
      <c r="R7" s="931">
        <v>0.80763888888888891</v>
      </c>
      <c r="T7" s="930">
        <v>8</v>
      </c>
      <c r="U7" t="s">
        <v>5072</v>
      </c>
      <c r="V7" s="812" t="s">
        <v>80</v>
      </c>
      <c r="W7" s="811" t="s">
        <v>88</v>
      </c>
      <c r="X7" s="811">
        <v>20</v>
      </c>
      <c r="Y7" s="813">
        <v>15.859722222222222</v>
      </c>
      <c r="Z7" s="811">
        <v>3</v>
      </c>
      <c r="AA7" s="811">
        <v>7</v>
      </c>
      <c r="AB7" s="814">
        <v>10</v>
      </c>
      <c r="AC7" s="811">
        <v>39</v>
      </c>
      <c r="AD7" s="815">
        <v>25385</v>
      </c>
      <c r="AE7" s="811">
        <v>3</v>
      </c>
      <c r="AF7" s="811">
        <v>8</v>
      </c>
      <c r="AG7" s="811">
        <v>0</v>
      </c>
      <c r="AH7" s="811">
        <v>1</v>
      </c>
      <c r="AI7" s="811">
        <v>-4</v>
      </c>
      <c r="AJ7" s="811">
        <v>10</v>
      </c>
      <c r="AK7" s="931">
        <v>0.79236111111111107</v>
      </c>
      <c r="AM7" s="811">
        <v>7</v>
      </c>
      <c r="AN7" t="s">
        <v>5072</v>
      </c>
      <c r="AO7" s="812" t="s">
        <v>80</v>
      </c>
      <c r="AP7" s="811" t="s">
        <v>88</v>
      </c>
      <c r="AQ7" s="811">
        <v>32</v>
      </c>
      <c r="AR7" s="813">
        <v>25.692361111111111</v>
      </c>
      <c r="AS7" s="811">
        <v>4</v>
      </c>
      <c r="AT7" s="811">
        <v>15</v>
      </c>
      <c r="AU7" s="814">
        <v>19</v>
      </c>
      <c r="AV7" s="811">
        <v>68</v>
      </c>
      <c r="AW7" s="815">
        <v>32264</v>
      </c>
      <c r="AX7" s="811">
        <v>4</v>
      </c>
      <c r="AY7" s="811">
        <v>14</v>
      </c>
      <c r="AZ7" s="811">
        <v>0</v>
      </c>
      <c r="BA7" s="811">
        <v>1</v>
      </c>
      <c r="BB7" s="811">
        <v>-3</v>
      </c>
      <c r="BC7" s="811">
        <v>22</v>
      </c>
      <c r="BD7" s="816">
        <v>0.8027777777777777</v>
      </c>
      <c r="BF7" s="811">
        <v>7</v>
      </c>
      <c r="BG7" s="620" t="s">
        <v>5072</v>
      </c>
      <c r="BH7" s="812" t="s">
        <v>80</v>
      </c>
      <c r="BI7" s="811" t="s">
        <v>88</v>
      </c>
      <c r="BJ7" s="811">
        <v>44</v>
      </c>
      <c r="BK7" s="813">
        <v>35.486111111111114</v>
      </c>
      <c r="BL7" s="811">
        <v>4</v>
      </c>
      <c r="BM7" s="811">
        <v>25</v>
      </c>
      <c r="BN7" s="814">
        <v>29</v>
      </c>
      <c r="BO7" s="811">
        <v>86</v>
      </c>
      <c r="BP7" s="815">
        <v>23833</v>
      </c>
      <c r="BQ7" s="811">
        <v>3</v>
      </c>
      <c r="BR7" s="811">
        <v>21</v>
      </c>
      <c r="BS7" s="811">
        <v>0</v>
      </c>
      <c r="BT7" s="811">
        <v>1</v>
      </c>
      <c r="BU7" s="811">
        <v>-6</v>
      </c>
      <c r="BV7" s="811">
        <v>26</v>
      </c>
      <c r="BW7" s="816">
        <v>0.80625000000000002</v>
      </c>
      <c r="BY7" s="811">
        <v>12</v>
      </c>
      <c r="BZ7" s="620" t="s">
        <v>5072</v>
      </c>
      <c r="CA7" s="812" t="s">
        <v>80</v>
      </c>
      <c r="CB7" s="811" t="s">
        <v>88</v>
      </c>
      <c r="CC7" s="811">
        <v>9</v>
      </c>
      <c r="CD7" s="813">
        <v>7.5687499999999996</v>
      </c>
      <c r="CE7" s="811">
        <v>0</v>
      </c>
      <c r="CF7" s="811">
        <v>3</v>
      </c>
      <c r="CG7" s="814">
        <v>3</v>
      </c>
      <c r="CH7" s="811">
        <v>9</v>
      </c>
      <c r="CI7" s="811" t="s">
        <v>78</v>
      </c>
      <c r="CJ7" s="811">
        <v>0</v>
      </c>
      <c r="CK7" s="811">
        <v>3</v>
      </c>
      <c r="CL7" s="811">
        <v>0</v>
      </c>
      <c r="CM7" s="811">
        <v>0</v>
      </c>
      <c r="CN7" s="811">
        <v>0</v>
      </c>
      <c r="CO7" s="811">
        <v>31</v>
      </c>
      <c r="CP7" s="816">
        <v>0.84097222222222223</v>
      </c>
    </row>
    <row r="8" spans="1:94" ht="18.75" customHeight="1" thickBot="1" x14ac:dyDescent="0.35">
      <c r="A8" s="930">
        <v>4</v>
      </c>
      <c r="B8" t="s">
        <v>5076</v>
      </c>
      <c r="C8" s="812" t="s">
        <v>80</v>
      </c>
      <c r="D8" s="811" t="s">
        <v>79</v>
      </c>
      <c r="E8" s="811">
        <v>13</v>
      </c>
      <c r="F8" s="813">
        <v>8.6472222222222221</v>
      </c>
      <c r="G8" s="811">
        <v>5</v>
      </c>
      <c r="H8" s="811">
        <v>6</v>
      </c>
      <c r="I8" s="814">
        <v>11</v>
      </c>
      <c r="J8" s="811">
        <v>28</v>
      </c>
      <c r="K8" s="811" t="s">
        <v>1410</v>
      </c>
      <c r="L8" s="811">
        <v>3</v>
      </c>
      <c r="M8" s="811">
        <v>4</v>
      </c>
      <c r="N8" s="811">
        <v>0</v>
      </c>
      <c r="O8" s="811">
        <v>1</v>
      </c>
      <c r="P8" s="811">
        <v>-2</v>
      </c>
      <c r="Q8" s="811">
        <v>4</v>
      </c>
      <c r="R8" s="931">
        <v>0.6645833333333333</v>
      </c>
      <c r="T8" s="930">
        <v>3</v>
      </c>
      <c r="U8" t="s">
        <v>5076</v>
      </c>
      <c r="V8" s="812" t="s">
        <v>80</v>
      </c>
      <c r="W8" s="811" t="s">
        <v>79</v>
      </c>
      <c r="X8" s="811">
        <v>26</v>
      </c>
      <c r="Y8" s="813">
        <v>17.436805555555555</v>
      </c>
      <c r="Z8" s="811">
        <v>8</v>
      </c>
      <c r="AA8" s="811">
        <v>12</v>
      </c>
      <c r="AB8" s="814">
        <v>20</v>
      </c>
      <c r="AC8" s="811">
        <v>52</v>
      </c>
      <c r="AD8" s="811" t="s">
        <v>216</v>
      </c>
      <c r="AE8" s="811">
        <v>3</v>
      </c>
      <c r="AF8" s="811">
        <v>5</v>
      </c>
      <c r="AG8" s="811">
        <v>0</v>
      </c>
      <c r="AH8" s="811">
        <v>2</v>
      </c>
      <c r="AI8" s="811">
        <v>1</v>
      </c>
      <c r="AJ8" s="811">
        <v>6</v>
      </c>
      <c r="AK8" s="931">
        <v>0.67013888888888884</v>
      </c>
      <c r="AM8" s="811">
        <v>3</v>
      </c>
      <c r="AN8" t="s">
        <v>5076</v>
      </c>
      <c r="AO8" s="812" t="s">
        <v>80</v>
      </c>
      <c r="AP8" s="811" t="s">
        <v>79</v>
      </c>
      <c r="AQ8" s="811">
        <v>40</v>
      </c>
      <c r="AR8" s="813">
        <v>28.011111111111109</v>
      </c>
      <c r="AS8" s="811">
        <v>12</v>
      </c>
      <c r="AT8" s="811">
        <v>20</v>
      </c>
      <c r="AU8" s="814">
        <v>32</v>
      </c>
      <c r="AV8" s="811">
        <v>90</v>
      </c>
      <c r="AW8" s="811" t="s">
        <v>1727</v>
      </c>
      <c r="AX8" s="811">
        <v>3</v>
      </c>
      <c r="AY8" s="811">
        <v>7</v>
      </c>
      <c r="AZ8" s="811">
        <v>0</v>
      </c>
      <c r="BA8" s="811">
        <v>2</v>
      </c>
      <c r="BB8" s="811">
        <v>6</v>
      </c>
      <c r="BC8" s="811">
        <v>12</v>
      </c>
      <c r="BD8" s="816">
        <v>0.70000000000000007</v>
      </c>
      <c r="BF8" s="811">
        <v>5</v>
      </c>
      <c r="BG8" s="620" t="s">
        <v>5076</v>
      </c>
      <c r="BH8" s="812" t="s">
        <v>80</v>
      </c>
      <c r="BI8" s="811" t="s">
        <v>79</v>
      </c>
      <c r="BJ8" s="811">
        <v>52</v>
      </c>
      <c r="BK8" s="813">
        <v>36.926388888888887</v>
      </c>
      <c r="BL8" s="811">
        <v>12</v>
      </c>
      <c r="BM8" s="811">
        <v>26</v>
      </c>
      <c r="BN8" s="814">
        <v>38</v>
      </c>
      <c r="BO8" s="811">
        <v>109</v>
      </c>
      <c r="BP8" s="840">
        <v>45302</v>
      </c>
      <c r="BQ8" s="811">
        <v>3</v>
      </c>
      <c r="BR8" s="811">
        <v>8</v>
      </c>
      <c r="BS8" s="811">
        <v>0</v>
      </c>
      <c r="BT8" s="811">
        <v>2</v>
      </c>
      <c r="BU8" s="811">
        <v>2</v>
      </c>
      <c r="BV8" s="811">
        <v>16</v>
      </c>
      <c r="BW8" s="816">
        <v>0.70972222222222225</v>
      </c>
      <c r="BY8" s="811">
        <v>8</v>
      </c>
      <c r="BZ8" s="620" t="s">
        <v>5076</v>
      </c>
      <c r="CA8" s="812" t="s">
        <v>80</v>
      </c>
      <c r="CB8" s="811" t="s">
        <v>79</v>
      </c>
      <c r="CC8" s="811">
        <v>11</v>
      </c>
      <c r="CD8" s="813">
        <v>6.7472222222222218</v>
      </c>
      <c r="CE8" s="811">
        <v>0</v>
      </c>
      <c r="CF8" s="811">
        <v>5</v>
      </c>
      <c r="CG8" s="814">
        <v>5</v>
      </c>
      <c r="CH8" s="811">
        <v>14</v>
      </c>
      <c r="CI8" s="811" t="s">
        <v>78</v>
      </c>
      <c r="CJ8" s="811">
        <v>0</v>
      </c>
      <c r="CK8" s="811">
        <v>2</v>
      </c>
      <c r="CL8" s="811">
        <v>0</v>
      </c>
      <c r="CM8" s="811">
        <v>0</v>
      </c>
      <c r="CN8" s="811">
        <v>-2</v>
      </c>
      <c r="CO8" s="811">
        <v>0</v>
      </c>
      <c r="CP8" s="816">
        <v>0.61319444444444449</v>
      </c>
    </row>
    <row r="9" spans="1:94" ht="18.75" customHeight="1" thickBot="1" x14ac:dyDescent="0.35">
      <c r="A9" s="930">
        <v>14</v>
      </c>
      <c r="B9" t="s">
        <v>5373</v>
      </c>
      <c r="C9" s="812" t="s">
        <v>80</v>
      </c>
      <c r="D9" s="811" t="s">
        <v>88</v>
      </c>
      <c r="E9" s="811">
        <v>13</v>
      </c>
      <c r="F9" s="813">
        <v>8.8201388888888896</v>
      </c>
      <c r="G9" s="811">
        <v>0</v>
      </c>
      <c r="H9" s="811">
        <v>3</v>
      </c>
      <c r="I9" s="814">
        <v>3</v>
      </c>
      <c r="J9" s="811">
        <v>20</v>
      </c>
      <c r="K9" s="811" t="s">
        <v>78</v>
      </c>
      <c r="L9" s="811">
        <v>0</v>
      </c>
      <c r="M9" s="811">
        <v>0</v>
      </c>
      <c r="N9" s="811">
        <v>0</v>
      </c>
      <c r="O9" s="811">
        <v>0</v>
      </c>
      <c r="P9" s="811">
        <v>7</v>
      </c>
      <c r="Q9" s="811">
        <v>8</v>
      </c>
      <c r="R9" s="931">
        <v>0.67847222222222225</v>
      </c>
      <c r="T9" s="930">
        <v>17</v>
      </c>
      <c r="U9" t="s">
        <v>5373</v>
      </c>
      <c r="V9" s="812" t="s">
        <v>80</v>
      </c>
      <c r="W9" s="811" t="s">
        <v>88</v>
      </c>
      <c r="X9" s="811">
        <v>26</v>
      </c>
      <c r="Y9" s="813">
        <v>17.988194444444442</v>
      </c>
      <c r="Z9" s="811">
        <v>0</v>
      </c>
      <c r="AA9" s="811">
        <v>4</v>
      </c>
      <c r="AB9" s="814">
        <v>4</v>
      </c>
      <c r="AC9" s="811">
        <v>29</v>
      </c>
      <c r="AD9" s="811" t="s">
        <v>78</v>
      </c>
      <c r="AE9" s="811">
        <v>0</v>
      </c>
      <c r="AF9" s="811">
        <v>0</v>
      </c>
      <c r="AG9" s="811">
        <v>0</v>
      </c>
      <c r="AH9" s="811">
        <v>0</v>
      </c>
      <c r="AI9" s="811">
        <v>2</v>
      </c>
      <c r="AJ9" s="811">
        <v>14</v>
      </c>
      <c r="AK9" s="931">
        <v>0.69166666666666676</v>
      </c>
      <c r="AM9" s="811">
        <v>19</v>
      </c>
      <c r="AN9" t="s">
        <v>5373</v>
      </c>
      <c r="AO9" s="812" t="s">
        <v>80</v>
      </c>
      <c r="AP9" s="811" t="s">
        <v>88</v>
      </c>
      <c r="AQ9" s="811">
        <v>40</v>
      </c>
      <c r="AR9" s="813">
        <v>27.661805555555556</v>
      </c>
      <c r="AS9" s="811">
        <v>0</v>
      </c>
      <c r="AT9" s="811">
        <v>4</v>
      </c>
      <c r="AU9" s="814">
        <v>4</v>
      </c>
      <c r="AV9" s="811">
        <v>44</v>
      </c>
      <c r="AW9" s="811" t="s">
        <v>78</v>
      </c>
      <c r="AX9" s="811">
        <v>0</v>
      </c>
      <c r="AY9" s="811">
        <v>0</v>
      </c>
      <c r="AZ9" s="811">
        <v>0</v>
      </c>
      <c r="BA9" s="811">
        <v>0</v>
      </c>
      <c r="BB9" s="811">
        <v>4</v>
      </c>
      <c r="BC9" s="811">
        <v>22</v>
      </c>
      <c r="BD9" s="816">
        <v>0.69097222222222221</v>
      </c>
      <c r="BF9" s="811">
        <v>15</v>
      </c>
      <c r="BG9" s="620" t="s">
        <v>5373</v>
      </c>
      <c r="BH9" s="812" t="s">
        <v>80</v>
      </c>
      <c r="BI9" s="811" t="s">
        <v>88</v>
      </c>
      <c r="BJ9" s="811">
        <v>52</v>
      </c>
      <c r="BK9" s="813">
        <v>36.575000000000003</v>
      </c>
      <c r="BL9" s="811">
        <v>0</v>
      </c>
      <c r="BM9" s="811">
        <v>7</v>
      </c>
      <c r="BN9" s="814">
        <v>7</v>
      </c>
      <c r="BO9" s="811">
        <v>54</v>
      </c>
      <c r="BP9" s="811" t="s">
        <v>78</v>
      </c>
      <c r="BQ9" s="811">
        <v>0</v>
      </c>
      <c r="BR9" s="811">
        <v>0</v>
      </c>
      <c r="BS9" s="811">
        <v>0</v>
      </c>
      <c r="BT9" s="811">
        <v>0</v>
      </c>
      <c r="BU9" s="811">
        <v>1</v>
      </c>
      <c r="BV9" s="811">
        <v>32</v>
      </c>
      <c r="BW9" s="816">
        <v>0.70277777777777772</v>
      </c>
      <c r="BY9" s="811">
        <v>21</v>
      </c>
      <c r="BZ9" s="620" t="s">
        <v>5373</v>
      </c>
      <c r="CA9" s="812" t="s">
        <v>80</v>
      </c>
      <c r="CB9" s="811" t="s">
        <v>88</v>
      </c>
      <c r="CC9" s="811">
        <v>13</v>
      </c>
      <c r="CD9" s="813">
        <v>10.014583333333333</v>
      </c>
      <c r="CE9" s="811">
        <v>0</v>
      </c>
      <c r="CF9" s="811">
        <v>1</v>
      </c>
      <c r="CG9" s="814">
        <v>1</v>
      </c>
      <c r="CH9" s="811">
        <v>8</v>
      </c>
      <c r="CI9" s="811" t="s">
        <v>78</v>
      </c>
      <c r="CJ9" s="811">
        <v>0</v>
      </c>
      <c r="CK9" s="811">
        <v>0</v>
      </c>
      <c r="CL9" s="811">
        <v>0</v>
      </c>
      <c r="CM9" s="811">
        <v>0</v>
      </c>
      <c r="CN9" s="811">
        <v>-3</v>
      </c>
      <c r="CO9" s="811">
        <v>2</v>
      </c>
      <c r="CP9" s="816">
        <v>0.77013888888888893</v>
      </c>
    </row>
    <row r="10" spans="1:94" ht="18.75" customHeight="1" thickBot="1" x14ac:dyDescent="0.35">
      <c r="A10" s="930">
        <v>12</v>
      </c>
      <c r="B10" t="s">
        <v>5074</v>
      </c>
      <c r="C10" s="812" t="s">
        <v>80</v>
      </c>
      <c r="D10" s="811" t="s">
        <v>88</v>
      </c>
      <c r="E10" s="811">
        <v>13</v>
      </c>
      <c r="F10" s="813">
        <v>10.15625</v>
      </c>
      <c r="G10" s="811">
        <v>1</v>
      </c>
      <c r="H10" s="811">
        <v>3</v>
      </c>
      <c r="I10" s="814">
        <v>4</v>
      </c>
      <c r="J10" s="811">
        <v>13</v>
      </c>
      <c r="K10" s="815">
        <v>25385</v>
      </c>
      <c r="L10" s="811">
        <v>0</v>
      </c>
      <c r="M10" s="811">
        <v>0</v>
      </c>
      <c r="N10" s="811">
        <v>0</v>
      </c>
      <c r="O10" s="811">
        <v>0</v>
      </c>
      <c r="P10" s="811">
        <v>2</v>
      </c>
      <c r="Q10" s="811">
        <v>8</v>
      </c>
      <c r="R10" s="931">
        <v>0.78125</v>
      </c>
      <c r="T10" s="930">
        <v>13</v>
      </c>
      <c r="U10" t="s">
        <v>5074</v>
      </c>
      <c r="V10" s="812" t="s">
        <v>80</v>
      </c>
      <c r="W10" s="811" t="s">
        <v>88</v>
      </c>
      <c r="X10" s="811">
        <v>26</v>
      </c>
      <c r="Y10" s="813">
        <v>21.438888888888886</v>
      </c>
      <c r="Z10" s="811">
        <v>1</v>
      </c>
      <c r="AA10" s="811">
        <v>4</v>
      </c>
      <c r="AB10" s="814">
        <v>5</v>
      </c>
      <c r="AC10" s="811">
        <v>29</v>
      </c>
      <c r="AD10" s="815">
        <v>16497</v>
      </c>
      <c r="AE10" s="811">
        <v>0</v>
      </c>
      <c r="AF10" s="811">
        <v>1</v>
      </c>
      <c r="AG10" s="811">
        <v>0</v>
      </c>
      <c r="AH10" s="811">
        <v>0</v>
      </c>
      <c r="AI10" s="811">
        <v>2</v>
      </c>
      <c r="AJ10" s="811">
        <v>20</v>
      </c>
      <c r="AK10" s="931">
        <v>0.82430555555555562</v>
      </c>
      <c r="AM10" s="811">
        <v>12</v>
      </c>
      <c r="AN10" t="s">
        <v>5074</v>
      </c>
      <c r="AO10" s="812" t="s">
        <v>80</v>
      </c>
      <c r="AP10" s="811" t="s">
        <v>88</v>
      </c>
      <c r="AQ10" s="811">
        <v>38</v>
      </c>
      <c r="AR10" s="813">
        <v>31.031944444444445</v>
      </c>
      <c r="AS10" s="811">
        <v>2</v>
      </c>
      <c r="AT10" s="811">
        <v>5</v>
      </c>
      <c r="AU10" s="814">
        <v>7</v>
      </c>
      <c r="AV10" s="811">
        <v>39</v>
      </c>
      <c r="AW10" s="815">
        <v>41395</v>
      </c>
      <c r="AX10" s="811">
        <v>0</v>
      </c>
      <c r="AY10" s="811">
        <v>1</v>
      </c>
      <c r="AZ10" s="811">
        <v>0</v>
      </c>
      <c r="BA10" s="811">
        <v>0</v>
      </c>
      <c r="BB10" s="811">
        <v>10</v>
      </c>
      <c r="BC10" s="811">
        <v>28</v>
      </c>
      <c r="BD10" s="816">
        <v>0.81597222222222221</v>
      </c>
      <c r="BF10" s="811">
        <v>11</v>
      </c>
      <c r="BG10" s="620" t="s">
        <v>5074</v>
      </c>
      <c r="BH10" s="812" t="s">
        <v>80</v>
      </c>
      <c r="BI10" s="811" t="s">
        <v>88</v>
      </c>
      <c r="BJ10" s="811">
        <v>50</v>
      </c>
      <c r="BK10" s="813">
        <v>40.72152777777778</v>
      </c>
      <c r="BL10" s="811">
        <v>4</v>
      </c>
      <c r="BM10" s="811">
        <v>7</v>
      </c>
      <c r="BN10" s="814">
        <v>11</v>
      </c>
      <c r="BO10" s="811">
        <v>56</v>
      </c>
      <c r="BP10" s="815">
        <v>41821</v>
      </c>
      <c r="BQ10" s="811">
        <v>0</v>
      </c>
      <c r="BR10" s="811">
        <v>1</v>
      </c>
      <c r="BS10" s="811">
        <v>0</v>
      </c>
      <c r="BT10" s="811">
        <v>0</v>
      </c>
      <c r="BU10" s="811">
        <v>15</v>
      </c>
      <c r="BV10" s="811">
        <v>37</v>
      </c>
      <c r="BW10" s="816">
        <v>0.81388888888888888</v>
      </c>
      <c r="BY10" s="811">
        <v>9</v>
      </c>
      <c r="BZ10" s="620" t="s">
        <v>5074</v>
      </c>
      <c r="CA10" s="812" t="s">
        <v>80</v>
      </c>
      <c r="CB10" s="811" t="s">
        <v>88</v>
      </c>
      <c r="CC10" s="811">
        <v>13</v>
      </c>
      <c r="CD10" s="813">
        <v>12.106944444444444</v>
      </c>
      <c r="CE10" s="811">
        <v>2</v>
      </c>
      <c r="CF10" s="811">
        <v>2</v>
      </c>
      <c r="CG10" s="814">
        <v>4</v>
      </c>
      <c r="CH10" s="811">
        <v>18</v>
      </c>
      <c r="CI10" s="840">
        <v>45607</v>
      </c>
      <c r="CJ10" s="811">
        <v>1</v>
      </c>
      <c r="CK10" s="811">
        <v>2</v>
      </c>
      <c r="CL10" s="811">
        <v>0</v>
      </c>
      <c r="CM10" s="811">
        <v>0</v>
      </c>
      <c r="CN10" s="811">
        <v>2</v>
      </c>
      <c r="CO10" s="811">
        <v>2</v>
      </c>
      <c r="CP10" s="816">
        <v>0.93125000000000002</v>
      </c>
    </row>
    <row r="11" spans="1:94" ht="18.75" customHeight="1" thickBot="1" x14ac:dyDescent="0.35">
      <c r="A11" s="930">
        <v>7</v>
      </c>
      <c r="B11" t="s">
        <v>5371</v>
      </c>
      <c r="C11" s="812" t="s">
        <v>80</v>
      </c>
      <c r="D11" s="811" t="s">
        <v>79</v>
      </c>
      <c r="E11" s="811">
        <v>13</v>
      </c>
      <c r="F11" s="813">
        <v>9.3770833333333332</v>
      </c>
      <c r="G11" s="811">
        <v>3</v>
      </c>
      <c r="H11" s="811">
        <v>4</v>
      </c>
      <c r="I11" s="814">
        <v>7</v>
      </c>
      <c r="J11" s="811">
        <v>40</v>
      </c>
      <c r="K11" s="815">
        <v>18445</v>
      </c>
      <c r="L11" s="811">
        <v>2</v>
      </c>
      <c r="M11" s="811">
        <v>4</v>
      </c>
      <c r="N11" s="811">
        <v>0</v>
      </c>
      <c r="O11" s="811">
        <v>1</v>
      </c>
      <c r="P11" s="811">
        <v>-2</v>
      </c>
      <c r="Q11" s="811">
        <v>12</v>
      </c>
      <c r="R11" s="931">
        <v>0.72083333333333333</v>
      </c>
      <c r="T11" s="930">
        <v>5</v>
      </c>
      <c r="U11" t="s">
        <v>5371</v>
      </c>
      <c r="V11" s="812" t="s">
        <v>80</v>
      </c>
      <c r="W11" s="811" t="s">
        <v>79</v>
      </c>
      <c r="X11" s="811">
        <v>26</v>
      </c>
      <c r="Y11" s="813">
        <v>19.510416666666668</v>
      </c>
      <c r="Z11" s="811">
        <v>9</v>
      </c>
      <c r="AA11" s="811">
        <v>6</v>
      </c>
      <c r="AB11" s="814">
        <v>15</v>
      </c>
      <c r="AC11" s="811">
        <v>79</v>
      </c>
      <c r="AD11" s="815">
        <v>14550</v>
      </c>
      <c r="AE11" s="811">
        <v>4</v>
      </c>
      <c r="AF11" s="811">
        <v>6</v>
      </c>
      <c r="AG11" s="811">
        <v>0</v>
      </c>
      <c r="AH11" s="811">
        <v>2</v>
      </c>
      <c r="AI11" s="811">
        <v>-2</v>
      </c>
      <c r="AJ11" s="811">
        <v>14</v>
      </c>
      <c r="AK11" s="931">
        <v>0.75</v>
      </c>
      <c r="AM11" s="811">
        <v>6</v>
      </c>
      <c r="AN11" t="s">
        <v>5371</v>
      </c>
      <c r="AO11" s="812" t="s">
        <v>80</v>
      </c>
      <c r="AP11" s="811" t="s">
        <v>79</v>
      </c>
      <c r="AQ11" s="811">
        <v>40</v>
      </c>
      <c r="AR11" s="813">
        <v>29.461805555555557</v>
      </c>
      <c r="AS11" s="811">
        <v>13</v>
      </c>
      <c r="AT11" s="811">
        <v>10</v>
      </c>
      <c r="AU11" s="814">
        <v>23</v>
      </c>
      <c r="AV11" s="811">
        <v>114</v>
      </c>
      <c r="AW11" s="815">
        <v>14916</v>
      </c>
      <c r="AX11" s="811">
        <v>4</v>
      </c>
      <c r="AY11" s="811">
        <v>8</v>
      </c>
      <c r="AZ11" s="811">
        <v>0</v>
      </c>
      <c r="BA11" s="811">
        <v>3</v>
      </c>
      <c r="BB11" s="811">
        <v>4</v>
      </c>
      <c r="BC11" s="811">
        <v>16</v>
      </c>
      <c r="BD11" s="816">
        <v>0.73611111111111116</v>
      </c>
      <c r="BF11" s="811">
        <v>6</v>
      </c>
      <c r="BG11" s="620" t="s">
        <v>5371</v>
      </c>
      <c r="BH11" s="812" t="s">
        <v>80</v>
      </c>
      <c r="BI11" s="811" t="s">
        <v>79</v>
      </c>
      <c r="BJ11" s="811">
        <v>52</v>
      </c>
      <c r="BK11" s="813">
        <v>38.201388888888886</v>
      </c>
      <c r="BL11" s="811">
        <v>19</v>
      </c>
      <c r="BM11" s="811">
        <v>11</v>
      </c>
      <c r="BN11" s="814">
        <v>30</v>
      </c>
      <c r="BO11" s="811">
        <v>145</v>
      </c>
      <c r="BP11" s="840">
        <v>45578</v>
      </c>
      <c r="BQ11" s="811">
        <v>6</v>
      </c>
      <c r="BR11" s="811">
        <v>10</v>
      </c>
      <c r="BS11" s="811">
        <v>0</v>
      </c>
      <c r="BT11" s="811">
        <v>3</v>
      </c>
      <c r="BU11" s="811">
        <v>-1</v>
      </c>
      <c r="BV11" s="811">
        <v>20</v>
      </c>
      <c r="BW11" s="816">
        <v>0.73402777777777772</v>
      </c>
      <c r="BY11" s="811">
        <v>1</v>
      </c>
      <c r="BZ11" s="620" t="s">
        <v>5371</v>
      </c>
      <c r="CA11" s="812" t="s">
        <v>80</v>
      </c>
      <c r="CB11" s="811" t="s">
        <v>79</v>
      </c>
      <c r="CC11" s="811">
        <v>13</v>
      </c>
      <c r="CD11" s="813">
        <v>11.036111111111111</v>
      </c>
      <c r="CE11" s="811">
        <v>9</v>
      </c>
      <c r="CF11" s="811">
        <v>4</v>
      </c>
      <c r="CG11" s="814">
        <v>13</v>
      </c>
      <c r="CH11" s="811">
        <v>38</v>
      </c>
      <c r="CI11" s="811" t="s">
        <v>2127</v>
      </c>
      <c r="CJ11" s="811">
        <v>3</v>
      </c>
      <c r="CK11" s="811">
        <v>5</v>
      </c>
      <c r="CL11" s="811">
        <v>0</v>
      </c>
      <c r="CM11" s="811">
        <v>2</v>
      </c>
      <c r="CN11" s="811">
        <v>2</v>
      </c>
      <c r="CO11" s="811">
        <v>4</v>
      </c>
      <c r="CP11" s="816">
        <v>0.84861111111111109</v>
      </c>
    </row>
    <row r="12" spans="1:94" ht="18.75" customHeight="1" thickBot="1" x14ac:dyDescent="0.35">
      <c r="A12" s="930">
        <v>11</v>
      </c>
      <c r="B12" t="s">
        <v>112</v>
      </c>
      <c r="C12" s="812" t="s">
        <v>80</v>
      </c>
      <c r="D12" s="811" t="s">
        <v>79</v>
      </c>
      <c r="E12" s="811">
        <v>13</v>
      </c>
      <c r="F12" s="813">
        <v>6.1576388888888891</v>
      </c>
      <c r="G12" s="811">
        <v>3</v>
      </c>
      <c r="H12" s="811">
        <v>2</v>
      </c>
      <c r="I12" s="814">
        <v>5</v>
      </c>
      <c r="J12" s="811">
        <v>11</v>
      </c>
      <c r="K12" s="811" t="s">
        <v>5372</v>
      </c>
      <c r="L12" s="811">
        <v>0</v>
      </c>
      <c r="M12" s="811">
        <v>0</v>
      </c>
      <c r="N12" s="811">
        <v>0</v>
      </c>
      <c r="O12" s="811">
        <v>0</v>
      </c>
      <c r="P12" s="811">
        <v>-2</v>
      </c>
      <c r="Q12" s="811">
        <v>2</v>
      </c>
      <c r="R12" s="931">
        <v>0.47361111111111115</v>
      </c>
      <c r="T12" s="930">
        <v>11</v>
      </c>
      <c r="U12" t="s">
        <v>112</v>
      </c>
      <c r="V12" s="812" t="s">
        <v>80</v>
      </c>
      <c r="W12" s="811" t="s">
        <v>79</v>
      </c>
      <c r="X12" s="811">
        <v>22</v>
      </c>
      <c r="Y12" s="813">
        <v>10.555555555555555</v>
      </c>
      <c r="Z12" s="811">
        <v>3</v>
      </c>
      <c r="AA12" s="811">
        <v>2</v>
      </c>
      <c r="AB12" s="814">
        <v>5</v>
      </c>
      <c r="AC12" s="811">
        <v>21</v>
      </c>
      <c r="AD12" s="811" t="s">
        <v>215</v>
      </c>
      <c r="AE12" s="811">
        <v>0</v>
      </c>
      <c r="AF12" s="811">
        <v>0</v>
      </c>
      <c r="AG12" s="811">
        <v>0</v>
      </c>
      <c r="AH12" s="811">
        <v>0</v>
      </c>
      <c r="AI12" s="811">
        <v>-7</v>
      </c>
      <c r="AJ12" s="811">
        <v>2</v>
      </c>
      <c r="AK12" s="931">
        <v>0.47916666666666669</v>
      </c>
      <c r="AM12" s="811">
        <v>10</v>
      </c>
      <c r="AN12" t="s">
        <v>112</v>
      </c>
      <c r="AO12" s="812" t="s">
        <v>80</v>
      </c>
      <c r="AP12" s="811" t="s">
        <v>79</v>
      </c>
      <c r="AQ12" s="811">
        <v>27</v>
      </c>
      <c r="AR12" s="813">
        <v>13.299999999999999</v>
      </c>
      <c r="AS12" s="811">
        <v>7</v>
      </c>
      <c r="AT12" s="811">
        <v>5</v>
      </c>
      <c r="AU12" s="814">
        <v>12</v>
      </c>
      <c r="AV12" s="811">
        <v>27</v>
      </c>
      <c r="AW12" s="811" t="s">
        <v>5675</v>
      </c>
      <c r="AX12" s="811">
        <v>1</v>
      </c>
      <c r="AY12" s="811">
        <v>1</v>
      </c>
      <c r="AZ12" s="811">
        <v>0</v>
      </c>
      <c r="BA12" s="811">
        <v>0</v>
      </c>
      <c r="BB12" s="811">
        <v>-1</v>
      </c>
      <c r="BC12" s="811">
        <v>4</v>
      </c>
      <c r="BD12" s="816">
        <v>0.49236111111111108</v>
      </c>
      <c r="BF12" s="811">
        <v>10</v>
      </c>
      <c r="BG12" s="620" t="s">
        <v>112</v>
      </c>
      <c r="BH12" s="812" t="s">
        <v>80</v>
      </c>
      <c r="BI12" s="811" t="s">
        <v>79</v>
      </c>
      <c r="BJ12" s="811">
        <v>27</v>
      </c>
      <c r="BK12" s="813">
        <v>13.3</v>
      </c>
      <c r="BL12" s="811">
        <v>7</v>
      </c>
      <c r="BM12" s="811">
        <v>5</v>
      </c>
      <c r="BN12" s="814">
        <v>12</v>
      </c>
      <c r="BO12" s="811">
        <v>27</v>
      </c>
      <c r="BP12" s="811" t="s">
        <v>5675</v>
      </c>
      <c r="BQ12" s="811">
        <v>1</v>
      </c>
      <c r="BR12" s="811">
        <v>1</v>
      </c>
      <c r="BS12" s="811">
        <v>0</v>
      </c>
      <c r="BT12" s="811">
        <v>0</v>
      </c>
      <c r="BU12" s="811">
        <v>-1</v>
      </c>
      <c r="BV12" s="811">
        <v>4</v>
      </c>
      <c r="BW12" s="816">
        <v>0.49236111111111114</v>
      </c>
      <c r="BY12" s="811">
        <v>16</v>
      </c>
      <c r="BZ12" s="620" t="s">
        <v>112</v>
      </c>
      <c r="CA12" s="812" t="s">
        <v>80</v>
      </c>
      <c r="CB12" s="811" t="s">
        <v>79</v>
      </c>
      <c r="CC12" s="811">
        <v>3</v>
      </c>
      <c r="CD12" s="813">
        <v>1.2048611111111112</v>
      </c>
      <c r="CE12" s="811">
        <v>0</v>
      </c>
      <c r="CF12" s="811">
        <v>1</v>
      </c>
      <c r="CG12" s="814">
        <v>1</v>
      </c>
      <c r="CH12" s="811">
        <v>4</v>
      </c>
      <c r="CI12" s="811" t="s">
        <v>78</v>
      </c>
      <c r="CJ12" s="811">
        <v>0</v>
      </c>
      <c r="CK12" s="811">
        <v>0</v>
      </c>
      <c r="CL12" s="811">
        <v>0</v>
      </c>
      <c r="CM12" s="811">
        <v>0</v>
      </c>
      <c r="CN12" s="811">
        <v>1</v>
      </c>
      <c r="CO12" s="811">
        <v>0</v>
      </c>
      <c r="CP12" s="816">
        <v>0.40138888888888891</v>
      </c>
    </row>
    <row r="13" spans="1:94" ht="18.75" customHeight="1" thickBot="1" x14ac:dyDescent="0.35">
      <c r="A13" s="930">
        <v>9</v>
      </c>
      <c r="B13" t="s">
        <v>105</v>
      </c>
      <c r="C13" s="812" t="s">
        <v>80</v>
      </c>
      <c r="D13" s="811" t="s">
        <v>88</v>
      </c>
      <c r="E13" s="811">
        <v>11</v>
      </c>
      <c r="F13" s="813">
        <v>8.3520833333333329</v>
      </c>
      <c r="G13" s="811">
        <v>1</v>
      </c>
      <c r="H13" s="811">
        <v>6</v>
      </c>
      <c r="I13" s="814">
        <v>7</v>
      </c>
      <c r="J13" s="811">
        <v>14</v>
      </c>
      <c r="K13" s="815">
        <v>41821</v>
      </c>
      <c r="L13" s="811">
        <v>0</v>
      </c>
      <c r="M13" s="811">
        <v>5</v>
      </c>
      <c r="N13" s="811">
        <v>0</v>
      </c>
      <c r="O13" s="811">
        <v>0</v>
      </c>
      <c r="P13" s="811">
        <v>-1</v>
      </c>
      <c r="Q13" s="811">
        <v>9</v>
      </c>
      <c r="R13" s="931">
        <v>0.75902777777777775</v>
      </c>
      <c r="T13" s="930">
        <v>7</v>
      </c>
      <c r="U13" t="s">
        <v>105</v>
      </c>
      <c r="V13" s="812" t="s">
        <v>80</v>
      </c>
      <c r="W13" s="811" t="s">
        <v>88</v>
      </c>
      <c r="X13" s="811">
        <v>23</v>
      </c>
      <c r="Y13" s="813">
        <v>17.816666666666666</v>
      </c>
      <c r="Z13" s="811">
        <v>2</v>
      </c>
      <c r="AA13" s="811">
        <v>9</v>
      </c>
      <c r="AB13" s="814">
        <v>11</v>
      </c>
      <c r="AC13" s="811">
        <v>32</v>
      </c>
      <c r="AD13" s="815">
        <v>45809</v>
      </c>
      <c r="AE13" s="811">
        <v>1</v>
      </c>
      <c r="AF13" s="811">
        <v>6</v>
      </c>
      <c r="AG13" s="811">
        <v>0</v>
      </c>
      <c r="AH13" s="811">
        <v>0</v>
      </c>
      <c r="AI13" s="811">
        <v>0</v>
      </c>
      <c r="AJ13" s="811">
        <v>21</v>
      </c>
      <c r="AK13" s="931">
        <v>0.77430555555555547</v>
      </c>
      <c r="AM13" s="811">
        <v>9</v>
      </c>
      <c r="AN13" t="s">
        <v>105</v>
      </c>
      <c r="AO13" s="812" t="s">
        <v>80</v>
      </c>
      <c r="AP13" s="811" t="s">
        <v>88</v>
      </c>
      <c r="AQ13" s="811">
        <v>37</v>
      </c>
      <c r="AR13" s="813">
        <v>29.267361111111111</v>
      </c>
      <c r="AS13" s="811">
        <v>2</v>
      </c>
      <c r="AT13" s="811">
        <v>12</v>
      </c>
      <c r="AU13" s="814">
        <v>14</v>
      </c>
      <c r="AV13" s="811">
        <v>51</v>
      </c>
      <c r="AW13" s="815">
        <v>33664</v>
      </c>
      <c r="AX13" s="811">
        <v>1</v>
      </c>
      <c r="AY13" s="811">
        <v>9</v>
      </c>
      <c r="AZ13" s="811">
        <v>0</v>
      </c>
      <c r="BA13" s="811">
        <v>0</v>
      </c>
      <c r="BB13" s="811">
        <v>-1</v>
      </c>
      <c r="BC13" s="811">
        <v>37</v>
      </c>
      <c r="BD13" s="816">
        <v>0.7909722222222223</v>
      </c>
      <c r="BF13" s="811">
        <v>9</v>
      </c>
      <c r="BG13" s="620" t="s">
        <v>105</v>
      </c>
      <c r="BH13" s="812" t="s">
        <v>80</v>
      </c>
      <c r="BI13" s="811" t="s">
        <v>88</v>
      </c>
      <c r="BJ13" s="811">
        <v>49</v>
      </c>
      <c r="BK13" s="813">
        <v>38.28402777777778</v>
      </c>
      <c r="BL13" s="811">
        <v>3</v>
      </c>
      <c r="BM13" s="811">
        <v>17</v>
      </c>
      <c r="BN13" s="814">
        <v>20</v>
      </c>
      <c r="BO13" s="811">
        <v>69</v>
      </c>
      <c r="BP13" s="815">
        <v>12875</v>
      </c>
      <c r="BQ13" s="811">
        <v>1</v>
      </c>
      <c r="BR13" s="811">
        <v>12</v>
      </c>
      <c r="BS13" s="811">
        <v>0</v>
      </c>
      <c r="BT13" s="811">
        <v>0</v>
      </c>
      <c r="BU13" s="811">
        <v>-5</v>
      </c>
      <c r="BV13" s="811">
        <v>53</v>
      </c>
      <c r="BW13" s="816">
        <v>0.78125</v>
      </c>
      <c r="BY13" s="811">
        <v>4</v>
      </c>
      <c r="BZ13" s="620" t="s">
        <v>105</v>
      </c>
      <c r="CA13" s="812" t="s">
        <v>80</v>
      </c>
      <c r="CB13" s="811" t="s">
        <v>88</v>
      </c>
      <c r="CC13" s="811">
        <v>13</v>
      </c>
      <c r="CD13" s="813">
        <v>10.677777777777777</v>
      </c>
      <c r="CE13" s="811">
        <v>1</v>
      </c>
      <c r="CF13" s="811">
        <v>7</v>
      </c>
      <c r="CG13" s="814">
        <v>8</v>
      </c>
      <c r="CH13" s="811">
        <v>19</v>
      </c>
      <c r="CI13" s="815">
        <v>46143</v>
      </c>
      <c r="CJ13" s="811">
        <v>0</v>
      </c>
      <c r="CK13" s="811">
        <v>4</v>
      </c>
      <c r="CL13" s="811">
        <v>0</v>
      </c>
      <c r="CM13" s="811">
        <v>0</v>
      </c>
      <c r="CN13" s="811">
        <v>4</v>
      </c>
      <c r="CO13" s="811">
        <v>20</v>
      </c>
      <c r="CP13" s="816">
        <v>0.8208333333333333</v>
      </c>
    </row>
    <row r="14" spans="1:94" ht="18.75" customHeight="1" thickBot="1" x14ac:dyDescent="0.35">
      <c r="A14" s="930">
        <v>18</v>
      </c>
      <c r="B14" t="s">
        <v>83</v>
      </c>
      <c r="C14" s="812" t="s">
        <v>80</v>
      </c>
      <c r="D14" s="811" t="s">
        <v>79</v>
      </c>
      <c r="E14" s="811">
        <v>13</v>
      </c>
      <c r="F14" s="813">
        <v>5.1256944444444441</v>
      </c>
      <c r="G14" s="811">
        <v>0</v>
      </c>
      <c r="H14" s="811">
        <v>1</v>
      </c>
      <c r="I14" s="814">
        <v>1</v>
      </c>
      <c r="J14" s="811">
        <v>3</v>
      </c>
      <c r="K14" s="811" t="s">
        <v>78</v>
      </c>
      <c r="L14" s="811">
        <v>0</v>
      </c>
      <c r="M14" s="811">
        <v>0</v>
      </c>
      <c r="N14" s="811">
        <v>0</v>
      </c>
      <c r="O14" s="811">
        <v>0</v>
      </c>
      <c r="P14" s="811">
        <v>1</v>
      </c>
      <c r="Q14" s="811">
        <v>8</v>
      </c>
      <c r="R14" s="931">
        <v>0.39374999999999999</v>
      </c>
      <c r="T14" s="930">
        <v>19</v>
      </c>
      <c r="U14" t="s">
        <v>83</v>
      </c>
      <c r="V14" s="812" t="s">
        <v>80</v>
      </c>
      <c r="W14" s="811" t="s">
        <v>79</v>
      </c>
      <c r="X14" s="811">
        <v>25</v>
      </c>
      <c r="Y14" s="813">
        <v>9.1444444444444439</v>
      </c>
      <c r="Z14" s="811">
        <v>0</v>
      </c>
      <c r="AA14" s="811">
        <v>2</v>
      </c>
      <c r="AB14" s="814">
        <v>2</v>
      </c>
      <c r="AC14" s="811">
        <v>9</v>
      </c>
      <c r="AD14" s="811" t="s">
        <v>78</v>
      </c>
      <c r="AE14" s="811">
        <v>0</v>
      </c>
      <c r="AF14" s="811">
        <v>0</v>
      </c>
      <c r="AG14" s="811">
        <v>0</v>
      </c>
      <c r="AH14" s="811">
        <v>0</v>
      </c>
      <c r="AI14" s="811">
        <v>2</v>
      </c>
      <c r="AJ14" s="811">
        <v>10</v>
      </c>
      <c r="AK14" s="931">
        <v>0.36527777777777781</v>
      </c>
      <c r="AM14" s="811">
        <v>22</v>
      </c>
      <c r="AN14" t="s">
        <v>83</v>
      </c>
      <c r="AO14" s="812" t="s">
        <v>80</v>
      </c>
      <c r="AP14" s="811" t="s">
        <v>79</v>
      </c>
      <c r="AQ14" s="811">
        <v>39</v>
      </c>
      <c r="AR14" s="813">
        <v>14.333333333333334</v>
      </c>
      <c r="AS14" s="811">
        <v>0</v>
      </c>
      <c r="AT14" s="811">
        <v>2</v>
      </c>
      <c r="AU14" s="814">
        <v>2</v>
      </c>
      <c r="AV14" s="811">
        <v>13</v>
      </c>
      <c r="AW14" s="811" t="s">
        <v>78</v>
      </c>
      <c r="AX14" s="811">
        <v>0</v>
      </c>
      <c r="AY14" s="811">
        <v>0</v>
      </c>
      <c r="AZ14" s="811">
        <v>0</v>
      </c>
      <c r="BA14" s="811">
        <v>0</v>
      </c>
      <c r="BB14" s="811">
        <v>-1</v>
      </c>
      <c r="BC14" s="811">
        <v>21</v>
      </c>
      <c r="BD14" s="816">
        <v>0.36736111111111108</v>
      </c>
      <c r="BF14" s="811">
        <v>23</v>
      </c>
      <c r="BG14" s="620" t="s">
        <v>83</v>
      </c>
      <c r="BH14" s="812" t="s">
        <v>80</v>
      </c>
      <c r="BI14" s="811" t="s">
        <v>79</v>
      </c>
      <c r="BJ14" s="811">
        <v>51</v>
      </c>
      <c r="BK14" s="813">
        <v>17.925694444444446</v>
      </c>
      <c r="BL14" s="811">
        <v>0</v>
      </c>
      <c r="BM14" s="811">
        <v>3</v>
      </c>
      <c r="BN14" s="814">
        <v>3</v>
      </c>
      <c r="BO14" s="811">
        <v>18</v>
      </c>
      <c r="BP14" s="811" t="s">
        <v>78</v>
      </c>
      <c r="BQ14" s="811">
        <v>0</v>
      </c>
      <c r="BR14" s="811">
        <v>0</v>
      </c>
      <c r="BS14" s="811">
        <v>0</v>
      </c>
      <c r="BT14" s="811">
        <v>0</v>
      </c>
      <c r="BU14" s="811">
        <v>-3</v>
      </c>
      <c r="BV14" s="811">
        <v>26</v>
      </c>
      <c r="BW14" s="816">
        <v>0.35138888888888886</v>
      </c>
      <c r="BY14" s="811">
        <v>20</v>
      </c>
      <c r="BZ14" s="620" t="s">
        <v>83</v>
      </c>
      <c r="CA14" s="812" t="s">
        <v>80</v>
      </c>
      <c r="CB14" s="811" t="s">
        <v>79</v>
      </c>
      <c r="CC14" s="811">
        <v>12</v>
      </c>
      <c r="CD14" s="813">
        <v>3.7291666666666665</v>
      </c>
      <c r="CE14" s="811">
        <v>0</v>
      </c>
      <c r="CF14" s="811">
        <v>1</v>
      </c>
      <c r="CG14" s="814">
        <v>1</v>
      </c>
      <c r="CH14" s="811">
        <v>7</v>
      </c>
      <c r="CI14" s="811" t="s">
        <v>78</v>
      </c>
      <c r="CJ14" s="811">
        <v>0</v>
      </c>
      <c r="CK14" s="811">
        <v>0</v>
      </c>
      <c r="CL14" s="811">
        <v>0</v>
      </c>
      <c r="CM14" s="811">
        <v>0</v>
      </c>
      <c r="CN14" s="811">
        <v>2</v>
      </c>
      <c r="CO14" s="811">
        <v>29</v>
      </c>
      <c r="CP14" s="816">
        <v>0.31041666666666667</v>
      </c>
    </row>
    <row r="15" spans="1:94" ht="18.75" customHeight="1" thickBot="1" x14ac:dyDescent="0.35">
      <c r="A15" s="930">
        <v>19</v>
      </c>
      <c r="B15" t="s">
        <v>5375</v>
      </c>
      <c r="C15" s="812" t="s">
        <v>80</v>
      </c>
      <c r="D15" s="811" t="s">
        <v>79</v>
      </c>
      <c r="E15" s="811">
        <v>1</v>
      </c>
      <c r="F15" s="816">
        <v>0.47430555555555554</v>
      </c>
      <c r="G15" s="811">
        <v>0</v>
      </c>
      <c r="H15" s="811">
        <v>0</v>
      </c>
      <c r="I15" s="814">
        <v>0</v>
      </c>
      <c r="J15" s="811">
        <v>0</v>
      </c>
      <c r="K15" s="811" t="s">
        <v>78</v>
      </c>
      <c r="L15" s="811">
        <v>0</v>
      </c>
      <c r="M15" s="811">
        <v>0</v>
      </c>
      <c r="N15" s="811">
        <v>0</v>
      </c>
      <c r="O15" s="811">
        <v>0</v>
      </c>
      <c r="P15" s="811">
        <v>0</v>
      </c>
      <c r="Q15" s="811">
        <v>0</v>
      </c>
      <c r="R15" s="931">
        <v>0.47430555555555554</v>
      </c>
      <c r="T15" s="930">
        <v>15</v>
      </c>
      <c r="U15" t="s">
        <v>5375</v>
      </c>
      <c r="V15" s="812" t="s">
        <v>80</v>
      </c>
      <c r="W15" s="811" t="s">
        <v>79</v>
      </c>
      <c r="X15" s="811">
        <v>14</v>
      </c>
      <c r="Y15" s="813">
        <v>4.8395833333333336</v>
      </c>
      <c r="Z15" s="811">
        <v>1</v>
      </c>
      <c r="AA15" s="811">
        <v>3</v>
      </c>
      <c r="AB15" s="814">
        <v>4</v>
      </c>
      <c r="AC15" s="811">
        <v>11</v>
      </c>
      <c r="AD15" s="840">
        <v>45178</v>
      </c>
      <c r="AE15" s="811">
        <v>0</v>
      </c>
      <c r="AF15" s="811">
        <v>0</v>
      </c>
      <c r="AG15" s="811">
        <v>0</v>
      </c>
      <c r="AH15" s="811">
        <v>0</v>
      </c>
      <c r="AI15" s="811">
        <v>1</v>
      </c>
      <c r="AJ15" s="811">
        <v>2</v>
      </c>
      <c r="AK15" s="931">
        <v>0.34513888888888888</v>
      </c>
      <c r="AM15" s="811">
        <v>16</v>
      </c>
      <c r="AN15" t="s">
        <v>5375</v>
      </c>
      <c r="AO15" s="812" t="s">
        <v>80</v>
      </c>
      <c r="AP15" s="811" t="s">
        <v>79</v>
      </c>
      <c r="AQ15" s="811">
        <v>19</v>
      </c>
      <c r="AR15" s="813">
        <v>7.5979166666666664</v>
      </c>
      <c r="AS15" s="811">
        <v>2</v>
      </c>
      <c r="AT15" s="811">
        <v>3</v>
      </c>
      <c r="AU15" s="814">
        <v>5</v>
      </c>
      <c r="AV15" s="811">
        <v>18</v>
      </c>
      <c r="AW15" s="840">
        <v>45607</v>
      </c>
      <c r="AX15" s="811">
        <v>1</v>
      </c>
      <c r="AY15" s="811">
        <v>1</v>
      </c>
      <c r="AZ15" s="811">
        <v>0</v>
      </c>
      <c r="BA15" s="811">
        <v>1</v>
      </c>
      <c r="BB15" s="811">
        <v>-2</v>
      </c>
      <c r="BC15" s="811">
        <v>2</v>
      </c>
      <c r="BD15" s="816">
        <v>0.39930555555555558</v>
      </c>
      <c r="BF15" s="811">
        <v>18</v>
      </c>
      <c r="BG15" s="620" t="s">
        <v>5375</v>
      </c>
      <c r="BH15" s="812" t="s">
        <v>80</v>
      </c>
      <c r="BI15" s="811" t="s">
        <v>79</v>
      </c>
      <c r="BJ15" s="811">
        <v>23</v>
      </c>
      <c r="BK15" s="813">
        <v>9.375</v>
      </c>
      <c r="BL15" s="811">
        <v>2</v>
      </c>
      <c r="BM15" s="811">
        <v>3</v>
      </c>
      <c r="BN15" s="814">
        <v>5</v>
      </c>
      <c r="BO15" s="811">
        <v>23</v>
      </c>
      <c r="BP15" s="815">
        <v>25781</v>
      </c>
      <c r="BQ15" s="811">
        <v>1</v>
      </c>
      <c r="BR15" s="811">
        <v>1</v>
      </c>
      <c r="BS15" s="811">
        <v>0</v>
      </c>
      <c r="BT15" s="811">
        <v>1</v>
      </c>
      <c r="BU15" s="811">
        <v>-5</v>
      </c>
      <c r="BV15" s="811">
        <v>4</v>
      </c>
      <c r="BW15" s="816">
        <v>0.40694444444444444</v>
      </c>
      <c r="BY15" s="811">
        <v>19</v>
      </c>
      <c r="BZ15" s="620" t="s">
        <v>5375</v>
      </c>
      <c r="CA15" s="812" t="s">
        <v>80</v>
      </c>
      <c r="CB15" s="811" t="s">
        <v>79</v>
      </c>
      <c r="CC15" s="811">
        <v>7</v>
      </c>
      <c r="CD15" s="813">
        <v>1.5993055555555555</v>
      </c>
      <c r="CE15" s="811">
        <v>0</v>
      </c>
      <c r="CF15" s="811">
        <v>1</v>
      </c>
      <c r="CG15" s="814">
        <v>1</v>
      </c>
      <c r="CH15" s="811">
        <v>2</v>
      </c>
      <c r="CI15" s="811" t="s">
        <v>78</v>
      </c>
      <c r="CJ15" s="811">
        <v>0</v>
      </c>
      <c r="CK15" s="811">
        <v>0</v>
      </c>
      <c r="CL15" s="811">
        <v>0</v>
      </c>
      <c r="CM15" s="811">
        <v>0</v>
      </c>
      <c r="CN15" s="811">
        <v>1</v>
      </c>
      <c r="CO15" s="811">
        <v>0</v>
      </c>
      <c r="CP15" s="816">
        <v>0.22847222222222222</v>
      </c>
    </row>
    <row r="16" spans="1:94" ht="18.75" customHeight="1" thickBot="1" x14ac:dyDescent="0.35">
      <c r="A16" s="930">
        <v>6</v>
      </c>
      <c r="B16" t="s">
        <v>4173</v>
      </c>
      <c r="C16" s="812" t="s">
        <v>80</v>
      </c>
      <c r="D16" s="811" t="s">
        <v>79</v>
      </c>
      <c r="E16" s="811">
        <v>11</v>
      </c>
      <c r="F16" s="813">
        <v>8.7270833333333329</v>
      </c>
      <c r="G16" s="811">
        <v>4</v>
      </c>
      <c r="H16" s="811">
        <v>4</v>
      </c>
      <c r="I16" s="814">
        <v>8</v>
      </c>
      <c r="J16" s="811">
        <v>23</v>
      </c>
      <c r="K16" s="811" t="s">
        <v>1903</v>
      </c>
      <c r="L16" s="811">
        <v>0</v>
      </c>
      <c r="M16" s="811">
        <v>0</v>
      </c>
      <c r="N16" s="811">
        <v>1</v>
      </c>
      <c r="O16" s="811">
        <v>0</v>
      </c>
      <c r="P16" s="811">
        <v>5</v>
      </c>
      <c r="Q16" s="811">
        <v>6</v>
      </c>
      <c r="R16" s="931">
        <v>0.79305555555555562</v>
      </c>
      <c r="T16" s="930">
        <v>9</v>
      </c>
      <c r="U16" t="s">
        <v>4173</v>
      </c>
      <c r="V16" s="812" t="s">
        <v>80</v>
      </c>
      <c r="W16" s="811" t="s">
        <v>79</v>
      </c>
      <c r="X16" s="811">
        <v>11</v>
      </c>
      <c r="Y16" s="813">
        <v>8.7270833333333329</v>
      </c>
      <c r="Z16" s="811">
        <v>4</v>
      </c>
      <c r="AA16" s="811">
        <v>4</v>
      </c>
      <c r="AB16" s="814">
        <v>8</v>
      </c>
      <c r="AC16" s="811">
        <v>23</v>
      </c>
      <c r="AD16" s="811" t="s">
        <v>1903</v>
      </c>
      <c r="AE16" s="811">
        <v>0</v>
      </c>
      <c r="AF16" s="811">
        <v>0</v>
      </c>
      <c r="AG16" s="811">
        <v>1</v>
      </c>
      <c r="AH16" s="811">
        <v>0</v>
      </c>
      <c r="AI16" s="811">
        <v>5</v>
      </c>
      <c r="AJ16" s="811">
        <v>6</v>
      </c>
      <c r="AK16" s="931">
        <v>0.79305555555555562</v>
      </c>
      <c r="AM16" s="811">
        <v>11</v>
      </c>
      <c r="AN16" t="s">
        <v>4173</v>
      </c>
      <c r="AO16" s="812" t="s">
        <v>80</v>
      </c>
      <c r="AP16" s="811" t="s">
        <v>79</v>
      </c>
      <c r="AQ16" s="811">
        <v>11</v>
      </c>
      <c r="AR16" s="813">
        <v>8.7270833333333329</v>
      </c>
      <c r="AS16" s="811">
        <v>4</v>
      </c>
      <c r="AT16" s="811">
        <v>4</v>
      </c>
      <c r="AU16" s="814">
        <v>8</v>
      </c>
      <c r="AV16" s="811">
        <v>23</v>
      </c>
      <c r="AW16" s="811" t="s">
        <v>1903</v>
      </c>
      <c r="AX16" s="811">
        <v>0</v>
      </c>
      <c r="AY16" s="811">
        <v>0</v>
      </c>
      <c r="AZ16" s="811">
        <v>1</v>
      </c>
      <c r="BA16" s="811">
        <v>0</v>
      </c>
      <c r="BB16" s="811">
        <v>5</v>
      </c>
      <c r="BC16" s="811">
        <v>6</v>
      </c>
      <c r="BD16" s="816">
        <v>0.79305555555555562</v>
      </c>
      <c r="BF16" s="811">
        <v>12</v>
      </c>
      <c r="BG16" s="620" t="s">
        <v>4173</v>
      </c>
      <c r="BH16" s="812" t="s">
        <v>80</v>
      </c>
      <c r="BI16" s="811" t="s">
        <v>79</v>
      </c>
      <c r="BJ16" s="811">
        <v>15</v>
      </c>
      <c r="BK16" s="813">
        <v>12.459027777777777</v>
      </c>
      <c r="BL16" s="811">
        <v>6</v>
      </c>
      <c r="BM16" s="811">
        <v>4</v>
      </c>
      <c r="BN16" s="814">
        <v>10</v>
      </c>
      <c r="BO16" s="811">
        <v>31</v>
      </c>
      <c r="BP16" s="811" t="s">
        <v>4395</v>
      </c>
      <c r="BQ16" s="811">
        <v>1</v>
      </c>
      <c r="BR16" s="811">
        <v>1</v>
      </c>
      <c r="BS16" s="811">
        <v>1</v>
      </c>
      <c r="BT16" s="811">
        <v>0</v>
      </c>
      <c r="BU16" s="811">
        <v>2</v>
      </c>
      <c r="BV16" s="811">
        <v>6</v>
      </c>
      <c r="BW16" s="816">
        <v>0.8305555555555556</v>
      </c>
      <c r="BY16" s="811">
        <v>7</v>
      </c>
      <c r="BZ16" s="620" t="s">
        <v>4173</v>
      </c>
      <c r="CA16" s="812" t="s">
        <v>80</v>
      </c>
      <c r="CB16" s="811" t="s">
        <v>79</v>
      </c>
      <c r="CC16" s="811">
        <v>13</v>
      </c>
      <c r="CD16" s="813">
        <v>11.733333333333333</v>
      </c>
      <c r="CE16" s="811">
        <v>1</v>
      </c>
      <c r="CF16" s="811">
        <v>4</v>
      </c>
      <c r="CG16" s="814">
        <v>5</v>
      </c>
      <c r="CH16" s="811">
        <v>23</v>
      </c>
      <c r="CI16" s="815">
        <v>12875</v>
      </c>
      <c r="CJ16" s="811">
        <v>0</v>
      </c>
      <c r="CK16" s="811">
        <v>0</v>
      </c>
      <c r="CL16" s="811">
        <v>0</v>
      </c>
      <c r="CM16" s="811">
        <v>1</v>
      </c>
      <c r="CN16" s="811">
        <v>2</v>
      </c>
      <c r="CO16" s="811">
        <v>8</v>
      </c>
      <c r="CP16" s="816">
        <v>0.90208333333333335</v>
      </c>
    </row>
    <row r="17" spans="1:94" ht="18.75" customHeight="1" thickBot="1" x14ac:dyDescent="0.35">
      <c r="A17" s="930">
        <v>17</v>
      </c>
      <c r="B17" t="s">
        <v>5070</v>
      </c>
      <c r="C17" s="812" t="s">
        <v>80</v>
      </c>
      <c r="D17" s="811" t="s">
        <v>79</v>
      </c>
      <c r="E17" s="811">
        <v>10</v>
      </c>
      <c r="F17" s="813">
        <v>4.302083333333333</v>
      </c>
      <c r="G17" s="811">
        <v>1</v>
      </c>
      <c r="H17" s="811">
        <v>0</v>
      </c>
      <c r="I17" s="814">
        <v>1</v>
      </c>
      <c r="J17" s="811">
        <v>10</v>
      </c>
      <c r="K17" s="811" t="s">
        <v>121</v>
      </c>
      <c r="L17" s="811">
        <v>0</v>
      </c>
      <c r="M17" s="811">
        <v>0</v>
      </c>
      <c r="N17" s="811">
        <v>0</v>
      </c>
      <c r="O17" s="811">
        <v>0</v>
      </c>
      <c r="P17" s="811">
        <v>-4</v>
      </c>
      <c r="Q17" s="811">
        <v>2</v>
      </c>
      <c r="R17" s="931">
        <v>0.42986111111111108</v>
      </c>
      <c r="T17" s="930">
        <v>14</v>
      </c>
      <c r="U17" t="s">
        <v>5070</v>
      </c>
      <c r="V17" s="812" t="s">
        <v>80</v>
      </c>
      <c r="W17" s="811" t="s">
        <v>79</v>
      </c>
      <c r="X17" s="811">
        <v>23</v>
      </c>
      <c r="Y17" s="813">
        <v>10.640277777777778</v>
      </c>
      <c r="Z17" s="811">
        <v>3</v>
      </c>
      <c r="AA17" s="811">
        <v>1</v>
      </c>
      <c r="AB17" s="814">
        <v>4</v>
      </c>
      <c r="AC17" s="811">
        <v>16</v>
      </c>
      <c r="AD17" s="811" t="s">
        <v>4262</v>
      </c>
      <c r="AE17" s="811">
        <v>0</v>
      </c>
      <c r="AF17" s="811">
        <v>0</v>
      </c>
      <c r="AG17" s="811">
        <v>0</v>
      </c>
      <c r="AH17" s="811">
        <v>0</v>
      </c>
      <c r="AI17" s="811">
        <v>-4</v>
      </c>
      <c r="AJ17" s="811">
        <v>8</v>
      </c>
      <c r="AK17" s="931">
        <v>0.46249999999999997</v>
      </c>
      <c r="AM17" s="811">
        <v>17</v>
      </c>
      <c r="AN17" t="s">
        <v>5070</v>
      </c>
      <c r="AO17" s="812" t="s">
        <v>80</v>
      </c>
      <c r="AP17" s="811" t="s">
        <v>79</v>
      </c>
      <c r="AQ17" s="811">
        <v>25</v>
      </c>
      <c r="AR17" s="813">
        <v>11.425694444444444</v>
      </c>
      <c r="AS17" s="811">
        <v>3</v>
      </c>
      <c r="AT17" s="811">
        <v>1</v>
      </c>
      <c r="AU17" s="814">
        <v>4</v>
      </c>
      <c r="AV17" s="811">
        <v>17</v>
      </c>
      <c r="AW17" s="811" t="s">
        <v>1682</v>
      </c>
      <c r="AX17" s="811">
        <v>0</v>
      </c>
      <c r="AY17" s="811">
        <v>0</v>
      </c>
      <c r="AZ17" s="811">
        <v>0</v>
      </c>
      <c r="BA17" s="811">
        <v>0</v>
      </c>
      <c r="BB17" s="811">
        <v>-6</v>
      </c>
      <c r="BC17" s="811">
        <v>12</v>
      </c>
      <c r="BD17" s="816">
        <v>0.45694444444444443</v>
      </c>
      <c r="BF17" s="811">
        <v>16</v>
      </c>
      <c r="BG17" s="620" t="s">
        <v>5070</v>
      </c>
      <c r="BH17" s="812" t="s">
        <v>80</v>
      </c>
      <c r="BI17" s="811" t="s">
        <v>79</v>
      </c>
      <c r="BJ17" s="811">
        <v>35</v>
      </c>
      <c r="BK17" s="813">
        <v>15.723611111111111</v>
      </c>
      <c r="BL17" s="811">
        <v>3</v>
      </c>
      <c r="BM17" s="811">
        <v>3</v>
      </c>
      <c r="BN17" s="814">
        <v>6</v>
      </c>
      <c r="BO17" s="811">
        <v>17</v>
      </c>
      <c r="BP17" s="811" t="s">
        <v>1682</v>
      </c>
      <c r="BQ17" s="811">
        <v>0</v>
      </c>
      <c r="BR17" s="811">
        <v>0</v>
      </c>
      <c r="BS17" s="811">
        <v>0</v>
      </c>
      <c r="BT17" s="811">
        <v>0</v>
      </c>
      <c r="BU17" s="811">
        <v>-6</v>
      </c>
      <c r="BV17" s="811">
        <v>16</v>
      </c>
      <c r="BW17" s="816">
        <v>0.44861111111111113</v>
      </c>
      <c r="BY17" s="811">
        <v>17</v>
      </c>
      <c r="BZ17" s="620" t="s">
        <v>5070</v>
      </c>
      <c r="CA17" s="812" t="s">
        <v>80</v>
      </c>
      <c r="CB17" s="811" t="s">
        <v>79</v>
      </c>
      <c r="CC17" s="811">
        <v>4</v>
      </c>
      <c r="CD17" s="816">
        <v>0.95625000000000004</v>
      </c>
      <c r="CE17" s="811">
        <v>0</v>
      </c>
      <c r="CF17" s="811">
        <v>1</v>
      </c>
      <c r="CG17" s="814">
        <v>1</v>
      </c>
      <c r="CH17" s="811">
        <v>1</v>
      </c>
      <c r="CI17" s="811" t="s">
        <v>78</v>
      </c>
      <c r="CJ17" s="811">
        <v>0</v>
      </c>
      <c r="CK17" s="811">
        <v>0</v>
      </c>
      <c r="CL17" s="811">
        <v>0</v>
      </c>
      <c r="CM17" s="811">
        <v>0</v>
      </c>
      <c r="CN17" s="811">
        <v>1</v>
      </c>
      <c r="CO17" s="811">
        <v>0</v>
      </c>
      <c r="CP17" s="816">
        <v>0.2388888888888889</v>
      </c>
    </row>
    <row r="18" spans="1:94" ht="18.75" customHeight="1" thickBot="1" x14ac:dyDescent="0.35">
      <c r="A18" s="930">
        <v>5</v>
      </c>
      <c r="B18" t="s">
        <v>5069</v>
      </c>
      <c r="C18" s="812" t="s">
        <v>80</v>
      </c>
      <c r="D18" s="811" t="s">
        <v>79</v>
      </c>
      <c r="E18" s="811">
        <v>13</v>
      </c>
      <c r="F18" s="813">
        <v>9.5791666666666675</v>
      </c>
      <c r="G18" s="811">
        <v>4</v>
      </c>
      <c r="H18" s="811">
        <v>6</v>
      </c>
      <c r="I18" s="814">
        <v>10</v>
      </c>
      <c r="J18" s="811">
        <v>43</v>
      </c>
      <c r="K18" s="815">
        <v>11202</v>
      </c>
      <c r="L18" s="811">
        <v>1</v>
      </c>
      <c r="M18" s="811">
        <v>3</v>
      </c>
      <c r="N18" s="811">
        <v>0</v>
      </c>
      <c r="O18" s="811">
        <v>1</v>
      </c>
      <c r="P18" s="811">
        <v>4</v>
      </c>
      <c r="Q18" s="811">
        <v>6</v>
      </c>
      <c r="R18" s="931">
        <v>0.7368055555555556</v>
      </c>
      <c r="T18" s="930">
        <v>6</v>
      </c>
      <c r="U18" t="s">
        <v>5069</v>
      </c>
      <c r="V18" s="812" t="s">
        <v>80</v>
      </c>
      <c r="W18" s="811" t="s">
        <v>79</v>
      </c>
      <c r="X18" s="811">
        <v>26</v>
      </c>
      <c r="Y18" s="813">
        <v>20.362500000000001</v>
      </c>
      <c r="Z18" s="811">
        <v>7</v>
      </c>
      <c r="AA18" s="811">
        <v>8</v>
      </c>
      <c r="AB18" s="814">
        <v>15</v>
      </c>
      <c r="AC18" s="811">
        <v>84</v>
      </c>
      <c r="AD18" s="815">
        <v>12267</v>
      </c>
      <c r="AE18" s="811">
        <v>2</v>
      </c>
      <c r="AF18" s="811">
        <v>5</v>
      </c>
      <c r="AG18" s="811">
        <v>0</v>
      </c>
      <c r="AH18" s="811">
        <v>2</v>
      </c>
      <c r="AI18" s="811">
        <v>0</v>
      </c>
      <c r="AJ18" s="811">
        <v>10</v>
      </c>
      <c r="AK18" s="931">
        <v>0.78263888888888899</v>
      </c>
      <c r="AM18" s="811">
        <v>5</v>
      </c>
      <c r="AN18" t="s">
        <v>5069</v>
      </c>
      <c r="AO18" s="812" t="s">
        <v>80</v>
      </c>
      <c r="AP18" s="811" t="s">
        <v>79</v>
      </c>
      <c r="AQ18" s="811">
        <v>40</v>
      </c>
      <c r="AR18" s="813">
        <v>30.867361111111112</v>
      </c>
      <c r="AS18" s="811">
        <v>14</v>
      </c>
      <c r="AT18" s="811">
        <v>13</v>
      </c>
      <c r="AU18" s="814">
        <v>27</v>
      </c>
      <c r="AV18" s="811">
        <v>121</v>
      </c>
      <c r="AW18" s="815">
        <v>21125</v>
      </c>
      <c r="AX18" s="811">
        <v>5</v>
      </c>
      <c r="AY18" s="811">
        <v>8</v>
      </c>
      <c r="AZ18" s="811">
        <v>0</v>
      </c>
      <c r="BA18" s="811">
        <v>4</v>
      </c>
      <c r="BB18" s="811">
        <v>3</v>
      </c>
      <c r="BC18" s="811">
        <v>12</v>
      </c>
      <c r="BD18" s="816">
        <v>0.7715277777777777</v>
      </c>
      <c r="BF18" s="811">
        <v>4</v>
      </c>
      <c r="BG18" s="620" t="s">
        <v>5069</v>
      </c>
      <c r="BH18" s="812" t="s">
        <v>80</v>
      </c>
      <c r="BI18" s="811" t="s">
        <v>79</v>
      </c>
      <c r="BJ18" s="811">
        <v>52</v>
      </c>
      <c r="BK18" s="813">
        <v>41.359027777777776</v>
      </c>
      <c r="BL18" s="811">
        <v>22</v>
      </c>
      <c r="BM18" s="811">
        <v>17</v>
      </c>
      <c r="BN18" s="814">
        <v>39</v>
      </c>
      <c r="BO18" s="811">
        <v>157</v>
      </c>
      <c r="BP18" s="840">
        <v>45305</v>
      </c>
      <c r="BQ18" s="811">
        <v>7</v>
      </c>
      <c r="BR18" s="811">
        <v>12</v>
      </c>
      <c r="BS18" s="811">
        <v>0</v>
      </c>
      <c r="BT18" s="811">
        <v>6</v>
      </c>
      <c r="BU18" s="811">
        <v>7</v>
      </c>
      <c r="BV18" s="811">
        <v>20</v>
      </c>
      <c r="BW18" s="816">
        <v>0.79513888888888884</v>
      </c>
      <c r="BY18" s="811">
        <v>6</v>
      </c>
      <c r="BZ18" s="620" t="s">
        <v>5069</v>
      </c>
      <c r="CA18" s="812" t="s">
        <v>80</v>
      </c>
      <c r="CB18" s="811" t="s">
        <v>79</v>
      </c>
      <c r="CC18" s="811">
        <v>13</v>
      </c>
      <c r="CD18" s="813">
        <v>11.258333333333333</v>
      </c>
      <c r="CE18" s="811">
        <v>2</v>
      </c>
      <c r="CF18" s="811">
        <v>4</v>
      </c>
      <c r="CG18" s="814">
        <v>6</v>
      </c>
      <c r="CH18" s="811">
        <v>35</v>
      </c>
      <c r="CI18" s="815">
        <v>26054</v>
      </c>
      <c r="CJ18" s="811">
        <v>1</v>
      </c>
      <c r="CK18" s="811">
        <v>1</v>
      </c>
      <c r="CL18" s="811">
        <v>0</v>
      </c>
      <c r="CM18" s="811">
        <v>1</v>
      </c>
      <c r="CN18" s="811">
        <v>-4</v>
      </c>
      <c r="CO18" s="811">
        <v>8</v>
      </c>
      <c r="CP18" s="816">
        <v>0.86597222222222225</v>
      </c>
    </row>
    <row r="19" spans="1:94" ht="18.75" customHeight="1" thickBot="1" x14ac:dyDescent="0.35">
      <c r="A19" s="930">
        <v>15</v>
      </c>
      <c r="B19" t="s">
        <v>115</v>
      </c>
      <c r="C19" s="812" t="s">
        <v>80</v>
      </c>
      <c r="D19" s="811" t="s">
        <v>79</v>
      </c>
      <c r="E19" s="811">
        <v>13</v>
      </c>
      <c r="F19" s="813">
        <v>5.7826388888888891</v>
      </c>
      <c r="G19" s="811">
        <v>2</v>
      </c>
      <c r="H19" s="811">
        <v>0</v>
      </c>
      <c r="I19" s="814">
        <v>2</v>
      </c>
      <c r="J19" s="811">
        <v>9</v>
      </c>
      <c r="K19" s="811" t="s">
        <v>5374</v>
      </c>
      <c r="L19" s="811">
        <v>0</v>
      </c>
      <c r="M19" s="811">
        <v>0</v>
      </c>
      <c r="N19" s="811">
        <v>0</v>
      </c>
      <c r="O19" s="811">
        <v>0</v>
      </c>
      <c r="P19" s="811">
        <v>-1</v>
      </c>
      <c r="Q19" s="811">
        <v>4</v>
      </c>
      <c r="R19" s="931">
        <v>0.44444444444444442</v>
      </c>
      <c r="T19" s="930">
        <v>12</v>
      </c>
      <c r="U19" t="s">
        <v>115</v>
      </c>
      <c r="V19" s="812" t="s">
        <v>80</v>
      </c>
      <c r="W19" s="811" t="s">
        <v>79</v>
      </c>
      <c r="X19" s="811">
        <v>22</v>
      </c>
      <c r="Y19" s="813">
        <v>9.9124999999999996</v>
      </c>
      <c r="Z19" s="811">
        <v>2</v>
      </c>
      <c r="AA19" s="811">
        <v>3</v>
      </c>
      <c r="AB19" s="814">
        <v>5</v>
      </c>
      <c r="AC19" s="811">
        <v>15</v>
      </c>
      <c r="AD19" s="811" t="s">
        <v>1727</v>
      </c>
      <c r="AE19" s="811">
        <v>0</v>
      </c>
      <c r="AF19" s="811">
        <v>0</v>
      </c>
      <c r="AG19" s="811">
        <v>0</v>
      </c>
      <c r="AH19" s="811">
        <v>0</v>
      </c>
      <c r="AI19" s="811">
        <v>-1</v>
      </c>
      <c r="AJ19" s="811">
        <v>4</v>
      </c>
      <c r="AK19" s="931">
        <v>0.45</v>
      </c>
      <c r="AM19" s="811">
        <v>13</v>
      </c>
      <c r="AN19" t="s">
        <v>115</v>
      </c>
      <c r="AO19" s="812" t="s">
        <v>80</v>
      </c>
      <c r="AP19" s="811" t="s">
        <v>79</v>
      </c>
      <c r="AQ19" s="811">
        <v>34</v>
      </c>
      <c r="AR19" s="813">
        <v>15.62638888888889</v>
      </c>
      <c r="AS19" s="811">
        <v>3</v>
      </c>
      <c r="AT19" s="811">
        <v>3</v>
      </c>
      <c r="AU19" s="814">
        <v>6</v>
      </c>
      <c r="AV19" s="811">
        <v>26</v>
      </c>
      <c r="AW19" s="815">
        <v>20029</v>
      </c>
      <c r="AX19" s="811">
        <v>0</v>
      </c>
      <c r="AY19" s="811">
        <v>0</v>
      </c>
      <c r="AZ19" s="811">
        <v>1</v>
      </c>
      <c r="BA19" s="811">
        <v>0</v>
      </c>
      <c r="BB19" s="811">
        <v>-10</v>
      </c>
      <c r="BC19" s="811">
        <v>10</v>
      </c>
      <c r="BD19" s="816">
        <v>0.45902777777777781</v>
      </c>
      <c r="BF19" s="811">
        <v>13</v>
      </c>
      <c r="BG19" s="620" t="s">
        <v>115</v>
      </c>
      <c r="BH19" s="812" t="s">
        <v>80</v>
      </c>
      <c r="BI19" s="811" t="s">
        <v>79</v>
      </c>
      <c r="BJ19" s="811">
        <v>45</v>
      </c>
      <c r="BK19" s="813">
        <v>19.430555555555557</v>
      </c>
      <c r="BL19" s="811">
        <v>4</v>
      </c>
      <c r="BM19" s="811">
        <v>3</v>
      </c>
      <c r="BN19" s="814">
        <v>7</v>
      </c>
      <c r="BO19" s="811">
        <v>33</v>
      </c>
      <c r="BP19" s="840">
        <v>45638</v>
      </c>
      <c r="BQ19" s="811">
        <v>0</v>
      </c>
      <c r="BR19" s="811">
        <v>0</v>
      </c>
      <c r="BS19" s="811">
        <v>1</v>
      </c>
      <c r="BT19" s="811">
        <v>0</v>
      </c>
      <c r="BU19" s="811">
        <v>-10</v>
      </c>
      <c r="BV19" s="811">
        <v>12</v>
      </c>
      <c r="BW19" s="816">
        <v>0.43125000000000002</v>
      </c>
      <c r="BY19" s="811">
        <v>11</v>
      </c>
      <c r="BZ19" s="620" t="s">
        <v>115</v>
      </c>
      <c r="CA19" s="812" t="s">
        <v>80</v>
      </c>
      <c r="CB19" s="811" t="s">
        <v>79</v>
      </c>
      <c r="CC19" s="811">
        <v>11</v>
      </c>
      <c r="CD19" s="813">
        <v>5.4909722222222221</v>
      </c>
      <c r="CE19" s="811">
        <v>1</v>
      </c>
      <c r="CF19" s="811">
        <v>2</v>
      </c>
      <c r="CG19" s="814">
        <v>3</v>
      </c>
      <c r="CH19" s="811">
        <v>12</v>
      </c>
      <c r="CI19" s="815">
        <v>12267</v>
      </c>
      <c r="CJ19" s="811">
        <v>1</v>
      </c>
      <c r="CK19" s="811">
        <v>1</v>
      </c>
      <c r="CL19" s="811">
        <v>0</v>
      </c>
      <c r="CM19" s="811">
        <v>1</v>
      </c>
      <c r="CN19" s="811">
        <v>-6</v>
      </c>
      <c r="CO19" s="811">
        <v>8</v>
      </c>
      <c r="CP19" s="816">
        <v>0.49861111111111112</v>
      </c>
    </row>
    <row r="20" spans="1:94" ht="18.75" customHeight="1" thickBot="1" x14ac:dyDescent="0.35">
      <c r="A20" s="930">
        <v>2</v>
      </c>
      <c r="B20" t="s">
        <v>5369</v>
      </c>
      <c r="C20" s="812" t="s">
        <v>80</v>
      </c>
      <c r="D20" s="811" t="s">
        <v>79</v>
      </c>
      <c r="E20" s="811">
        <v>12</v>
      </c>
      <c r="F20" s="813">
        <v>10.404166666666667</v>
      </c>
      <c r="G20" s="811">
        <v>7</v>
      </c>
      <c r="H20" s="811">
        <v>8</v>
      </c>
      <c r="I20" s="814">
        <v>15</v>
      </c>
      <c r="J20" s="811">
        <v>36</v>
      </c>
      <c r="K20" s="811" t="s">
        <v>1782</v>
      </c>
      <c r="L20" s="811">
        <v>2</v>
      </c>
      <c r="M20" s="811">
        <v>5</v>
      </c>
      <c r="N20" s="811">
        <v>0</v>
      </c>
      <c r="O20" s="811">
        <v>3</v>
      </c>
      <c r="P20" s="811">
        <v>6</v>
      </c>
      <c r="Q20" s="811">
        <v>9</v>
      </c>
      <c r="R20" s="931">
        <v>0.8666666666666667</v>
      </c>
      <c r="T20" s="930">
        <v>2</v>
      </c>
      <c r="U20" t="s">
        <v>5369</v>
      </c>
      <c r="V20" s="812" t="s">
        <v>80</v>
      </c>
      <c r="W20" s="811" t="s">
        <v>79</v>
      </c>
      <c r="X20" s="811">
        <v>24</v>
      </c>
      <c r="Y20" s="813">
        <v>21.492361111111112</v>
      </c>
      <c r="Z20" s="811">
        <v>9</v>
      </c>
      <c r="AA20" s="811">
        <v>13</v>
      </c>
      <c r="AB20" s="814">
        <v>22</v>
      </c>
      <c r="AC20" s="811">
        <v>73</v>
      </c>
      <c r="AD20" s="815">
        <v>12389</v>
      </c>
      <c r="AE20" s="811">
        <v>2</v>
      </c>
      <c r="AF20" s="811">
        <v>8</v>
      </c>
      <c r="AG20" s="811">
        <v>0</v>
      </c>
      <c r="AH20" s="811">
        <v>3</v>
      </c>
      <c r="AI20" s="811">
        <v>2</v>
      </c>
      <c r="AJ20" s="811">
        <v>17</v>
      </c>
      <c r="AK20" s="931">
        <v>0.89513888888888893</v>
      </c>
      <c r="AM20" s="811">
        <v>1</v>
      </c>
      <c r="AN20" t="s">
        <v>5369</v>
      </c>
      <c r="AO20" s="812" t="s">
        <v>80</v>
      </c>
      <c r="AP20" s="811" t="s">
        <v>79</v>
      </c>
      <c r="AQ20" s="811">
        <v>37</v>
      </c>
      <c r="AR20" s="813">
        <v>33.995138888888889</v>
      </c>
      <c r="AS20" s="811">
        <v>17</v>
      </c>
      <c r="AT20" s="811">
        <v>22</v>
      </c>
      <c r="AU20" s="814">
        <v>39</v>
      </c>
      <c r="AV20" s="811">
        <v>122</v>
      </c>
      <c r="AW20" s="811" t="s">
        <v>2565</v>
      </c>
      <c r="AX20" s="811">
        <v>6</v>
      </c>
      <c r="AY20" s="811">
        <v>15</v>
      </c>
      <c r="AZ20" s="811">
        <v>0</v>
      </c>
      <c r="BA20" s="811">
        <v>5</v>
      </c>
      <c r="BB20" s="811">
        <v>3</v>
      </c>
      <c r="BC20" s="811">
        <v>21</v>
      </c>
      <c r="BD20" s="816">
        <v>0.91875000000000007</v>
      </c>
      <c r="BF20" s="811">
        <v>1</v>
      </c>
      <c r="BG20" s="620" t="s">
        <v>5369</v>
      </c>
      <c r="BH20" s="812" t="s">
        <v>80</v>
      </c>
      <c r="BI20" s="811" t="s">
        <v>79</v>
      </c>
      <c r="BJ20" s="811">
        <v>48</v>
      </c>
      <c r="BK20" s="813">
        <v>44.505555555555553</v>
      </c>
      <c r="BL20" s="811">
        <v>23</v>
      </c>
      <c r="BM20" s="811">
        <v>31</v>
      </c>
      <c r="BN20" s="814">
        <v>54</v>
      </c>
      <c r="BO20" s="811">
        <v>168</v>
      </c>
      <c r="BP20" s="811" t="s">
        <v>5772</v>
      </c>
      <c r="BQ20" s="811">
        <v>8</v>
      </c>
      <c r="BR20" s="811">
        <v>20</v>
      </c>
      <c r="BS20" s="811">
        <v>0</v>
      </c>
      <c r="BT20" s="811">
        <v>6</v>
      </c>
      <c r="BU20" s="811">
        <v>7</v>
      </c>
      <c r="BV20" s="811">
        <v>25</v>
      </c>
      <c r="BW20" s="816">
        <v>0.92708333333333337</v>
      </c>
      <c r="BY20" s="811">
        <v>5</v>
      </c>
      <c r="BZ20" s="620" t="s">
        <v>5369</v>
      </c>
      <c r="CA20" s="812" t="s">
        <v>80</v>
      </c>
      <c r="CB20" s="811" t="s">
        <v>79</v>
      </c>
      <c r="CC20" s="811">
        <v>13</v>
      </c>
      <c r="CD20" s="813">
        <v>12.574305555555556</v>
      </c>
      <c r="CE20" s="811">
        <v>1</v>
      </c>
      <c r="CF20" s="811">
        <v>6</v>
      </c>
      <c r="CG20" s="814">
        <v>7</v>
      </c>
      <c r="CH20" s="811">
        <v>45</v>
      </c>
      <c r="CI20" s="815">
        <v>44593</v>
      </c>
      <c r="CJ20" s="811">
        <v>0</v>
      </c>
      <c r="CK20" s="811">
        <v>2</v>
      </c>
      <c r="CL20" s="811">
        <v>0</v>
      </c>
      <c r="CM20" s="811">
        <v>0</v>
      </c>
      <c r="CN20" s="811">
        <v>-5</v>
      </c>
      <c r="CO20" s="811">
        <v>8</v>
      </c>
      <c r="CP20" s="816">
        <v>0.96666666666666667</v>
      </c>
    </row>
    <row r="21" spans="1:94" ht="18.75" customHeight="1" thickBot="1" x14ac:dyDescent="0.35">
      <c r="A21" s="930">
        <v>13</v>
      </c>
      <c r="B21" t="s">
        <v>4034</v>
      </c>
      <c r="C21" s="812" t="s">
        <v>80</v>
      </c>
      <c r="D21" s="811" t="s">
        <v>88</v>
      </c>
      <c r="E21" s="811">
        <v>13</v>
      </c>
      <c r="F21" s="813">
        <v>9.9500000000000011</v>
      </c>
      <c r="G21" s="811">
        <v>0</v>
      </c>
      <c r="H21" s="811">
        <v>3</v>
      </c>
      <c r="I21" s="814">
        <v>3</v>
      </c>
      <c r="J21" s="811">
        <v>16</v>
      </c>
      <c r="K21" s="811" t="s">
        <v>78</v>
      </c>
      <c r="L21" s="811">
        <v>0</v>
      </c>
      <c r="M21" s="811">
        <v>0</v>
      </c>
      <c r="N21" s="811">
        <v>0</v>
      </c>
      <c r="O21" s="811">
        <v>0</v>
      </c>
      <c r="P21" s="811">
        <v>3</v>
      </c>
      <c r="Q21" s="811">
        <v>14</v>
      </c>
      <c r="R21" s="931">
        <v>0.76527777777777783</v>
      </c>
      <c r="T21" s="930">
        <v>16</v>
      </c>
      <c r="U21" t="s">
        <v>4034</v>
      </c>
      <c r="V21" s="812" t="s">
        <v>80</v>
      </c>
      <c r="W21" s="811" t="s">
        <v>88</v>
      </c>
      <c r="X21" s="811">
        <v>24</v>
      </c>
      <c r="Y21" s="813">
        <v>18.551388888888891</v>
      </c>
      <c r="Z21" s="811">
        <v>1</v>
      </c>
      <c r="AA21" s="811">
        <v>3</v>
      </c>
      <c r="AB21" s="814">
        <v>4</v>
      </c>
      <c r="AC21" s="811">
        <v>23</v>
      </c>
      <c r="AD21" s="815">
        <v>12875</v>
      </c>
      <c r="AE21" s="811">
        <v>0</v>
      </c>
      <c r="AF21" s="811">
        <v>0</v>
      </c>
      <c r="AG21" s="811">
        <v>0</v>
      </c>
      <c r="AH21" s="811">
        <v>0</v>
      </c>
      <c r="AI21" s="811">
        <v>5</v>
      </c>
      <c r="AJ21" s="811">
        <v>20</v>
      </c>
      <c r="AK21" s="931">
        <v>0.7729166666666667</v>
      </c>
      <c r="AM21" s="811">
        <v>15</v>
      </c>
      <c r="AN21" t="s">
        <v>4034</v>
      </c>
      <c r="AO21" s="812" t="s">
        <v>80</v>
      </c>
      <c r="AP21" s="811" t="s">
        <v>88</v>
      </c>
      <c r="AQ21" s="811">
        <v>38</v>
      </c>
      <c r="AR21" s="813">
        <v>27.747916666666669</v>
      </c>
      <c r="AS21" s="811">
        <v>1</v>
      </c>
      <c r="AT21" s="811">
        <v>5</v>
      </c>
      <c r="AU21" s="814">
        <v>6</v>
      </c>
      <c r="AV21" s="811">
        <v>31</v>
      </c>
      <c r="AW21" s="815">
        <v>44986</v>
      </c>
      <c r="AX21" s="811">
        <v>0</v>
      </c>
      <c r="AY21" s="811">
        <v>0</v>
      </c>
      <c r="AZ21" s="811">
        <v>0</v>
      </c>
      <c r="BA21" s="811">
        <v>0</v>
      </c>
      <c r="BB21" s="811">
        <v>6</v>
      </c>
      <c r="BC21" s="811">
        <v>28</v>
      </c>
      <c r="BD21" s="816">
        <v>0.72986111111111107</v>
      </c>
      <c r="BF21" s="811">
        <v>14</v>
      </c>
      <c r="BG21" s="620" t="s">
        <v>4034</v>
      </c>
      <c r="BH21" s="812" t="s">
        <v>80</v>
      </c>
      <c r="BI21" s="811" t="s">
        <v>88</v>
      </c>
      <c r="BJ21" s="811">
        <v>50</v>
      </c>
      <c r="BK21" s="813">
        <v>34.479166666666664</v>
      </c>
      <c r="BL21" s="811">
        <v>1</v>
      </c>
      <c r="BM21" s="811">
        <v>6</v>
      </c>
      <c r="BN21" s="814">
        <v>7</v>
      </c>
      <c r="BO21" s="811">
        <v>39</v>
      </c>
      <c r="BP21" s="815">
        <v>20486</v>
      </c>
      <c r="BQ21" s="811">
        <v>0</v>
      </c>
      <c r="BR21" s="811">
        <v>0</v>
      </c>
      <c r="BS21" s="811">
        <v>0</v>
      </c>
      <c r="BT21" s="811">
        <v>0</v>
      </c>
      <c r="BU21" s="811">
        <v>2</v>
      </c>
      <c r="BV21" s="811">
        <v>28</v>
      </c>
      <c r="BW21" s="816">
        <v>0.68958333333333333</v>
      </c>
      <c r="BY21" s="811">
        <v>15</v>
      </c>
      <c r="BZ21" s="620" t="s">
        <v>4034</v>
      </c>
      <c r="CA21" s="812" t="s">
        <v>80</v>
      </c>
      <c r="CB21" s="811" t="s">
        <v>88</v>
      </c>
      <c r="CC21" s="811">
        <v>13</v>
      </c>
      <c r="CD21" s="813">
        <v>7.5708333333333337</v>
      </c>
      <c r="CE21" s="811">
        <v>1</v>
      </c>
      <c r="CF21" s="811">
        <v>1</v>
      </c>
      <c r="CG21" s="814">
        <v>2</v>
      </c>
      <c r="CH21" s="811">
        <v>12</v>
      </c>
      <c r="CI21" s="815">
        <v>12267</v>
      </c>
      <c r="CJ21" s="811">
        <v>0</v>
      </c>
      <c r="CK21" s="811">
        <v>0</v>
      </c>
      <c r="CL21" s="811">
        <v>0</v>
      </c>
      <c r="CM21" s="811">
        <v>0</v>
      </c>
      <c r="CN21" s="811">
        <v>2</v>
      </c>
      <c r="CO21" s="811">
        <v>0</v>
      </c>
      <c r="CP21" s="816">
        <v>0.58194444444444449</v>
      </c>
    </row>
    <row r="22" spans="1:94" ht="18.75" customHeight="1" thickBot="1" x14ac:dyDescent="0.35">
      <c r="A22" s="930">
        <v>21</v>
      </c>
      <c r="B22" t="s">
        <v>3622</v>
      </c>
      <c r="C22" s="812" t="s">
        <v>80</v>
      </c>
      <c r="D22" s="811" t="s">
        <v>79</v>
      </c>
      <c r="E22" s="811">
        <v>6</v>
      </c>
      <c r="F22" s="813">
        <v>2.6465277777777776</v>
      </c>
      <c r="G22" s="811">
        <v>0</v>
      </c>
      <c r="H22" s="811">
        <v>0</v>
      </c>
      <c r="I22" s="814">
        <v>0</v>
      </c>
      <c r="J22" s="811">
        <v>8</v>
      </c>
      <c r="K22" s="811" t="s">
        <v>78</v>
      </c>
      <c r="L22" s="811">
        <v>0</v>
      </c>
      <c r="M22" s="811">
        <v>0</v>
      </c>
      <c r="N22" s="811">
        <v>0</v>
      </c>
      <c r="O22" s="811">
        <v>0</v>
      </c>
      <c r="P22" s="811">
        <v>-2</v>
      </c>
      <c r="Q22" s="811">
        <v>2</v>
      </c>
      <c r="R22" s="931">
        <v>0.44097222222222227</v>
      </c>
      <c r="T22" s="930">
        <v>20</v>
      </c>
      <c r="U22" s="939" t="s">
        <v>3622</v>
      </c>
      <c r="V22" s="812" t="s">
        <v>80</v>
      </c>
      <c r="W22" s="811" t="s">
        <v>79</v>
      </c>
      <c r="X22" s="811">
        <v>14</v>
      </c>
      <c r="Y22" s="813">
        <v>6.270833333333333</v>
      </c>
      <c r="Z22" s="811">
        <v>1</v>
      </c>
      <c r="AA22" s="811">
        <v>0</v>
      </c>
      <c r="AB22" s="814">
        <v>1</v>
      </c>
      <c r="AC22" s="811">
        <v>18</v>
      </c>
      <c r="AD22" s="815">
        <v>20576</v>
      </c>
      <c r="AE22" s="811">
        <v>0</v>
      </c>
      <c r="AF22" s="811">
        <v>0</v>
      </c>
      <c r="AG22" s="811">
        <v>0</v>
      </c>
      <c r="AH22" s="811">
        <v>1</v>
      </c>
      <c r="AI22" s="811">
        <v>-2</v>
      </c>
      <c r="AJ22" s="811">
        <v>2</v>
      </c>
      <c r="AK22" s="931">
        <v>0.44791666666666669</v>
      </c>
      <c r="AM22" s="811">
        <v>23</v>
      </c>
      <c r="AN22" t="s">
        <v>3622</v>
      </c>
      <c r="AO22" s="812" t="s">
        <v>80</v>
      </c>
      <c r="AP22" s="811" t="s">
        <v>79</v>
      </c>
      <c r="AQ22" s="811">
        <v>25</v>
      </c>
      <c r="AR22" s="813">
        <v>10.219444444444445</v>
      </c>
      <c r="AS22" s="811">
        <v>1</v>
      </c>
      <c r="AT22" s="811">
        <v>0</v>
      </c>
      <c r="AU22" s="814">
        <v>1</v>
      </c>
      <c r="AV22" s="811">
        <v>30</v>
      </c>
      <c r="AW22" s="815">
        <v>12114</v>
      </c>
      <c r="AX22" s="811">
        <v>0</v>
      </c>
      <c r="AY22" s="811">
        <v>0</v>
      </c>
      <c r="AZ22" s="811">
        <v>0</v>
      </c>
      <c r="BA22" s="811">
        <v>1</v>
      </c>
      <c r="BB22" s="811">
        <v>-7</v>
      </c>
      <c r="BC22" s="811">
        <v>6</v>
      </c>
      <c r="BD22" s="816">
        <v>0.40833333333333338</v>
      </c>
      <c r="BF22" s="811">
        <v>21</v>
      </c>
      <c r="BG22" s="620" t="s">
        <v>3622</v>
      </c>
      <c r="BH22" s="812" t="s">
        <v>80</v>
      </c>
      <c r="BI22" s="811" t="s">
        <v>79</v>
      </c>
      <c r="BJ22" s="811">
        <v>37</v>
      </c>
      <c r="BK22" s="813">
        <v>13.732638888888889</v>
      </c>
      <c r="BL22" s="811">
        <v>2</v>
      </c>
      <c r="BM22" s="811">
        <v>1</v>
      </c>
      <c r="BN22" s="814">
        <v>3</v>
      </c>
      <c r="BO22" s="811">
        <v>34</v>
      </c>
      <c r="BP22" s="815">
        <v>32264</v>
      </c>
      <c r="BQ22" s="811">
        <v>0</v>
      </c>
      <c r="BR22" s="811">
        <v>0</v>
      </c>
      <c r="BS22" s="811">
        <v>0</v>
      </c>
      <c r="BT22" s="811">
        <v>1</v>
      </c>
      <c r="BU22" s="811">
        <v>-10</v>
      </c>
      <c r="BV22" s="811">
        <v>8</v>
      </c>
      <c r="BW22" s="816">
        <v>0.37083333333333335</v>
      </c>
      <c r="BY22" s="811">
        <v>13</v>
      </c>
      <c r="BZ22" s="620" t="s">
        <v>3622</v>
      </c>
      <c r="CA22" s="812" t="s">
        <v>80</v>
      </c>
      <c r="CB22" s="811" t="s">
        <v>79</v>
      </c>
      <c r="CC22" s="811">
        <v>13</v>
      </c>
      <c r="CD22" s="813">
        <v>3.1583333333333332</v>
      </c>
      <c r="CE22" s="811">
        <v>2</v>
      </c>
      <c r="CF22" s="811">
        <v>0</v>
      </c>
      <c r="CG22" s="814">
        <v>2</v>
      </c>
      <c r="CH22" s="811">
        <v>9</v>
      </c>
      <c r="CI22" s="811" t="s">
        <v>5374</v>
      </c>
      <c r="CJ22" s="811">
        <v>0</v>
      </c>
      <c r="CK22" s="811">
        <v>0</v>
      </c>
      <c r="CL22" s="811">
        <v>0</v>
      </c>
      <c r="CM22" s="811">
        <v>0</v>
      </c>
      <c r="CN22" s="811">
        <v>1</v>
      </c>
      <c r="CO22" s="811">
        <v>8</v>
      </c>
      <c r="CP22" s="816">
        <v>0.24236111111111111</v>
      </c>
    </row>
    <row r="23" spans="1:94" ht="18.75" customHeight="1" thickBot="1" x14ac:dyDescent="0.35">
      <c r="A23" s="930">
        <v>3</v>
      </c>
      <c r="B23" t="s">
        <v>5370</v>
      </c>
      <c r="C23" s="812" t="s">
        <v>80</v>
      </c>
      <c r="D23" s="811" t="s">
        <v>79</v>
      </c>
      <c r="E23" s="811">
        <v>13</v>
      </c>
      <c r="F23" s="813">
        <v>8.6888888888888882</v>
      </c>
      <c r="G23" s="811">
        <v>7</v>
      </c>
      <c r="H23" s="811">
        <v>4</v>
      </c>
      <c r="I23" s="814">
        <v>11</v>
      </c>
      <c r="J23" s="811">
        <v>31</v>
      </c>
      <c r="K23" s="811" t="s">
        <v>1609</v>
      </c>
      <c r="L23" s="811">
        <v>4</v>
      </c>
      <c r="M23" s="811">
        <v>5</v>
      </c>
      <c r="N23" s="811">
        <v>0</v>
      </c>
      <c r="O23" s="811">
        <v>1</v>
      </c>
      <c r="P23" s="811">
        <v>2</v>
      </c>
      <c r="Q23" s="811">
        <v>0</v>
      </c>
      <c r="R23" s="931">
        <v>0.66805555555555562</v>
      </c>
      <c r="T23" s="930">
        <v>4</v>
      </c>
      <c r="U23" s="939" t="s">
        <v>5370</v>
      </c>
      <c r="V23" s="812" t="s">
        <v>80</v>
      </c>
      <c r="W23" s="811" t="s">
        <v>79</v>
      </c>
      <c r="X23" s="811">
        <v>26</v>
      </c>
      <c r="Y23" s="813">
        <v>18.28125</v>
      </c>
      <c r="Z23" s="811">
        <v>10</v>
      </c>
      <c r="AA23" s="811">
        <v>7</v>
      </c>
      <c r="AB23" s="814">
        <v>17</v>
      </c>
      <c r="AC23" s="811">
        <v>62</v>
      </c>
      <c r="AD23" s="811" t="s">
        <v>1340</v>
      </c>
      <c r="AE23" s="811">
        <v>4</v>
      </c>
      <c r="AF23" s="811">
        <v>6</v>
      </c>
      <c r="AG23" s="811">
        <v>0</v>
      </c>
      <c r="AH23" s="811">
        <v>1</v>
      </c>
      <c r="AI23" s="811">
        <v>0</v>
      </c>
      <c r="AJ23" s="811">
        <v>2</v>
      </c>
      <c r="AK23" s="931">
        <v>0.70277777777777783</v>
      </c>
      <c r="AM23" s="811">
        <v>4</v>
      </c>
      <c r="AN23" t="s">
        <v>5370</v>
      </c>
      <c r="AO23" s="812" t="s">
        <v>80</v>
      </c>
      <c r="AP23" s="811" t="s">
        <v>79</v>
      </c>
      <c r="AQ23" s="811">
        <v>40</v>
      </c>
      <c r="AR23" s="813">
        <v>29.150000000000002</v>
      </c>
      <c r="AS23" s="811">
        <v>18</v>
      </c>
      <c r="AT23" s="811">
        <v>12</v>
      </c>
      <c r="AU23" s="814">
        <v>30</v>
      </c>
      <c r="AV23" s="811">
        <v>95</v>
      </c>
      <c r="AW23" s="811" t="s">
        <v>1317</v>
      </c>
      <c r="AX23" s="811">
        <v>5</v>
      </c>
      <c r="AY23" s="811">
        <v>9</v>
      </c>
      <c r="AZ23" s="811">
        <v>0</v>
      </c>
      <c r="BA23" s="811">
        <v>2</v>
      </c>
      <c r="BB23" s="811">
        <v>-3</v>
      </c>
      <c r="BC23" s="811">
        <v>2</v>
      </c>
      <c r="BD23" s="816">
        <v>0.7284722222222223</v>
      </c>
      <c r="BF23" s="811">
        <v>3</v>
      </c>
      <c r="BG23" s="620" t="s">
        <v>5370</v>
      </c>
      <c r="BH23" s="812" t="s">
        <v>80</v>
      </c>
      <c r="BI23" s="811" t="s">
        <v>79</v>
      </c>
      <c r="BJ23" s="811">
        <v>51</v>
      </c>
      <c r="BK23" s="813">
        <v>38.023611111111109</v>
      </c>
      <c r="BL23" s="811">
        <v>24</v>
      </c>
      <c r="BM23" s="811">
        <v>15</v>
      </c>
      <c r="BN23" s="814">
        <v>39</v>
      </c>
      <c r="BO23" s="811">
        <v>129</v>
      </c>
      <c r="BP23" s="811" t="s">
        <v>5773</v>
      </c>
      <c r="BQ23" s="811">
        <v>10</v>
      </c>
      <c r="BR23" s="811">
        <v>15</v>
      </c>
      <c r="BS23" s="811">
        <v>0</v>
      </c>
      <c r="BT23" s="811">
        <v>2</v>
      </c>
      <c r="BU23" s="811">
        <v>-10</v>
      </c>
      <c r="BV23" s="811">
        <v>24</v>
      </c>
      <c r="BW23" s="816">
        <v>0.74513888888888891</v>
      </c>
      <c r="BY23" s="811">
        <v>2</v>
      </c>
      <c r="BZ23" s="620" t="s">
        <v>5370</v>
      </c>
      <c r="CA23" s="812" t="s">
        <v>80</v>
      </c>
      <c r="CB23" s="811" t="s">
        <v>79</v>
      </c>
      <c r="CC23" s="811">
        <v>13</v>
      </c>
      <c r="CD23" s="813">
        <v>10.852083333333333</v>
      </c>
      <c r="CE23" s="811">
        <v>7</v>
      </c>
      <c r="CF23" s="811">
        <v>3</v>
      </c>
      <c r="CG23" s="814">
        <v>10</v>
      </c>
      <c r="CH23" s="811">
        <v>35</v>
      </c>
      <c r="CI23" s="811" t="s">
        <v>217</v>
      </c>
      <c r="CJ23" s="811">
        <v>3</v>
      </c>
      <c r="CK23" s="811">
        <v>4</v>
      </c>
      <c r="CL23" s="811">
        <v>0</v>
      </c>
      <c r="CM23" s="811">
        <v>0</v>
      </c>
      <c r="CN23" s="811">
        <v>1</v>
      </c>
      <c r="CO23" s="811">
        <v>2</v>
      </c>
      <c r="CP23" s="816">
        <v>0.83472222222222225</v>
      </c>
    </row>
    <row r="24" spans="1:94" ht="18.75" customHeight="1" thickBot="1" x14ac:dyDescent="0.35">
      <c r="A24" s="932">
        <v>22</v>
      </c>
      <c r="B24" s="313" t="s">
        <v>5078</v>
      </c>
      <c r="C24" s="933" t="s">
        <v>80</v>
      </c>
      <c r="D24" s="934" t="s">
        <v>88</v>
      </c>
      <c r="E24" s="934">
        <v>12</v>
      </c>
      <c r="F24" s="935">
        <v>5.072916666666667</v>
      </c>
      <c r="G24" s="934">
        <v>0</v>
      </c>
      <c r="H24" s="934">
        <v>0</v>
      </c>
      <c r="I24" s="936">
        <v>0</v>
      </c>
      <c r="J24" s="934">
        <v>13</v>
      </c>
      <c r="K24" s="934" t="s">
        <v>78</v>
      </c>
      <c r="L24" s="934">
        <v>0</v>
      </c>
      <c r="M24" s="934">
        <v>0</v>
      </c>
      <c r="N24" s="934">
        <v>0</v>
      </c>
      <c r="O24" s="934">
        <v>0</v>
      </c>
      <c r="P24" s="934">
        <v>2</v>
      </c>
      <c r="Q24" s="934">
        <v>35</v>
      </c>
      <c r="R24" s="937">
        <v>0.42222222222222222</v>
      </c>
      <c r="T24" s="932">
        <v>26</v>
      </c>
      <c r="U24" s="940" t="s">
        <v>5078</v>
      </c>
      <c r="V24" s="933" t="s">
        <v>80</v>
      </c>
      <c r="W24" s="934" t="s">
        <v>88</v>
      </c>
      <c r="X24" s="934">
        <v>25</v>
      </c>
      <c r="Y24" s="935">
        <v>12.056944444444445</v>
      </c>
      <c r="Z24" s="934">
        <v>0</v>
      </c>
      <c r="AA24" s="934">
        <v>0</v>
      </c>
      <c r="AB24" s="936">
        <v>0</v>
      </c>
      <c r="AC24" s="934">
        <v>23</v>
      </c>
      <c r="AD24" s="934" t="s">
        <v>78</v>
      </c>
      <c r="AE24" s="934">
        <v>0</v>
      </c>
      <c r="AF24" s="934">
        <v>0</v>
      </c>
      <c r="AG24" s="934">
        <v>0</v>
      </c>
      <c r="AH24" s="934">
        <v>0</v>
      </c>
      <c r="AI24" s="934">
        <v>-2</v>
      </c>
      <c r="AJ24" s="934">
        <v>39</v>
      </c>
      <c r="AK24" s="937">
        <v>0.48194444444444445</v>
      </c>
      <c r="AM24" s="811">
        <v>20</v>
      </c>
      <c r="AN24" t="s">
        <v>5078</v>
      </c>
      <c r="AO24" s="812" t="s">
        <v>80</v>
      </c>
      <c r="AP24" s="811" t="s">
        <v>88</v>
      </c>
      <c r="AQ24" s="811">
        <v>39</v>
      </c>
      <c r="AR24" s="813">
        <v>17.981944444444444</v>
      </c>
      <c r="AS24" s="811">
        <v>2</v>
      </c>
      <c r="AT24" s="811">
        <v>1</v>
      </c>
      <c r="AU24" s="814">
        <v>3</v>
      </c>
      <c r="AV24" s="811">
        <v>35</v>
      </c>
      <c r="AW24" s="815">
        <v>26054</v>
      </c>
      <c r="AX24" s="811">
        <v>0</v>
      </c>
      <c r="AY24" s="811">
        <v>0</v>
      </c>
      <c r="AZ24" s="811">
        <v>0</v>
      </c>
      <c r="BA24" s="811">
        <v>0</v>
      </c>
      <c r="BB24" s="811">
        <v>1</v>
      </c>
      <c r="BC24" s="811">
        <v>50</v>
      </c>
      <c r="BD24" s="816">
        <v>0.4604166666666667</v>
      </c>
      <c r="BF24" s="811">
        <v>22</v>
      </c>
      <c r="BG24" s="620" t="s">
        <v>5078</v>
      </c>
      <c r="BH24" s="812" t="s">
        <v>80</v>
      </c>
      <c r="BI24" s="811" t="s">
        <v>88</v>
      </c>
      <c r="BJ24" s="811">
        <v>51</v>
      </c>
      <c r="BK24" s="813">
        <v>22.965277777777779</v>
      </c>
      <c r="BL24" s="811">
        <v>2</v>
      </c>
      <c r="BM24" s="811">
        <v>1</v>
      </c>
      <c r="BN24" s="814">
        <v>3</v>
      </c>
      <c r="BO24" s="811">
        <v>43</v>
      </c>
      <c r="BP24" s="815">
        <v>23833</v>
      </c>
      <c r="BQ24" s="811">
        <v>0</v>
      </c>
      <c r="BR24" s="811">
        <v>0</v>
      </c>
      <c r="BS24" s="811">
        <v>0</v>
      </c>
      <c r="BT24" s="811">
        <v>0</v>
      </c>
      <c r="BU24" s="811">
        <v>3</v>
      </c>
      <c r="BV24" s="811">
        <v>54</v>
      </c>
      <c r="BW24" s="816">
        <v>0.45</v>
      </c>
      <c r="BY24" s="817">
        <v>14</v>
      </c>
      <c r="BZ24" s="627" t="s">
        <v>5078</v>
      </c>
      <c r="CA24" s="818" t="s">
        <v>80</v>
      </c>
      <c r="CB24" s="817" t="s">
        <v>88</v>
      </c>
      <c r="CC24" s="817">
        <v>13</v>
      </c>
      <c r="CD24" s="819">
        <v>7.4111111111111114</v>
      </c>
      <c r="CE24" s="817">
        <v>1</v>
      </c>
      <c r="CF24" s="817">
        <v>1</v>
      </c>
      <c r="CG24" s="820">
        <v>2</v>
      </c>
      <c r="CH24" s="817">
        <v>5</v>
      </c>
      <c r="CI24" s="817" t="s">
        <v>217</v>
      </c>
      <c r="CJ24" s="817">
        <v>0</v>
      </c>
      <c r="CK24" s="817">
        <v>0</v>
      </c>
      <c r="CL24" s="817">
        <v>0</v>
      </c>
      <c r="CM24" s="817">
        <v>0</v>
      </c>
      <c r="CN24" s="817">
        <v>-2</v>
      </c>
      <c r="CO24" s="817">
        <v>4</v>
      </c>
      <c r="CP24" s="822">
        <v>0.56944444444444442</v>
      </c>
    </row>
    <row r="25" spans="1:94" ht="28.5" customHeight="1" x14ac:dyDescent="0.3"/>
    <row r="27" spans="1:94" ht="15" thickBot="1" x14ac:dyDescent="0.35"/>
    <row r="28" spans="1:94" ht="15" thickBot="1" x14ac:dyDescent="0.35">
      <c r="T28" s="923">
        <v>23</v>
      </c>
      <c r="U28" s="309" t="s">
        <v>5614</v>
      </c>
      <c r="V28" s="924" t="s">
        <v>80</v>
      </c>
      <c r="W28" s="925" t="s">
        <v>88</v>
      </c>
      <c r="X28" s="925">
        <v>2</v>
      </c>
      <c r="Y28" s="941">
        <v>0.26805555555555555</v>
      </c>
      <c r="Z28" s="925">
        <v>0</v>
      </c>
      <c r="AA28" s="925">
        <v>0</v>
      </c>
      <c r="AB28" s="927">
        <v>0</v>
      </c>
      <c r="AC28" s="925">
        <v>1</v>
      </c>
      <c r="AD28" s="925" t="s">
        <v>78</v>
      </c>
      <c r="AE28" s="925">
        <v>0</v>
      </c>
      <c r="AF28" s="925">
        <v>0</v>
      </c>
      <c r="AG28" s="925">
        <v>0</v>
      </c>
      <c r="AH28" s="925">
        <v>0</v>
      </c>
      <c r="AI28" s="925">
        <v>-1</v>
      </c>
      <c r="AJ28" s="925">
        <v>0</v>
      </c>
      <c r="AK28" s="929">
        <v>0.13402777777777777</v>
      </c>
      <c r="AM28" s="811">
        <v>26</v>
      </c>
      <c r="AN28" s="939" t="s">
        <v>5614</v>
      </c>
      <c r="AO28" s="812" t="s">
        <v>80</v>
      </c>
      <c r="AP28" s="811" t="s">
        <v>88</v>
      </c>
      <c r="AQ28" s="811">
        <v>2</v>
      </c>
      <c r="AR28" s="816">
        <v>0.26805555555555555</v>
      </c>
      <c r="AS28" s="811">
        <v>0</v>
      </c>
      <c r="AT28" s="811">
        <v>0</v>
      </c>
      <c r="AU28" s="814">
        <v>0</v>
      </c>
      <c r="AV28" s="811">
        <v>1</v>
      </c>
      <c r="AW28" s="811" t="s">
        <v>78</v>
      </c>
      <c r="AX28" s="811">
        <v>0</v>
      </c>
      <c r="AY28" s="811">
        <v>0</v>
      </c>
      <c r="AZ28" s="811">
        <v>0</v>
      </c>
      <c r="BA28" s="811">
        <v>0</v>
      </c>
      <c r="BB28" s="811">
        <v>-1</v>
      </c>
      <c r="BC28" s="811">
        <v>0</v>
      </c>
      <c r="BD28" s="816">
        <v>0.13402777777777777</v>
      </c>
      <c r="BF28" s="811">
        <v>26</v>
      </c>
      <c r="BG28" s="620" t="s">
        <v>5614</v>
      </c>
      <c r="BH28" s="812" t="s">
        <v>80</v>
      </c>
      <c r="BI28" s="811" t="s">
        <v>88</v>
      </c>
      <c r="BJ28" s="811">
        <v>2</v>
      </c>
      <c r="BK28" s="816">
        <v>0.26805555555555555</v>
      </c>
      <c r="BL28" s="811">
        <v>0</v>
      </c>
      <c r="BM28" s="811">
        <v>0</v>
      </c>
      <c r="BN28" s="814">
        <v>0</v>
      </c>
      <c r="BO28" s="811">
        <v>1</v>
      </c>
      <c r="BP28" s="811" t="s">
        <v>78</v>
      </c>
      <c r="BQ28" s="811">
        <v>0</v>
      </c>
      <c r="BR28" s="811">
        <v>0</v>
      </c>
      <c r="BS28" s="811">
        <v>0</v>
      </c>
      <c r="BT28" s="811">
        <v>0</v>
      </c>
      <c r="BU28" s="811">
        <v>-1</v>
      </c>
      <c r="BV28" s="811">
        <v>0</v>
      </c>
      <c r="BW28" s="816">
        <v>0.13402777777777777</v>
      </c>
      <c r="BY28" s="811">
        <v>18</v>
      </c>
      <c r="BZ28" s="620" t="s">
        <v>82</v>
      </c>
      <c r="CA28" s="812" t="s">
        <v>80</v>
      </c>
      <c r="CB28" s="811" t="s">
        <v>79</v>
      </c>
      <c r="CC28" s="811">
        <v>4</v>
      </c>
      <c r="CD28" s="813">
        <v>2.0874999999999999</v>
      </c>
      <c r="CE28" s="811">
        <v>0</v>
      </c>
      <c r="CF28" s="811">
        <v>1</v>
      </c>
      <c r="CG28" s="814">
        <v>1</v>
      </c>
      <c r="CH28" s="811">
        <v>4</v>
      </c>
      <c r="CI28" s="811" t="s">
        <v>78</v>
      </c>
      <c r="CJ28" s="811">
        <v>0</v>
      </c>
      <c r="CK28" s="811">
        <v>0</v>
      </c>
      <c r="CL28" s="811">
        <v>0</v>
      </c>
      <c r="CM28" s="811">
        <v>0</v>
      </c>
      <c r="CN28" s="811">
        <v>0</v>
      </c>
      <c r="CO28" s="811">
        <v>0</v>
      </c>
      <c r="CP28" s="816">
        <v>0.52152777777777781</v>
      </c>
    </row>
    <row r="29" spans="1:94" ht="15" thickBot="1" x14ac:dyDescent="0.35">
      <c r="T29" s="930">
        <v>24</v>
      </c>
      <c r="U29" t="s">
        <v>82</v>
      </c>
      <c r="V29" s="812" t="s">
        <v>80</v>
      </c>
      <c r="W29" s="811" t="s">
        <v>79</v>
      </c>
      <c r="X29" s="811">
        <v>2</v>
      </c>
      <c r="Y29" s="816">
        <v>0.8354166666666667</v>
      </c>
      <c r="Z29" s="811">
        <v>0</v>
      </c>
      <c r="AA29" s="811">
        <v>0</v>
      </c>
      <c r="AB29" s="814">
        <v>0</v>
      </c>
      <c r="AC29" s="811">
        <v>2</v>
      </c>
      <c r="AD29" s="811" t="s">
        <v>78</v>
      </c>
      <c r="AE29" s="811">
        <v>0</v>
      </c>
      <c r="AF29" s="811">
        <v>0</v>
      </c>
      <c r="AG29" s="811">
        <v>0</v>
      </c>
      <c r="AH29" s="811">
        <v>0</v>
      </c>
      <c r="AI29" s="811">
        <v>0</v>
      </c>
      <c r="AJ29" s="811">
        <v>0</v>
      </c>
      <c r="AK29" s="931">
        <v>0.41736111111111113</v>
      </c>
      <c r="AM29" s="811">
        <v>18</v>
      </c>
      <c r="AN29" s="939" t="s">
        <v>82</v>
      </c>
      <c r="AO29" s="812" t="s">
        <v>80</v>
      </c>
      <c r="AP29" s="811" t="s">
        <v>79</v>
      </c>
      <c r="AQ29" s="811">
        <v>9</v>
      </c>
      <c r="AR29" s="813">
        <v>5.0743055555555552</v>
      </c>
      <c r="AS29" s="811">
        <v>0</v>
      </c>
      <c r="AT29" s="811">
        <v>4</v>
      </c>
      <c r="AU29" s="814">
        <v>4</v>
      </c>
      <c r="AV29" s="811">
        <v>6</v>
      </c>
      <c r="AW29" s="811" t="s">
        <v>78</v>
      </c>
      <c r="AX29" s="811">
        <v>0</v>
      </c>
      <c r="AY29" s="811">
        <v>0</v>
      </c>
      <c r="AZ29" s="811">
        <v>0</v>
      </c>
      <c r="BA29" s="811">
        <v>0</v>
      </c>
      <c r="BB29" s="811">
        <v>5</v>
      </c>
      <c r="BC29" s="811">
        <v>0</v>
      </c>
      <c r="BD29" s="816">
        <v>0.56319444444444444</v>
      </c>
      <c r="BF29" s="811">
        <v>20</v>
      </c>
      <c r="BG29" s="620" t="s">
        <v>82</v>
      </c>
      <c r="BH29" s="812" t="s">
        <v>80</v>
      </c>
      <c r="BI29" s="811" t="s">
        <v>79</v>
      </c>
      <c r="BJ29" s="811">
        <v>11</v>
      </c>
      <c r="BK29" s="813">
        <v>6.302083333333333</v>
      </c>
      <c r="BL29" s="811">
        <v>0</v>
      </c>
      <c r="BM29" s="811">
        <v>4</v>
      </c>
      <c r="BN29" s="814">
        <v>4</v>
      </c>
      <c r="BO29" s="811">
        <v>7</v>
      </c>
      <c r="BP29" s="811" t="s">
        <v>78</v>
      </c>
      <c r="BQ29" s="811">
        <v>0</v>
      </c>
      <c r="BR29" s="811">
        <v>0</v>
      </c>
      <c r="BS29" s="811">
        <v>0</v>
      </c>
      <c r="BT29" s="811">
        <v>0</v>
      </c>
      <c r="BU29" s="811">
        <v>3</v>
      </c>
      <c r="BV29" s="811">
        <v>0</v>
      </c>
      <c r="BW29" s="816">
        <v>0.57291666666666663</v>
      </c>
    </row>
    <row r="30" spans="1:94" ht="15" thickBot="1" x14ac:dyDescent="0.35">
      <c r="T30" s="930">
        <v>21</v>
      </c>
      <c r="U30" t="s">
        <v>1224</v>
      </c>
      <c r="V30" s="812" t="s">
        <v>80</v>
      </c>
      <c r="W30" s="811" t="s">
        <v>88</v>
      </c>
      <c r="X30" s="811">
        <v>5</v>
      </c>
      <c r="Y30" s="813">
        <v>1.5541666666666665</v>
      </c>
      <c r="Z30" s="811">
        <v>0</v>
      </c>
      <c r="AA30" s="811">
        <v>1</v>
      </c>
      <c r="AB30" s="814">
        <v>1</v>
      </c>
      <c r="AC30" s="811">
        <v>2</v>
      </c>
      <c r="AD30" s="811" t="s">
        <v>78</v>
      </c>
      <c r="AE30" s="811">
        <v>0</v>
      </c>
      <c r="AF30" s="811">
        <v>0</v>
      </c>
      <c r="AG30" s="811">
        <v>0</v>
      </c>
      <c r="AH30" s="811">
        <v>0</v>
      </c>
      <c r="AI30" s="811">
        <v>2</v>
      </c>
      <c r="AJ30" s="811">
        <v>2</v>
      </c>
      <c r="AK30" s="931">
        <v>0.31041666666666667</v>
      </c>
      <c r="AM30" s="811">
        <v>24</v>
      </c>
      <c r="AN30" s="939" t="s">
        <v>1224</v>
      </c>
      <c r="AO30" s="812" t="s">
        <v>80</v>
      </c>
      <c r="AP30" s="811" t="s">
        <v>88</v>
      </c>
      <c r="AQ30" s="811">
        <v>8</v>
      </c>
      <c r="AR30" s="813">
        <v>2.5138888888888888</v>
      </c>
      <c r="AS30" s="811">
        <v>0</v>
      </c>
      <c r="AT30" s="811">
        <v>1</v>
      </c>
      <c r="AU30" s="814">
        <v>1</v>
      </c>
      <c r="AV30" s="811">
        <v>3</v>
      </c>
      <c r="AW30" s="811" t="s">
        <v>78</v>
      </c>
      <c r="AX30" s="811">
        <v>0</v>
      </c>
      <c r="AY30" s="811">
        <v>0</v>
      </c>
      <c r="AZ30" s="811">
        <v>0</v>
      </c>
      <c r="BA30" s="811">
        <v>0</v>
      </c>
      <c r="BB30" s="811">
        <v>0</v>
      </c>
      <c r="BC30" s="811">
        <v>2</v>
      </c>
      <c r="BD30" s="816">
        <v>0.31388888888888888</v>
      </c>
      <c r="BF30" s="811">
        <v>24</v>
      </c>
      <c r="BG30" s="620" t="s">
        <v>1224</v>
      </c>
      <c r="BH30" s="812" t="s">
        <v>80</v>
      </c>
      <c r="BI30" s="811" t="s">
        <v>88</v>
      </c>
      <c r="BJ30" s="811">
        <v>8</v>
      </c>
      <c r="BK30" s="813">
        <v>2.5138888888888888</v>
      </c>
      <c r="BL30" s="811">
        <v>0</v>
      </c>
      <c r="BM30" s="811">
        <v>1</v>
      </c>
      <c r="BN30" s="814">
        <v>1</v>
      </c>
      <c r="BO30" s="811">
        <v>3</v>
      </c>
      <c r="BP30" s="811" t="s">
        <v>78</v>
      </c>
      <c r="BQ30" s="811">
        <v>0</v>
      </c>
      <c r="BR30" s="811">
        <v>0</v>
      </c>
      <c r="BS30" s="811">
        <v>0</v>
      </c>
      <c r="BT30" s="811">
        <v>0</v>
      </c>
      <c r="BU30" s="811">
        <v>0</v>
      </c>
      <c r="BV30" s="811">
        <v>2</v>
      </c>
      <c r="BW30" s="816">
        <v>0.31388888888888888</v>
      </c>
    </row>
    <row r="31" spans="1:94" ht="15" thickBot="1" x14ac:dyDescent="0.35">
      <c r="T31" s="932">
        <v>22</v>
      </c>
      <c r="U31" s="940" t="s">
        <v>5613</v>
      </c>
      <c r="V31" s="933" t="s">
        <v>80</v>
      </c>
      <c r="W31" s="934" t="s">
        <v>79</v>
      </c>
      <c r="X31" s="934">
        <v>1</v>
      </c>
      <c r="Y31" s="942">
        <v>0.42708333333333331</v>
      </c>
      <c r="Z31" s="934">
        <v>0</v>
      </c>
      <c r="AA31" s="934">
        <v>0</v>
      </c>
      <c r="AB31" s="936">
        <v>0</v>
      </c>
      <c r="AC31" s="934">
        <v>1</v>
      </c>
      <c r="AD31" s="934" t="s">
        <v>78</v>
      </c>
      <c r="AE31" s="934">
        <v>0</v>
      </c>
      <c r="AF31" s="934">
        <v>0</v>
      </c>
      <c r="AG31" s="934">
        <v>0</v>
      </c>
      <c r="AH31" s="934">
        <v>0</v>
      </c>
      <c r="AI31" s="934">
        <v>-1</v>
      </c>
      <c r="AJ31" s="934">
        <v>0</v>
      </c>
      <c r="AK31" s="937">
        <v>0.42708333333333331</v>
      </c>
      <c r="AM31" s="841">
        <v>14</v>
      </c>
      <c r="AN31" s="939" t="s">
        <v>5613</v>
      </c>
      <c r="AO31" s="843" t="s">
        <v>80</v>
      </c>
      <c r="AP31" s="841" t="s">
        <v>79</v>
      </c>
      <c r="AQ31" s="841">
        <v>15</v>
      </c>
      <c r="AR31" s="947">
        <v>6.5069444444444438</v>
      </c>
      <c r="AS31" s="841">
        <v>1</v>
      </c>
      <c r="AT31" s="841">
        <v>5</v>
      </c>
      <c r="AU31" s="845">
        <v>6</v>
      </c>
      <c r="AV31" s="841">
        <v>23</v>
      </c>
      <c r="AW31" s="949">
        <v>12875</v>
      </c>
      <c r="AX31" s="841">
        <v>0</v>
      </c>
      <c r="AY31" s="841">
        <v>0</v>
      </c>
      <c r="AZ31" s="841">
        <v>0</v>
      </c>
      <c r="BA31" s="841">
        <v>0</v>
      </c>
      <c r="BB31" s="841">
        <v>3</v>
      </c>
      <c r="BC31" s="841">
        <v>2</v>
      </c>
      <c r="BD31" s="844">
        <v>0.43333333333333335</v>
      </c>
      <c r="BF31" s="817">
        <v>17</v>
      </c>
      <c r="BG31" s="627" t="s">
        <v>5613</v>
      </c>
      <c r="BH31" s="818" t="s">
        <v>80</v>
      </c>
      <c r="BI31" s="817" t="s">
        <v>79</v>
      </c>
      <c r="BJ31" s="817">
        <v>17</v>
      </c>
      <c r="BK31" s="819">
        <v>7.55</v>
      </c>
      <c r="BL31" s="817">
        <v>1</v>
      </c>
      <c r="BM31" s="817">
        <v>5</v>
      </c>
      <c r="BN31" s="820">
        <v>6</v>
      </c>
      <c r="BO31" s="817">
        <v>25</v>
      </c>
      <c r="BP31" s="817" t="s">
        <v>4491</v>
      </c>
      <c r="BQ31" s="817">
        <v>0</v>
      </c>
      <c r="BR31" s="817">
        <v>0</v>
      </c>
      <c r="BS31" s="817">
        <v>0</v>
      </c>
      <c r="BT31" s="817">
        <v>0</v>
      </c>
      <c r="BU31" s="817">
        <v>2</v>
      </c>
      <c r="BV31" s="817">
        <v>4</v>
      </c>
      <c r="BW31" s="822">
        <v>0.44374999999999998</v>
      </c>
    </row>
    <row r="32" spans="1:94" ht="15" thickBot="1" x14ac:dyDescent="0.35">
      <c r="AM32" s="811">
        <v>27</v>
      </c>
      <c r="AN32" s="939" t="s">
        <v>4040</v>
      </c>
      <c r="AO32" s="812" t="s">
        <v>80</v>
      </c>
      <c r="AP32" s="811" t="s">
        <v>79</v>
      </c>
      <c r="AQ32" s="811">
        <v>2</v>
      </c>
      <c r="AR32" s="816">
        <v>0.90486111111111101</v>
      </c>
      <c r="AS32" s="811">
        <v>0</v>
      </c>
      <c r="AT32" s="811">
        <v>0</v>
      </c>
      <c r="AU32" s="814">
        <v>0</v>
      </c>
      <c r="AV32" s="811">
        <v>0</v>
      </c>
      <c r="AW32" s="811" t="s">
        <v>78</v>
      </c>
      <c r="AX32" s="811">
        <v>0</v>
      </c>
      <c r="AY32" s="811">
        <v>0</v>
      </c>
      <c r="AZ32" s="811">
        <v>0</v>
      </c>
      <c r="BA32" s="811">
        <v>0</v>
      </c>
      <c r="BB32" s="811">
        <v>1</v>
      </c>
      <c r="BC32" s="811">
        <v>0</v>
      </c>
      <c r="BD32" s="816">
        <v>0.45208333333333334</v>
      </c>
      <c r="BF32" s="811">
        <v>27</v>
      </c>
      <c r="BG32" s="620" t="s">
        <v>4040</v>
      </c>
      <c r="BH32" s="812" t="s">
        <v>80</v>
      </c>
      <c r="BI32" s="811" t="s">
        <v>79</v>
      </c>
      <c r="BJ32" s="811">
        <v>3</v>
      </c>
      <c r="BK32" s="813">
        <v>1.0798611111111112</v>
      </c>
      <c r="BL32" s="811">
        <v>0</v>
      </c>
      <c r="BM32" s="811">
        <v>0</v>
      </c>
      <c r="BN32" s="814">
        <v>0</v>
      </c>
      <c r="BO32" s="811">
        <v>0</v>
      </c>
      <c r="BP32" s="811" t="s">
        <v>78</v>
      </c>
      <c r="BQ32" s="811">
        <v>0</v>
      </c>
      <c r="BR32" s="811">
        <v>0</v>
      </c>
      <c r="BS32" s="811">
        <v>0</v>
      </c>
      <c r="BT32" s="811">
        <v>0</v>
      </c>
      <c r="BU32" s="811">
        <v>1</v>
      </c>
      <c r="BV32" s="811">
        <v>0</v>
      </c>
      <c r="BW32" s="816">
        <v>0.35972222222222222</v>
      </c>
    </row>
    <row r="33" spans="2:75" x14ac:dyDescent="0.3">
      <c r="AM33" s="811">
        <v>25</v>
      </c>
      <c r="AN33" s="939" t="s">
        <v>5676</v>
      </c>
      <c r="AO33" s="812" t="s">
        <v>80</v>
      </c>
      <c r="AP33" s="811" t="s">
        <v>79</v>
      </c>
      <c r="AQ33" s="811">
        <v>1</v>
      </c>
      <c r="AR33" s="816">
        <v>0.18888888888888888</v>
      </c>
      <c r="AS33" s="811">
        <v>0</v>
      </c>
      <c r="AT33" s="811">
        <v>0</v>
      </c>
      <c r="AU33" s="814">
        <v>0</v>
      </c>
      <c r="AV33" s="811">
        <v>0</v>
      </c>
      <c r="AW33" s="811" t="s">
        <v>78</v>
      </c>
      <c r="AX33" s="811">
        <v>0</v>
      </c>
      <c r="AY33" s="811">
        <v>0</v>
      </c>
      <c r="AZ33" s="811">
        <v>0</v>
      </c>
      <c r="BA33" s="811">
        <v>0</v>
      </c>
      <c r="BB33" s="811">
        <v>-1</v>
      </c>
      <c r="BC33" s="811">
        <v>0</v>
      </c>
      <c r="BD33" s="816">
        <v>0.18888888888888888</v>
      </c>
      <c r="BF33" s="811">
        <v>25</v>
      </c>
      <c r="BG33" s="620" t="s">
        <v>5676</v>
      </c>
      <c r="BH33" s="812" t="s">
        <v>80</v>
      </c>
      <c r="BI33" s="811" t="s">
        <v>79</v>
      </c>
      <c r="BJ33" s="811">
        <v>1</v>
      </c>
      <c r="BK33" s="816">
        <v>0.18888888888888888</v>
      </c>
      <c r="BL33" s="811">
        <v>0</v>
      </c>
      <c r="BM33" s="811">
        <v>0</v>
      </c>
      <c r="BN33" s="814">
        <v>0</v>
      </c>
      <c r="BO33" s="811">
        <v>0</v>
      </c>
      <c r="BP33" s="811" t="s">
        <v>78</v>
      </c>
      <c r="BQ33" s="811">
        <v>0</v>
      </c>
      <c r="BR33" s="811">
        <v>0</v>
      </c>
      <c r="BS33" s="811">
        <v>0</v>
      </c>
      <c r="BT33" s="811">
        <v>0</v>
      </c>
      <c r="BU33" s="811">
        <v>-1</v>
      </c>
      <c r="BV33" s="811">
        <v>0</v>
      </c>
      <c r="BW33" s="816">
        <v>0.18888888888888888</v>
      </c>
    </row>
    <row r="35" spans="2:75" ht="15" thickBot="1" x14ac:dyDescent="0.35"/>
    <row r="36" spans="2:75" ht="15" thickBot="1" x14ac:dyDescent="0.35">
      <c r="B36" s="556"/>
      <c r="C36" s="1164" t="s">
        <v>4180</v>
      </c>
      <c r="D36" s="1164"/>
      <c r="E36" s="1164"/>
      <c r="F36" s="1165"/>
      <c r="G36" s="1163" t="s">
        <v>4181</v>
      </c>
      <c r="H36" s="1164"/>
      <c r="I36" s="1164"/>
      <c r="J36" s="1165"/>
      <c r="K36" s="1163" t="s">
        <v>4182</v>
      </c>
      <c r="L36" s="1164"/>
      <c r="M36" s="1164"/>
      <c r="N36" s="1165"/>
      <c r="O36" s="1163" t="s">
        <v>4183</v>
      </c>
      <c r="P36" s="1164"/>
      <c r="Q36" s="1164"/>
      <c r="R36" s="1165"/>
      <c r="T36" s="1163" t="s">
        <v>5774</v>
      </c>
      <c r="U36" s="1164"/>
      <c r="V36" s="1164"/>
      <c r="W36" s="1165"/>
      <c r="Y36" s="1163" t="s">
        <v>817</v>
      </c>
      <c r="Z36" s="1164"/>
      <c r="AA36" s="1164"/>
      <c r="AB36" s="1165"/>
      <c r="AE36" s="1146" t="s">
        <v>5776</v>
      </c>
      <c r="AF36" s="1147"/>
      <c r="AG36" s="1147"/>
      <c r="AH36" s="1147"/>
      <c r="AI36" s="1147"/>
      <c r="AJ36" s="1148"/>
    </row>
    <row r="37" spans="2:75" ht="15" thickBot="1" x14ac:dyDescent="0.35">
      <c r="B37" s="950" t="s">
        <v>0</v>
      </c>
      <c r="C37" s="951" t="s">
        <v>4176</v>
      </c>
      <c r="D37" s="951" t="s">
        <v>4177</v>
      </c>
      <c r="E37" s="951" t="s">
        <v>4178</v>
      </c>
      <c r="F37" s="952" t="s">
        <v>4179</v>
      </c>
      <c r="G37" s="950" t="s">
        <v>4176</v>
      </c>
      <c r="H37" s="951" t="s">
        <v>4177</v>
      </c>
      <c r="I37" s="951" t="s">
        <v>4178</v>
      </c>
      <c r="J37" s="952" t="s">
        <v>4179</v>
      </c>
      <c r="K37" s="950" t="s">
        <v>4176</v>
      </c>
      <c r="L37" s="951" t="s">
        <v>4177</v>
      </c>
      <c r="M37" s="951" t="s">
        <v>4178</v>
      </c>
      <c r="N37" s="952" t="s">
        <v>4179</v>
      </c>
      <c r="O37" s="950" t="s">
        <v>4176</v>
      </c>
      <c r="P37" s="951" t="s">
        <v>4177</v>
      </c>
      <c r="Q37" s="951" t="s">
        <v>4178</v>
      </c>
      <c r="R37" s="952" t="s">
        <v>4179</v>
      </c>
      <c r="T37" s="559" t="s">
        <v>4176</v>
      </c>
      <c r="U37" s="560" t="s">
        <v>4177</v>
      </c>
      <c r="V37" s="561" t="s">
        <v>4178</v>
      </c>
      <c r="W37" s="186" t="s">
        <v>4179</v>
      </c>
      <c r="Y37" s="559" t="s">
        <v>4176</v>
      </c>
      <c r="Z37" s="560" t="s">
        <v>4177</v>
      </c>
      <c r="AA37" s="560" t="s">
        <v>4178</v>
      </c>
      <c r="AB37" s="561" t="s">
        <v>4179</v>
      </c>
      <c r="AE37" s="240" t="s">
        <v>0</v>
      </c>
      <c r="AF37" s="957" t="s">
        <v>4176</v>
      </c>
      <c r="AG37" s="560" t="s">
        <v>4177</v>
      </c>
      <c r="AH37" s="560" t="s">
        <v>4178</v>
      </c>
      <c r="AI37" s="380" t="s">
        <v>3258</v>
      </c>
      <c r="AJ37" s="561" t="s">
        <v>4179</v>
      </c>
    </row>
    <row r="38" spans="2:75" x14ac:dyDescent="0.3">
      <c r="B38" s="185" t="s">
        <v>4069</v>
      </c>
      <c r="C38" s="185">
        <f>E3</f>
        <v>13</v>
      </c>
      <c r="D38" s="96">
        <f>G3</f>
        <v>3</v>
      </c>
      <c r="E38" s="96">
        <f>H3</f>
        <v>3</v>
      </c>
      <c r="F38" s="953">
        <f>(D38+E38)/C38</f>
        <v>0.46153846153846156</v>
      </c>
      <c r="G38" s="96">
        <f>X3-E3</f>
        <v>13</v>
      </c>
      <c r="H38" s="96">
        <f>Z3-G3</f>
        <v>1</v>
      </c>
      <c r="I38" s="96">
        <f>AA3-H3</f>
        <v>1</v>
      </c>
      <c r="J38" s="188">
        <f>(H38+I38)/G38</f>
        <v>0.15384615384615385</v>
      </c>
      <c r="K38" s="185">
        <f>AQ3-X3</f>
        <v>14</v>
      </c>
      <c r="L38" s="96">
        <f>AS3-Z3</f>
        <v>2</v>
      </c>
      <c r="M38" s="96">
        <f>AT3-AA3</f>
        <v>6</v>
      </c>
      <c r="N38" s="953">
        <f>(L38+M38)/K38</f>
        <v>0.5714285714285714</v>
      </c>
      <c r="O38" s="185">
        <f>BJ3-AQ3</f>
        <v>12</v>
      </c>
      <c r="P38" s="96">
        <f>BL3-AS3</f>
        <v>2</v>
      </c>
      <c r="Q38" s="96">
        <f>BM3-AT3</f>
        <v>3</v>
      </c>
      <c r="R38" s="953">
        <f>(P38+Q38)/O38</f>
        <v>0.41666666666666669</v>
      </c>
      <c r="T38" s="185">
        <f>CC3</f>
        <v>13</v>
      </c>
      <c r="U38" s="96">
        <f>CE3</f>
        <v>3</v>
      </c>
      <c r="V38" s="96">
        <f>CF3</f>
        <v>0</v>
      </c>
      <c r="W38" s="953">
        <f>(U38+V38)/T38</f>
        <v>0.23076923076923078</v>
      </c>
      <c r="Y38" s="185">
        <f>T38+O38+K38+G38+C38</f>
        <v>65</v>
      </c>
      <c r="Z38" s="96">
        <f>U38+P38+L38+H38+D38</f>
        <v>11</v>
      </c>
      <c r="AA38" s="96">
        <f>V38+Q38+M38+I38+E38</f>
        <v>13</v>
      </c>
      <c r="AB38" s="953">
        <f>(Z38+AA38)/Y38</f>
        <v>0.36923076923076925</v>
      </c>
      <c r="AE38" s="395" t="s">
        <v>5369</v>
      </c>
      <c r="AF38" s="96">
        <v>61</v>
      </c>
      <c r="AG38" s="96">
        <v>24</v>
      </c>
      <c r="AH38" s="96">
        <v>37</v>
      </c>
      <c r="AI38" s="96">
        <v>61</v>
      </c>
      <c r="AJ38" s="953">
        <v>1</v>
      </c>
    </row>
    <row r="39" spans="2:75" x14ac:dyDescent="0.3">
      <c r="B39" s="106" t="s">
        <v>5368</v>
      </c>
      <c r="C39" s="106">
        <f t="shared" ref="C39:C59" si="0">E4</f>
        <v>12</v>
      </c>
      <c r="D39" s="2">
        <f t="shared" ref="D39:E39" si="1">G4</f>
        <v>6</v>
      </c>
      <c r="E39" s="2">
        <f t="shared" si="1"/>
        <v>11</v>
      </c>
      <c r="F39" s="943">
        <f t="shared" ref="F39:F59" si="2">(D39+E39)/C39</f>
        <v>1.4166666666666667</v>
      </c>
      <c r="G39" s="2">
        <f t="shared" ref="G39:G59" si="3">X4-E4</f>
        <v>13</v>
      </c>
      <c r="H39" s="2">
        <f t="shared" ref="H39:I39" si="4">Z4-G4</f>
        <v>2</v>
      </c>
      <c r="I39" s="2">
        <f t="shared" si="4"/>
        <v>4</v>
      </c>
      <c r="J39" s="120">
        <f t="shared" ref="J39:J59" si="5">(H39+I39)/G39</f>
        <v>0.46153846153846156</v>
      </c>
      <c r="K39" s="106">
        <f t="shared" ref="K39:K59" si="6">AQ4-X4</f>
        <v>12</v>
      </c>
      <c r="L39" s="2">
        <f t="shared" ref="L39:M39" si="7">AS4-Z4</f>
        <v>3</v>
      </c>
      <c r="M39" s="2">
        <f t="shared" si="7"/>
        <v>7</v>
      </c>
      <c r="N39" s="943">
        <f t="shared" ref="N39:N65" si="8">(L39+M39)/K39</f>
        <v>0.83333333333333337</v>
      </c>
      <c r="O39" s="106">
        <f t="shared" ref="O39:O59" si="9">BJ4-AQ4</f>
        <v>12</v>
      </c>
      <c r="P39" s="2">
        <f t="shared" ref="P39:Q39" si="10">BL4-AS4</f>
        <v>3</v>
      </c>
      <c r="Q39" s="2">
        <f t="shared" si="10"/>
        <v>7</v>
      </c>
      <c r="R39" s="943">
        <f t="shared" ref="R39:R64" si="11">(P39+Q39)/O39</f>
        <v>0.83333333333333337</v>
      </c>
      <c r="T39" s="106">
        <f t="shared" ref="T39:T59" si="12">CC4</f>
        <v>13</v>
      </c>
      <c r="U39" s="2">
        <f t="shared" ref="U39:V39" si="13">CE4</f>
        <v>3</v>
      </c>
      <c r="V39" s="2">
        <f t="shared" si="13"/>
        <v>5</v>
      </c>
      <c r="W39" s="943">
        <f t="shared" ref="W39:W60" si="14">(U39+V39)/T39</f>
        <v>0.61538461538461542</v>
      </c>
      <c r="Y39" s="106">
        <f>T39+O39+K39+G39+C39</f>
        <v>62</v>
      </c>
      <c r="Z39" s="2">
        <f>U39+P39+L39+H39+D39</f>
        <v>17</v>
      </c>
      <c r="AA39" s="2">
        <f t="shared" ref="AA39:AA60" si="15">V39+Q39+M39+I39+E39</f>
        <v>34</v>
      </c>
      <c r="AB39" s="943">
        <f t="shared" ref="AB39:AB60" si="16">(Z39+AA39)/Y39</f>
        <v>0.82258064516129037</v>
      </c>
      <c r="AE39" s="121" t="s">
        <v>5368</v>
      </c>
      <c r="AF39" s="2">
        <v>62</v>
      </c>
      <c r="AG39" s="2">
        <v>17</v>
      </c>
      <c r="AH39" s="2">
        <v>34</v>
      </c>
      <c r="AI39" s="2">
        <v>51</v>
      </c>
      <c r="AJ39" s="943">
        <v>0.82258064516129037</v>
      </c>
    </row>
    <row r="40" spans="2:75" x14ac:dyDescent="0.3">
      <c r="B40" s="106" t="s">
        <v>4039</v>
      </c>
      <c r="C40" s="106">
        <f t="shared" si="0"/>
        <v>13</v>
      </c>
      <c r="D40" s="2">
        <f t="shared" ref="D40:E40" si="17">G5</f>
        <v>0</v>
      </c>
      <c r="E40" s="2">
        <f t="shared" si="17"/>
        <v>2</v>
      </c>
      <c r="F40" s="943">
        <f t="shared" si="2"/>
        <v>0.15384615384615385</v>
      </c>
      <c r="G40" s="2">
        <f t="shared" si="3"/>
        <v>12</v>
      </c>
      <c r="H40" s="2">
        <f t="shared" ref="H40:I40" si="18">Z5-G5</f>
        <v>0</v>
      </c>
      <c r="I40" s="2">
        <f t="shared" si="18"/>
        <v>0</v>
      </c>
      <c r="J40" s="120">
        <f t="shared" si="5"/>
        <v>0</v>
      </c>
      <c r="K40" s="106">
        <f t="shared" si="6"/>
        <v>14</v>
      </c>
      <c r="L40" s="2">
        <f t="shared" ref="L40:M40" si="19">AS5-Z5</f>
        <v>0</v>
      </c>
      <c r="M40" s="2">
        <f t="shared" si="19"/>
        <v>1</v>
      </c>
      <c r="N40" s="943">
        <f t="shared" si="8"/>
        <v>7.1428571428571425E-2</v>
      </c>
      <c r="O40" s="106">
        <f t="shared" si="9"/>
        <v>12</v>
      </c>
      <c r="P40" s="2">
        <f t="shared" ref="P40:Q40" si="20">BL5-AS5</f>
        <v>0</v>
      </c>
      <c r="Q40" s="2">
        <f t="shared" si="20"/>
        <v>2</v>
      </c>
      <c r="R40" s="943">
        <f t="shared" si="11"/>
        <v>0.16666666666666666</v>
      </c>
      <c r="T40" s="106">
        <f t="shared" si="12"/>
        <v>13</v>
      </c>
      <c r="U40" s="2">
        <f t="shared" ref="U40:V40" si="21">CE5</f>
        <v>0</v>
      </c>
      <c r="V40" s="2">
        <f t="shared" si="21"/>
        <v>0</v>
      </c>
      <c r="W40" s="943">
        <f t="shared" si="14"/>
        <v>0</v>
      </c>
      <c r="Y40" s="106">
        <f t="shared" ref="Y40:Y60" si="22">T40+O40+K40+G40+C40</f>
        <v>64</v>
      </c>
      <c r="Z40" s="2">
        <f t="shared" ref="Z40:Z60" si="23">U40+P40+L40+H40+D40</f>
        <v>0</v>
      </c>
      <c r="AA40" s="2">
        <f t="shared" si="15"/>
        <v>5</v>
      </c>
      <c r="AB40" s="943">
        <f t="shared" si="16"/>
        <v>7.8125E-2</v>
      </c>
      <c r="AE40" s="121" t="s">
        <v>5370</v>
      </c>
      <c r="AF40" s="2">
        <v>64</v>
      </c>
      <c r="AG40" s="2">
        <v>31</v>
      </c>
      <c r="AH40" s="2">
        <v>18</v>
      </c>
      <c r="AI40" s="2">
        <v>49</v>
      </c>
      <c r="AJ40" s="943">
        <v>0.765625</v>
      </c>
    </row>
    <row r="41" spans="2:75" x14ac:dyDescent="0.3">
      <c r="B41" s="106" t="s">
        <v>1173</v>
      </c>
      <c r="C41" s="106">
        <f t="shared" si="0"/>
        <v>3</v>
      </c>
      <c r="D41" s="2">
        <f t="shared" ref="D41:E41" si="24">G6</f>
        <v>0</v>
      </c>
      <c r="E41" s="2">
        <f t="shared" si="24"/>
        <v>0</v>
      </c>
      <c r="F41" s="943">
        <f t="shared" si="2"/>
        <v>0</v>
      </c>
      <c r="G41" s="2">
        <f t="shared" si="3"/>
        <v>2</v>
      </c>
      <c r="H41" s="2">
        <f t="shared" ref="H41:I41" si="25">Z6-G6</f>
        <v>0</v>
      </c>
      <c r="I41" s="2">
        <f t="shared" si="25"/>
        <v>0</v>
      </c>
      <c r="J41" s="120">
        <f t="shared" si="5"/>
        <v>0</v>
      </c>
      <c r="K41" s="106">
        <f t="shared" si="6"/>
        <v>0</v>
      </c>
      <c r="L41" s="2"/>
      <c r="M41" s="2"/>
      <c r="N41" s="943"/>
      <c r="O41" s="106">
        <f t="shared" si="9"/>
        <v>0</v>
      </c>
      <c r="P41" s="2"/>
      <c r="Q41" s="2"/>
      <c r="R41" s="943"/>
      <c r="T41" s="106">
        <f t="shared" si="12"/>
        <v>4</v>
      </c>
      <c r="U41" s="2">
        <f t="shared" ref="U41:V41" si="26">CE6</f>
        <v>0</v>
      </c>
      <c r="V41" s="2">
        <f t="shared" si="26"/>
        <v>0</v>
      </c>
      <c r="W41" s="943">
        <f t="shared" si="14"/>
        <v>0</v>
      </c>
      <c r="Y41" s="106">
        <f t="shared" si="22"/>
        <v>9</v>
      </c>
      <c r="Z41" s="2">
        <f t="shared" si="23"/>
        <v>0</v>
      </c>
      <c r="AA41" s="2">
        <f t="shared" si="15"/>
        <v>0</v>
      </c>
      <c r="AB41" s="943">
        <f t="shared" si="16"/>
        <v>0</v>
      </c>
      <c r="AE41" s="121" t="s">
        <v>5069</v>
      </c>
      <c r="AF41" s="2">
        <v>65</v>
      </c>
      <c r="AG41" s="2">
        <v>24</v>
      </c>
      <c r="AH41" s="2">
        <v>21</v>
      </c>
      <c r="AI41" s="2">
        <v>45</v>
      </c>
      <c r="AJ41" s="943">
        <v>0.69230769230769229</v>
      </c>
    </row>
    <row r="42" spans="2:75" x14ac:dyDescent="0.3">
      <c r="B42" s="106" t="s">
        <v>5072</v>
      </c>
      <c r="C42" s="106">
        <f t="shared" si="0"/>
        <v>13</v>
      </c>
      <c r="D42" s="2">
        <f t="shared" ref="D42:E42" si="27">G7</f>
        <v>2</v>
      </c>
      <c r="E42" s="2">
        <f t="shared" si="27"/>
        <v>5</v>
      </c>
      <c r="F42" s="943">
        <f t="shared" si="2"/>
        <v>0.53846153846153844</v>
      </c>
      <c r="G42" s="2">
        <f t="shared" si="3"/>
        <v>7</v>
      </c>
      <c r="H42" s="2">
        <f t="shared" ref="H42:I42" si="28">Z7-G7</f>
        <v>1</v>
      </c>
      <c r="I42" s="2">
        <f t="shared" si="28"/>
        <v>2</v>
      </c>
      <c r="J42" s="120">
        <f t="shared" si="5"/>
        <v>0.42857142857142855</v>
      </c>
      <c r="K42" s="106">
        <f t="shared" si="6"/>
        <v>12</v>
      </c>
      <c r="L42" s="2">
        <f t="shared" ref="L42:M42" si="29">AS7-Z7</f>
        <v>1</v>
      </c>
      <c r="M42" s="2">
        <f t="shared" si="29"/>
        <v>8</v>
      </c>
      <c r="N42" s="943">
        <f t="shared" si="8"/>
        <v>0.75</v>
      </c>
      <c r="O42" s="106">
        <f t="shared" si="9"/>
        <v>12</v>
      </c>
      <c r="P42" s="2">
        <f t="shared" ref="P42:Q42" si="30">BL7-AS7</f>
        <v>0</v>
      </c>
      <c r="Q42" s="2">
        <f t="shared" si="30"/>
        <v>10</v>
      </c>
      <c r="R42" s="943">
        <f t="shared" si="11"/>
        <v>0.83333333333333337</v>
      </c>
      <c r="T42" s="106">
        <f t="shared" si="12"/>
        <v>9</v>
      </c>
      <c r="U42" s="2">
        <f t="shared" ref="U42:V42" si="31">CE7</f>
        <v>0</v>
      </c>
      <c r="V42" s="2">
        <f t="shared" si="31"/>
        <v>3</v>
      </c>
      <c r="W42" s="943">
        <f t="shared" si="14"/>
        <v>0.33333333333333331</v>
      </c>
      <c r="Y42" s="106">
        <f t="shared" si="22"/>
        <v>53</v>
      </c>
      <c r="Z42" s="2">
        <f t="shared" si="23"/>
        <v>4</v>
      </c>
      <c r="AA42" s="2">
        <f t="shared" si="15"/>
        <v>28</v>
      </c>
      <c r="AB42" s="943">
        <f t="shared" si="16"/>
        <v>0.60377358490566035</v>
      </c>
      <c r="AE42" s="121" t="s">
        <v>5076</v>
      </c>
      <c r="AF42" s="2">
        <v>63</v>
      </c>
      <c r="AG42" s="2">
        <v>12</v>
      </c>
      <c r="AH42" s="2">
        <v>31</v>
      </c>
      <c r="AI42" s="2">
        <v>43</v>
      </c>
      <c r="AJ42" s="943">
        <v>0.68253968253968256</v>
      </c>
    </row>
    <row r="43" spans="2:75" x14ac:dyDescent="0.3">
      <c r="B43" s="106" t="s">
        <v>5076</v>
      </c>
      <c r="C43" s="106">
        <f t="shared" si="0"/>
        <v>13</v>
      </c>
      <c r="D43" s="2">
        <f t="shared" ref="D43:E43" si="32">G8</f>
        <v>5</v>
      </c>
      <c r="E43" s="2">
        <f t="shared" si="32"/>
        <v>6</v>
      </c>
      <c r="F43" s="943">
        <f t="shared" si="2"/>
        <v>0.84615384615384615</v>
      </c>
      <c r="G43" s="2">
        <f t="shared" si="3"/>
        <v>13</v>
      </c>
      <c r="H43" s="2">
        <f t="shared" ref="H43:I43" si="33">Z8-G8</f>
        <v>3</v>
      </c>
      <c r="I43" s="2">
        <f t="shared" si="33"/>
        <v>6</v>
      </c>
      <c r="J43" s="120">
        <f t="shared" si="5"/>
        <v>0.69230769230769229</v>
      </c>
      <c r="K43" s="106">
        <f t="shared" si="6"/>
        <v>14</v>
      </c>
      <c r="L43" s="2">
        <f t="shared" ref="L43:M43" si="34">AS8-Z8</f>
        <v>4</v>
      </c>
      <c r="M43" s="2">
        <f t="shared" si="34"/>
        <v>8</v>
      </c>
      <c r="N43" s="943">
        <f t="shared" si="8"/>
        <v>0.8571428571428571</v>
      </c>
      <c r="O43" s="106">
        <f t="shared" si="9"/>
        <v>12</v>
      </c>
      <c r="P43" s="2">
        <f t="shared" ref="P43:Q43" si="35">BL8-AS8</f>
        <v>0</v>
      </c>
      <c r="Q43" s="2">
        <f t="shared" si="35"/>
        <v>6</v>
      </c>
      <c r="R43" s="943">
        <f t="shared" si="11"/>
        <v>0.5</v>
      </c>
      <c r="T43" s="106">
        <f t="shared" si="12"/>
        <v>11</v>
      </c>
      <c r="U43" s="2">
        <f t="shared" ref="U43:V43" si="36">CE8</f>
        <v>0</v>
      </c>
      <c r="V43" s="2">
        <f t="shared" si="36"/>
        <v>5</v>
      </c>
      <c r="W43" s="943">
        <f t="shared" si="14"/>
        <v>0.45454545454545453</v>
      </c>
      <c r="Y43" s="106">
        <f t="shared" si="22"/>
        <v>63</v>
      </c>
      <c r="Z43" s="2">
        <f t="shared" si="23"/>
        <v>12</v>
      </c>
      <c r="AA43" s="2">
        <f t="shared" si="15"/>
        <v>31</v>
      </c>
      <c r="AB43" s="943">
        <f t="shared" si="16"/>
        <v>0.68253968253968256</v>
      </c>
      <c r="AE43" s="121" t="s">
        <v>5371</v>
      </c>
      <c r="AF43" s="2">
        <v>65</v>
      </c>
      <c r="AG43" s="2">
        <v>28</v>
      </c>
      <c r="AH43" s="2">
        <v>15</v>
      </c>
      <c r="AI43" s="2">
        <v>43</v>
      </c>
      <c r="AJ43" s="943">
        <v>0.66153846153846152</v>
      </c>
    </row>
    <row r="44" spans="2:75" x14ac:dyDescent="0.3">
      <c r="B44" s="106" t="s">
        <v>5373</v>
      </c>
      <c r="C44" s="106">
        <f t="shared" si="0"/>
        <v>13</v>
      </c>
      <c r="D44" s="2">
        <f t="shared" ref="D44:E44" si="37">G9</f>
        <v>0</v>
      </c>
      <c r="E44" s="2">
        <f t="shared" si="37"/>
        <v>3</v>
      </c>
      <c r="F44" s="943">
        <f t="shared" si="2"/>
        <v>0.23076923076923078</v>
      </c>
      <c r="G44" s="2">
        <f t="shared" si="3"/>
        <v>13</v>
      </c>
      <c r="H44" s="2">
        <f t="shared" ref="H44:I44" si="38">Z9-G9</f>
        <v>0</v>
      </c>
      <c r="I44" s="2">
        <f t="shared" si="38"/>
        <v>1</v>
      </c>
      <c r="J44" s="120">
        <f t="shared" si="5"/>
        <v>7.6923076923076927E-2</v>
      </c>
      <c r="K44" s="106">
        <f t="shared" si="6"/>
        <v>14</v>
      </c>
      <c r="L44" s="2">
        <f t="shared" ref="L44:M44" si="39">AS9-Z9</f>
        <v>0</v>
      </c>
      <c r="M44" s="2">
        <f t="shared" si="39"/>
        <v>0</v>
      </c>
      <c r="N44" s="943">
        <f t="shared" si="8"/>
        <v>0</v>
      </c>
      <c r="O44" s="106">
        <f t="shared" si="9"/>
        <v>12</v>
      </c>
      <c r="P44" s="2">
        <f t="shared" ref="P44:Q44" si="40">BL9-AS9</f>
        <v>0</v>
      </c>
      <c r="Q44" s="2">
        <f t="shared" si="40"/>
        <v>3</v>
      </c>
      <c r="R44" s="943">
        <f t="shared" si="11"/>
        <v>0.25</v>
      </c>
      <c r="T44" s="106">
        <f t="shared" si="12"/>
        <v>13</v>
      </c>
      <c r="U44" s="2">
        <f t="shared" ref="U44:V44" si="41">CE9</f>
        <v>0</v>
      </c>
      <c r="V44" s="2">
        <f t="shared" si="41"/>
        <v>1</v>
      </c>
      <c r="W44" s="943">
        <f t="shared" si="14"/>
        <v>7.6923076923076927E-2</v>
      </c>
      <c r="Y44" s="106">
        <f t="shared" si="22"/>
        <v>65</v>
      </c>
      <c r="Z44" s="2">
        <f t="shared" si="23"/>
        <v>0</v>
      </c>
      <c r="AA44" s="2">
        <f t="shared" si="15"/>
        <v>8</v>
      </c>
      <c r="AB44" s="943">
        <f t="shared" si="16"/>
        <v>0.12307692307692308</v>
      </c>
      <c r="AE44" s="121" t="s">
        <v>5072</v>
      </c>
      <c r="AF44" s="2">
        <v>53</v>
      </c>
      <c r="AG44" s="2">
        <v>4</v>
      </c>
      <c r="AH44" s="2">
        <v>28</v>
      </c>
      <c r="AI44" s="2">
        <v>32</v>
      </c>
      <c r="AJ44" s="943">
        <v>0.60377358490566035</v>
      </c>
    </row>
    <row r="45" spans="2:75" x14ac:dyDescent="0.3">
      <c r="B45" s="106" t="s">
        <v>5074</v>
      </c>
      <c r="C45" s="106">
        <f t="shared" si="0"/>
        <v>13</v>
      </c>
      <c r="D45" s="2">
        <f t="shared" ref="D45:E45" si="42">G10</f>
        <v>1</v>
      </c>
      <c r="E45" s="2">
        <f t="shared" si="42"/>
        <v>3</v>
      </c>
      <c r="F45" s="943">
        <f t="shared" si="2"/>
        <v>0.30769230769230771</v>
      </c>
      <c r="G45" s="2">
        <f t="shared" si="3"/>
        <v>13</v>
      </c>
      <c r="H45" s="2">
        <f t="shared" ref="H45:I45" si="43">Z10-G10</f>
        <v>0</v>
      </c>
      <c r="I45" s="2">
        <f t="shared" si="43"/>
        <v>1</v>
      </c>
      <c r="J45" s="120">
        <f t="shared" si="5"/>
        <v>7.6923076923076927E-2</v>
      </c>
      <c r="K45" s="106">
        <f t="shared" si="6"/>
        <v>12</v>
      </c>
      <c r="L45" s="2">
        <f t="shared" ref="L45:M45" si="44">AS10-Z10</f>
        <v>1</v>
      </c>
      <c r="M45" s="2">
        <f t="shared" si="44"/>
        <v>1</v>
      </c>
      <c r="N45" s="943">
        <f t="shared" si="8"/>
        <v>0.16666666666666666</v>
      </c>
      <c r="O45" s="106">
        <f t="shared" si="9"/>
        <v>12</v>
      </c>
      <c r="P45" s="2">
        <f t="shared" ref="P45:Q45" si="45">BL10-AS10</f>
        <v>2</v>
      </c>
      <c r="Q45" s="2">
        <f t="shared" si="45"/>
        <v>2</v>
      </c>
      <c r="R45" s="943">
        <f t="shared" si="11"/>
        <v>0.33333333333333331</v>
      </c>
      <c r="T45" s="106">
        <f t="shared" si="12"/>
        <v>13</v>
      </c>
      <c r="U45" s="2">
        <f t="shared" ref="U45:V45" si="46">CE10</f>
        <v>2</v>
      </c>
      <c r="V45" s="2">
        <f t="shared" si="46"/>
        <v>2</v>
      </c>
      <c r="W45" s="943">
        <f t="shared" si="14"/>
        <v>0.30769230769230771</v>
      </c>
      <c r="Y45" s="106">
        <f t="shared" si="22"/>
        <v>63</v>
      </c>
      <c r="Z45" s="2">
        <f t="shared" si="23"/>
        <v>6</v>
      </c>
      <c r="AA45" s="2">
        <f t="shared" si="15"/>
        <v>9</v>
      </c>
      <c r="AB45" s="943">
        <f t="shared" si="16"/>
        <v>0.23809523809523808</v>
      </c>
      <c r="AE45" s="121" t="s">
        <v>4173</v>
      </c>
      <c r="AF45" s="2">
        <v>28</v>
      </c>
      <c r="AG45" s="2">
        <v>7</v>
      </c>
      <c r="AH45" s="2">
        <v>8</v>
      </c>
      <c r="AI45" s="2">
        <v>15</v>
      </c>
      <c r="AJ45" s="943">
        <v>0.5357142857142857</v>
      </c>
    </row>
    <row r="46" spans="2:75" x14ac:dyDescent="0.3">
      <c r="B46" s="106" t="s">
        <v>5371</v>
      </c>
      <c r="C46" s="106">
        <f t="shared" si="0"/>
        <v>13</v>
      </c>
      <c r="D46" s="2">
        <f t="shared" ref="D46:E46" si="47">G11</f>
        <v>3</v>
      </c>
      <c r="E46" s="2">
        <f t="shared" si="47"/>
        <v>4</v>
      </c>
      <c r="F46" s="943">
        <f t="shared" si="2"/>
        <v>0.53846153846153844</v>
      </c>
      <c r="G46" s="2">
        <f t="shared" si="3"/>
        <v>13</v>
      </c>
      <c r="H46" s="2">
        <f t="shared" ref="H46:I46" si="48">Z11-G11</f>
        <v>6</v>
      </c>
      <c r="I46" s="2">
        <f t="shared" si="48"/>
        <v>2</v>
      </c>
      <c r="J46" s="120">
        <f t="shared" si="5"/>
        <v>0.61538461538461542</v>
      </c>
      <c r="K46" s="106">
        <f t="shared" si="6"/>
        <v>14</v>
      </c>
      <c r="L46" s="2">
        <f t="shared" ref="L46:M46" si="49">AS11-Z11</f>
        <v>4</v>
      </c>
      <c r="M46" s="2">
        <f t="shared" si="49"/>
        <v>4</v>
      </c>
      <c r="N46" s="943">
        <f t="shared" si="8"/>
        <v>0.5714285714285714</v>
      </c>
      <c r="O46" s="106">
        <f t="shared" si="9"/>
        <v>12</v>
      </c>
      <c r="P46" s="2">
        <f t="shared" ref="P46:Q46" si="50">BL11-AS11</f>
        <v>6</v>
      </c>
      <c r="Q46" s="2">
        <f t="shared" si="50"/>
        <v>1</v>
      </c>
      <c r="R46" s="943">
        <f t="shared" si="11"/>
        <v>0.58333333333333337</v>
      </c>
      <c r="T46" s="106">
        <f t="shared" si="12"/>
        <v>13</v>
      </c>
      <c r="U46" s="2">
        <f t="shared" ref="U46:V46" si="51">CE11</f>
        <v>9</v>
      </c>
      <c r="V46" s="2">
        <f t="shared" si="51"/>
        <v>4</v>
      </c>
      <c r="W46" s="943">
        <f t="shared" si="14"/>
        <v>1</v>
      </c>
      <c r="Y46" s="106">
        <f t="shared" si="22"/>
        <v>65</v>
      </c>
      <c r="Z46" s="2">
        <f t="shared" si="23"/>
        <v>28</v>
      </c>
      <c r="AA46" s="2">
        <f t="shared" si="15"/>
        <v>15</v>
      </c>
      <c r="AB46" s="943">
        <f t="shared" si="16"/>
        <v>0.66153846153846152</v>
      </c>
      <c r="AE46" s="121" t="s">
        <v>105</v>
      </c>
      <c r="AF46" s="2">
        <v>62</v>
      </c>
      <c r="AG46" s="2">
        <v>4</v>
      </c>
      <c r="AH46" s="2">
        <v>24</v>
      </c>
      <c r="AI46" s="2">
        <v>28</v>
      </c>
      <c r="AJ46" s="943">
        <v>0.45161290322580644</v>
      </c>
    </row>
    <row r="47" spans="2:75" x14ac:dyDescent="0.3">
      <c r="B47" s="106" t="s">
        <v>112</v>
      </c>
      <c r="C47" s="106">
        <f t="shared" si="0"/>
        <v>13</v>
      </c>
      <c r="D47" s="2">
        <f t="shared" ref="D47:E47" si="52">G12</f>
        <v>3</v>
      </c>
      <c r="E47" s="2">
        <f t="shared" si="52"/>
        <v>2</v>
      </c>
      <c r="F47" s="943">
        <f t="shared" si="2"/>
        <v>0.38461538461538464</v>
      </c>
      <c r="G47" s="2">
        <f t="shared" si="3"/>
        <v>9</v>
      </c>
      <c r="H47" s="2">
        <f t="shared" ref="H47:I47" si="53">Z12-G12</f>
        <v>0</v>
      </c>
      <c r="I47" s="2">
        <f t="shared" si="53"/>
        <v>0</v>
      </c>
      <c r="J47" s="120">
        <f t="shared" si="5"/>
        <v>0</v>
      </c>
      <c r="K47" s="106">
        <f t="shared" si="6"/>
        <v>5</v>
      </c>
      <c r="L47" s="2">
        <f t="shared" ref="L47:M47" si="54">AS12-Z12</f>
        <v>4</v>
      </c>
      <c r="M47" s="2">
        <f t="shared" si="54"/>
        <v>3</v>
      </c>
      <c r="N47" s="943">
        <f t="shared" si="8"/>
        <v>1.4</v>
      </c>
      <c r="O47" s="106">
        <f t="shared" si="9"/>
        <v>0</v>
      </c>
      <c r="P47" s="2"/>
      <c r="Q47" s="2"/>
      <c r="R47" s="943"/>
      <c r="T47" s="106">
        <f t="shared" si="12"/>
        <v>3</v>
      </c>
      <c r="U47" s="2">
        <f t="shared" ref="U47:V47" si="55">CE12</f>
        <v>0</v>
      </c>
      <c r="V47" s="2">
        <f t="shared" si="55"/>
        <v>1</v>
      </c>
      <c r="W47" s="943">
        <f t="shared" si="14"/>
        <v>0.33333333333333331</v>
      </c>
      <c r="Y47" s="106">
        <f t="shared" si="22"/>
        <v>30</v>
      </c>
      <c r="Z47" s="2">
        <f t="shared" si="23"/>
        <v>7</v>
      </c>
      <c r="AA47" s="2">
        <f t="shared" si="15"/>
        <v>6</v>
      </c>
      <c r="AB47" s="943">
        <f t="shared" si="16"/>
        <v>0.43333333333333335</v>
      </c>
      <c r="AE47" s="121" t="s">
        <v>112</v>
      </c>
      <c r="AF47" s="2">
        <v>30</v>
      </c>
      <c r="AG47" s="2">
        <v>7</v>
      </c>
      <c r="AH47" s="2">
        <v>6</v>
      </c>
      <c r="AI47" s="2">
        <v>13</v>
      </c>
      <c r="AJ47" s="943">
        <v>0.43333333333333335</v>
      </c>
    </row>
    <row r="48" spans="2:75" x14ac:dyDescent="0.3">
      <c r="B48" s="106" t="s">
        <v>105</v>
      </c>
      <c r="C48" s="106">
        <f t="shared" si="0"/>
        <v>11</v>
      </c>
      <c r="D48" s="2">
        <f t="shared" ref="D48:E48" si="56">G13</f>
        <v>1</v>
      </c>
      <c r="E48" s="2">
        <f t="shared" si="56"/>
        <v>6</v>
      </c>
      <c r="F48" s="943">
        <f t="shared" si="2"/>
        <v>0.63636363636363635</v>
      </c>
      <c r="G48" s="2">
        <f t="shared" si="3"/>
        <v>12</v>
      </c>
      <c r="H48" s="2">
        <f t="shared" ref="H48:I48" si="57">Z13-G13</f>
        <v>1</v>
      </c>
      <c r="I48" s="2">
        <f t="shared" si="57"/>
        <v>3</v>
      </c>
      <c r="J48" s="120">
        <f t="shared" si="5"/>
        <v>0.33333333333333331</v>
      </c>
      <c r="K48" s="106">
        <f t="shared" si="6"/>
        <v>14</v>
      </c>
      <c r="L48" s="2">
        <f t="shared" ref="L48:M48" si="58">AS13-Z13</f>
        <v>0</v>
      </c>
      <c r="M48" s="2">
        <f t="shared" si="58"/>
        <v>3</v>
      </c>
      <c r="N48" s="943">
        <f t="shared" si="8"/>
        <v>0.21428571428571427</v>
      </c>
      <c r="O48" s="106">
        <f t="shared" si="9"/>
        <v>12</v>
      </c>
      <c r="P48" s="2">
        <f t="shared" ref="P48:Q48" si="59">BL13-AS13</f>
        <v>1</v>
      </c>
      <c r="Q48" s="2">
        <f t="shared" si="59"/>
        <v>5</v>
      </c>
      <c r="R48" s="943">
        <f t="shared" si="11"/>
        <v>0.5</v>
      </c>
      <c r="T48" s="106">
        <f t="shared" si="12"/>
        <v>13</v>
      </c>
      <c r="U48" s="2">
        <f t="shared" ref="U48:V48" si="60">CE13</f>
        <v>1</v>
      </c>
      <c r="V48" s="2">
        <f t="shared" si="60"/>
        <v>7</v>
      </c>
      <c r="W48" s="943">
        <f t="shared" si="14"/>
        <v>0.61538461538461542</v>
      </c>
      <c r="Y48" s="106">
        <f t="shared" si="22"/>
        <v>62</v>
      </c>
      <c r="Z48" s="2">
        <f t="shared" si="23"/>
        <v>4</v>
      </c>
      <c r="AA48" s="2">
        <f t="shared" si="15"/>
        <v>24</v>
      </c>
      <c r="AB48" s="943">
        <f t="shared" si="16"/>
        <v>0.45161290322580644</v>
      </c>
      <c r="AE48" s="121" t="s">
        <v>4069</v>
      </c>
      <c r="AF48" s="2">
        <v>65</v>
      </c>
      <c r="AG48" s="2">
        <v>11</v>
      </c>
      <c r="AH48" s="2">
        <v>13</v>
      </c>
      <c r="AI48" s="2">
        <v>24</v>
      </c>
      <c r="AJ48" s="943">
        <v>0.36923076923076925</v>
      </c>
    </row>
    <row r="49" spans="2:36" x14ac:dyDescent="0.3">
      <c r="B49" s="106" t="s">
        <v>83</v>
      </c>
      <c r="C49" s="106">
        <f t="shared" si="0"/>
        <v>13</v>
      </c>
      <c r="D49" s="2">
        <f t="shared" ref="D49:E49" si="61">G14</f>
        <v>0</v>
      </c>
      <c r="E49" s="2">
        <f t="shared" si="61"/>
        <v>1</v>
      </c>
      <c r="F49" s="943">
        <f t="shared" si="2"/>
        <v>7.6923076923076927E-2</v>
      </c>
      <c r="G49" s="2">
        <f t="shared" si="3"/>
        <v>12</v>
      </c>
      <c r="H49" s="2">
        <f t="shared" ref="H49:I49" si="62">Z14-G14</f>
        <v>0</v>
      </c>
      <c r="I49" s="2">
        <f t="shared" si="62"/>
        <v>1</v>
      </c>
      <c r="J49" s="120">
        <f t="shared" si="5"/>
        <v>8.3333333333333329E-2</v>
      </c>
      <c r="K49" s="106">
        <f t="shared" si="6"/>
        <v>14</v>
      </c>
      <c r="L49" s="2">
        <f t="shared" ref="L49:M49" si="63">AS14-Z14</f>
        <v>0</v>
      </c>
      <c r="M49" s="2">
        <f t="shared" si="63"/>
        <v>0</v>
      </c>
      <c r="N49" s="943">
        <f t="shared" si="8"/>
        <v>0</v>
      </c>
      <c r="O49" s="106">
        <f t="shared" si="9"/>
        <v>12</v>
      </c>
      <c r="P49" s="2">
        <f t="shared" ref="P49:Q49" si="64">BL14-AS14</f>
        <v>0</v>
      </c>
      <c r="Q49" s="2">
        <f t="shared" si="64"/>
        <v>1</v>
      </c>
      <c r="R49" s="943">
        <f t="shared" si="11"/>
        <v>8.3333333333333329E-2</v>
      </c>
      <c r="T49" s="106">
        <f t="shared" si="12"/>
        <v>12</v>
      </c>
      <c r="U49" s="2">
        <f t="shared" ref="U49:V49" si="65">CE14</f>
        <v>0</v>
      </c>
      <c r="V49" s="2">
        <f t="shared" si="65"/>
        <v>1</v>
      </c>
      <c r="W49" s="943">
        <f t="shared" si="14"/>
        <v>8.3333333333333329E-2</v>
      </c>
      <c r="Y49" s="106">
        <f t="shared" si="22"/>
        <v>63</v>
      </c>
      <c r="Z49" s="2">
        <f t="shared" si="23"/>
        <v>0</v>
      </c>
      <c r="AA49" s="2">
        <f t="shared" si="15"/>
        <v>4</v>
      </c>
      <c r="AB49" s="943">
        <f t="shared" si="16"/>
        <v>6.3492063492063489E-2</v>
      </c>
      <c r="AE49" s="958" t="s">
        <v>5613</v>
      </c>
      <c r="AF49" s="2">
        <v>17</v>
      </c>
      <c r="AG49" s="2">
        <v>1</v>
      </c>
      <c r="AH49" s="2">
        <v>5</v>
      </c>
      <c r="AI49" s="2">
        <v>6</v>
      </c>
      <c r="AJ49" s="943">
        <v>0.35294117647058826</v>
      </c>
    </row>
    <row r="50" spans="2:36" x14ac:dyDescent="0.3">
      <c r="B50" s="106" t="s">
        <v>5375</v>
      </c>
      <c r="C50" s="106">
        <f t="shared" si="0"/>
        <v>1</v>
      </c>
      <c r="D50" s="2">
        <f t="shared" ref="D50:E50" si="66">G15</f>
        <v>0</v>
      </c>
      <c r="E50" s="2">
        <f t="shared" si="66"/>
        <v>0</v>
      </c>
      <c r="F50" s="943">
        <f t="shared" si="2"/>
        <v>0</v>
      </c>
      <c r="G50" s="2">
        <f t="shared" si="3"/>
        <v>13</v>
      </c>
      <c r="H50" s="2">
        <f t="shared" ref="H50:I50" si="67">Z15-G15</f>
        <v>1</v>
      </c>
      <c r="I50" s="2">
        <f t="shared" si="67"/>
        <v>3</v>
      </c>
      <c r="J50" s="120">
        <f t="shared" si="5"/>
        <v>0.30769230769230771</v>
      </c>
      <c r="K50" s="106">
        <f t="shared" si="6"/>
        <v>5</v>
      </c>
      <c r="L50" s="2">
        <f t="shared" ref="L50:M50" si="68">AS15-Z15</f>
        <v>1</v>
      </c>
      <c r="M50" s="2">
        <f t="shared" si="68"/>
        <v>0</v>
      </c>
      <c r="N50" s="943">
        <f t="shared" si="8"/>
        <v>0.2</v>
      </c>
      <c r="O50" s="106">
        <f t="shared" si="9"/>
        <v>4</v>
      </c>
      <c r="P50" s="2">
        <f t="shared" ref="P50:Q50" si="69">BL15-AS15</f>
        <v>0</v>
      </c>
      <c r="Q50" s="2">
        <f t="shared" si="69"/>
        <v>0</v>
      </c>
      <c r="R50" s="943">
        <f t="shared" si="11"/>
        <v>0</v>
      </c>
      <c r="T50" s="106">
        <f t="shared" si="12"/>
        <v>7</v>
      </c>
      <c r="U50" s="2">
        <f t="shared" ref="U50:V50" si="70">CE15</f>
        <v>0</v>
      </c>
      <c r="V50" s="2">
        <f t="shared" si="70"/>
        <v>1</v>
      </c>
      <c r="W50" s="943">
        <f t="shared" si="14"/>
        <v>0.14285714285714285</v>
      </c>
      <c r="Y50" s="106">
        <f t="shared" si="22"/>
        <v>30</v>
      </c>
      <c r="Z50" s="2">
        <f t="shared" si="23"/>
        <v>2</v>
      </c>
      <c r="AA50" s="2">
        <f t="shared" si="15"/>
        <v>4</v>
      </c>
      <c r="AB50" s="943">
        <f t="shared" si="16"/>
        <v>0.2</v>
      </c>
      <c r="AE50" s="121" t="s">
        <v>82</v>
      </c>
      <c r="AF50" s="2">
        <v>15</v>
      </c>
      <c r="AG50" s="2">
        <v>0</v>
      </c>
      <c r="AH50" s="2">
        <v>5</v>
      </c>
      <c r="AI50" s="2">
        <v>5</v>
      </c>
      <c r="AJ50" s="943">
        <v>0.33333333333333331</v>
      </c>
    </row>
    <row r="51" spans="2:36" x14ac:dyDescent="0.3">
      <c r="B51" s="106" t="s">
        <v>4173</v>
      </c>
      <c r="C51" s="106">
        <f t="shared" si="0"/>
        <v>11</v>
      </c>
      <c r="D51" s="2">
        <f t="shared" ref="D51:E51" si="71">G16</f>
        <v>4</v>
      </c>
      <c r="E51" s="2">
        <f t="shared" si="71"/>
        <v>4</v>
      </c>
      <c r="F51" s="943">
        <f t="shared" si="2"/>
        <v>0.72727272727272729</v>
      </c>
      <c r="G51" s="2">
        <v>0</v>
      </c>
      <c r="H51" s="2"/>
      <c r="I51" s="2"/>
      <c r="J51" s="120"/>
      <c r="K51" s="106">
        <f t="shared" si="6"/>
        <v>0</v>
      </c>
      <c r="L51" s="2">
        <f t="shared" ref="L51:M51" si="72">AS16-Z16</f>
        <v>0</v>
      </c>
      <c r="M51" s="2">
        <f t="shared" si="72"/>
        <v>0</v>
      </c>
      <c r="N51" s="943"/>
      <c r="O51" s="106">
        <f t="shared" si="9"/>
        <v>4</v>
      </c>
      <c r="P51" s="2">
        <f t="shared" ref="P51:Q51" si="73">BL16-AS16</f>
        <v>2</v>
      </c>
      <c r="Q51" s="2">
        <f t="shared" si="73"/>
        <v>0</v>
      </c>
      <c r="R51" s="943"/>
      <c r="T51" s="106">
        <f t="shared" si="12"/>
        <v>13</v>
      </c>
      <c r="U51" s="2">
        <f t="shared" ref="U51:V51" si="74">CE16</f>
        <v>1</v>
      </c>
      <c r="V51" s="2">
        <f t="shared" si="74"/>
        <v>4</v>
      </c>
      <c r="W51" s="943">
        <f t="shared" si="14"/>
        <v>0.38461538461538464</v>
      </c>
      <c r="Y51" s="106">
        <f t="shared" si="22"/>
        <v>28</v>
      </c>
      <c r="Z51" s="2">
        <f t="shared" si="23"/>
        <v>7</v>
      </c>
      <c r="AA51" s="2">
        <f t="shared" si="15"/>
        <v>8</v>
      </c>
      <c r="AB51" s="943">
        <f t="shared" si="16"/>
        <v>0.5357142857142857</v>
      </c>
      <c r="AE51" s="121" t="s">
        <v>5074</v>
      </c>
      <c r="AF51" s="2">
        <v>63</v>
      </c>
      <c r="AG51" s="2">
        <v>6</v>
      </c>
      <c r="AH51" s="2">
        <v>9</v>
      </c>
      <c r="AI51" s="2">
        <v>15</v>
      </c>
      <c r="AJ51" s="943">
        <v>0.23809523809523808</v>
      </c>
    </row>
    <row r="52" spans="2:36" x14ac:dyDescent="0.3">
      <c r="B52" s="106" t="s">
        <v>5070</v>
      </c>
      <c r="C52" s="106">
        <f t="shared" si="0"/>
        <v>10</v>
      </c>
      <c r="D52" s="2">
        <f t="shared" ref="D52:E52" si="75">G17</f>
        <v>1</v>
      </c>
      <c r="E52" s="2">
        <f t="shared" si="75"/>
        <v>0</v>
      </c>
      <c r="F52" s="943">
        <f t="shared" si="2"/>
        <v>0.1</v>
      </c>
      <c r="G52" s="2">
        <f t="shared" si="3"/>
        <v>13</v>
      </c>
      <c r="H52" s="2">
        <f t="shared" ref="H52:I52" si="76">Z17-G17</f>
        <v>2</v>
      </c>
      <c r="I52" s="2">
        <f t="shared" si="76"/>
        <v>1</v>
      </c>
      <c r="J52" s="120">
        <f t="shared" si="5"/>
        <v>0.23076923076923078</v>
      </c>
      <c r="K52" s="106">
        <f t="shared" si="6"/>
        <v>2</v>
      </c>
      <c r="L52" s="2">
        <f t="shared" ref="L52:M52" si="77">AS17-Z17</f>
        <v>0</v>
      </c>
      <c r="M52" s="2">
        <f t="shared" si="77"/>
        <v>0</v>
      </c>
      <c r="N52" s="943">
        <f t="shared" si="8"/>
        <v>0</v>
      </c>
      <c r="O52" s="106">
        <f t="shared" si="9"/>
        <v>10</v>
      </c>
      <c r="P52" s="2">
        <f t="shared" ref="P52:Q52" si="78">BL17-AS17</f>
        <v>0</v>
      </c>
      <c r="Q52" s="2">
        <f t="shared" si="78"/>
        <v>2</v>
      </c>
      <c r="R52" s="943">
        <f t="shared" si="11"/>
        <v>0.2</v>
      </c>
      <c r="T52" s="106">
        <f t="shared" si="12"/>
        <v>4</v>
      </c>
      <c r="U52" s="2">
        <f t="shared" ref="U52:V52" si="79">CE17</f>
        <v>0</v>
      </c>
      <c r="V52" s="2">
        <f t="shared" si="79"/>
        <v>1</v>
      </c>
      <c r="W52" s="943">
        <f t="shared" si="14"/>
        <v>0.25</v>
      </c>
      <c r="Y52" s="106">
        <f t="shared" si="22"/>
        <v>39</v>
      </c>
      <c r="Z52" s="2">
        <f t="shared" si="23"/>
        <v>3</v>
      </c>
      <c r="AA52" s="2">
        <f t="shared" si="15"/>
        <v>4</v>
      </c>
      <c r="AB52" s="943">
        <f t="shared" si="16"/>
        <v>0.17948717948717949</v>
      </c>
      <c r="AE52" s="121" t="s">
        <v>5375</v>
      </c>
      <c r="AF52" s="2">
        <v>30</v>
      </c>
      <c r="AG52" s="2">
        <v>2</v>
      </c>
      <c r="AH52" s="2">
        <v>4</v>
      </c>
      <c r="AI52" s="2">
        <v>6</v>
      </c>
      <c r="AJ52" s="943">
        <v>0.2</v>
      </c>
    </row>
    <row r="53" spans="2:36" x14ac:dyDescent="0.3">
      <c r="B53" s="106" t="s">
        <v>5069</v>
      </c>
      <c r="C53" s="106">
        <f t="shared" si="0"/>
        <v>13</v>
      </c>
      <c r="D53" s="2">
        <f t="shared" ref="D53:E53" si="80">G18</f>
        <v>4</v>
      </c>
      <c r="E53" s="2">
        <f t="shared" si="80"/>
        <v>6</v>
      </c>
      <c r="F53" s="943">
        <f t="shared" si="2"/>
        <v>0.76923076923076927</v>
      </c>
      <c r="G53" s="2">
        <f t="shared" si="3"/>
        <v>13</v>
      </c>
      <c r="H53" s="2">
        <f t="shared" ref="H53:I53" si="81">Z18-G18</f>
        <v>3</v>
      </c>
      <c r="I53" s="2">
        <f t="shared" si="81"/>
        <v>2</v>
      </c>
      <c r="J53" s="120">
        <f t="shared" si="5"/>
        <v>0.38461538461538464</v>
      </c>
      <c r="K53" s="106">
        <f t="shared" si="6"/>
        <v>14</v>
      </c>
      <c r="L53" s="2">
        <f t="shared" ref="L53:M53" si="82">AS18-Z18</f>
        <v>7</v>
      </c>
      <c r="M53" s="2">
        <f t="shared" si="82"/>
        <v>5</v>
      </c>
      <c r="N53" s="943">
        <f t="shared" si="8"/>
        <v>0.8571428571428571</v>
      </c>
      <c r="O53" s="106">
        <f t="shared" si="9"/>
        <v>12</v>
      </c>
      <c r="P53" s="2">
        <f t="shared" ref="P53:Q53" si="83">BL18-AS18</f>
        <v>8</v>
      </c>
      <c r="Q53" s="2">
        <f t="shared" si="83"/>
        <v>4</v>
      </c>
      <c r="R53" s="943">
        <f t="shared" si="11"/>
        <v>1</v>
      </c>
      <c r="T53" s="106">
        <f t="shared" si="12"/>
        <v>13</v>
      </c>
      <c r="U53" s="2">
        <f t="shared" ref="U53:V53" si="84">CE18</f>
        <v>2</v>
      </c>
      <c r="V53" s="2">
        <f t="shared" si="84"/>
        <v>4</v>
      </c>
      <c r="W53" s="943">
        <f t="shared" si="14"/>
        <v>0.46153846153846156</v>
      </c>
      <c r="Y53" s="106">
        <f t="shared" si="22"/>
        <v>65</v>
      </c>
      <c r="Z53" s="2">
        <f t="shared" si="23"/>
        <v>24</v>
      </c>
      <c r="AA53" s="2">
        <f t="shared" si="15"/>
        <v>21</v>
      </c>
      <c r="AB53" s="943">
        <f t="shared" si="16"/>
        <v>0.69230769230769229</v>
      </c>
      <c r="AE53" s="121" t="s">
        <v>5070</v>
      </c>
      <c r="AF53" s="2">
        <v>39</v>
      </c>
      <c r="AG53" s="2">
        <v>3</v>
      </c>
      <c r="AH53" s="2">
        <v>4</v>
      </c>
      <c r="AI53" s="2">
        <v>7</v>
      </c>
      <c r="AJ53" s="943">
        <v>0.17948717948717949</v>
      </c>
    </row>
    <row r="54" spans="2:36" x14ac:dyDescent="0.3">
      <c r="B54" s="106" t="s">
        <v>115</v>
      </c>
      <c r="C54" s="106">
        <f t="shared" si="0"/>
        <v>13</v>
      </c>
      <c r="D54" s="2">
        <f t="shared" ref="D54:E54" si="85">G19</f>
        <v>2</v>
      </c>
      <c r="E54" s="2">
        <f t="shared" si="85"/>
        <v>0</v>
      </c>
      <c r="F54" s="943">
        <f t="shared" si="2"/>
        <v>0.15384615384615385</v>
      </c>
      <c r="G54" s="2">
        <f t="shared" si="3"/>
        <v>9</v>
      </c>
      <c r="H54" s="2">
        <f t="shared" ref="H54:I54" si="86">Z19-G19</f>
        <v>0</v>
      </c>
      <c r="I54" s="2">
        <f t="shared" si="86"/>
        <v>3</v>
      </c>
      <c r="J54" s="120">
        <f t="shared" si="5"/>
        <v>0.33333333333333331</v>
      </c>
      <c r="K54" s="106">
        <f t="shared" si="6"/>
        <v>12</v>
      </c>
      <c r="L54" s="2">
        <f t="shared" ref="L54:M54" si="87">AS19-Z19</f>
        <v>1</v>
      </c>
      <c r="M54" s="2">
        <f t="shared" si="87"/>
        <v>0</v>
      </c>
      <c r="N54" s="943">
        <f t="shared" si="8"/>
        <v>8.3333333333333329E-2</v>
      </c>
      <c r="O54" s="106">
        <f t="shared" si="9"/>
        <v>11</v>
      </c>
      <c r="P54" s="2">
        <f t="shared" ref="P54:Q54" si="88">BL19-AS19</f>
        <v>1</v>
      </c>
      <c r="Q54" s="2">
        <f t="shared" si="88"/>
        <v>0</v>
      </c>
      <c r="R54" s="943">
        <f t="shared" si="11"/>
        <v>9.0909090909090912E-2</v>
      </c>
      <c r="T54" s="106">
        <f t="shared" si="12"/>
        <v>11</v>
      </c>
      <c r="U54" s="2">
        <f t="shared" ref="U54:V54" si="89">CE19</f>
        <v>1</v>
      </c>
      <c r="V54" s="2">
        <f t="shared" si="89"/>
        <v>2</v>
      </c>
      <c r="W54" s="943">
        <f t="shared" si="14"/>
        <v>0.27272727272727271</v>
      </c>
      <c r="Y54" s="106">
        <f t="shared" si="22"/>
        <v>56</v>
      </c>
      <c r="Z54" s="2">
        <f t="shared" si="23"/>
        <v>5</v>
      </c>
      <c r="AA54" s="2">
        <f t="shared" si="15"/>
        <v>5</v>
      </c>
      <c r="AB54" s="943">
        <f t="shared" si="16"/>
        <v>0.17857142857142858</v>
      </c>
      <c r="AE54" s="121" t="s">
        <v>115</v>
      </c>
      <c r="AF54" s="2">
        <v>56</v>
      </c>
      <c r="AG54" s="2">
        <v>5</v>
      </c>
      <c r="AH54" s="2">
        <v>5</v>
      </c>
      <c r="AI54" s="2">
        <v>10</v>
      </c>
      <c r="AJ54" s="943">
        <v>0.17857142857142858</v>
      </c>
    </row>
    <row r="55" spans="2:36" x14ac:dyDescent="0.3">
      <c r="B55" s="106" t="s">
        <v>5369</v>
      </c>
      <c r="C55" s="106">
        <f t="shared" si="0"/>
        <v>12</v>
      </c>
      <c r="D55" s="2">
        <f t="shared" ref="D55:E55" si="90">G20</f>
        <v>7</v>
      </c>
      <c r="E55" s="2">
        <f t="shared" si="90"/>
        <v>8</v>
      </c>
      <c r="F55" s="943">
        <f t="shared" si="2"/>
        <v>1.25</v>
      </c>
      <c r="G55" s="2">
        <f t="shared" si="3"/>
        <v>12</v>
      </c>
      <c r="H55" s="2">
        <f t="shared" ref="H55:I55" si="91">Z20-G20</f>
        <v>2</v>
      </c>
      <c r="I55" s="2">
        <f t="shared" si="91"/>
        <v>5</v>
      </c>
      <c r="J55" s="120">
        <f t="shared" si="5"/>
        <v>0.58333333333333337</v>
      </c>
      <c r="K55" s="106">
        <f t="shared" si="6"/>
        <v>13</v>
      </c>
      <c r="L55" s="2">
        <f t="shared" ref="L55:M55" si="92">AS20-Z20</f>
        <v>8</v>
      </c>
      <c r="M55" s="2">
        <f t="shared" si="92"/>
        <v>9</v>
      </c>
      <c r="N55" s="943">
        <f t="shared" si="8"/>
        <v>1.3076923076923077</v>
      </c>
      <c r="O55" s="106">
        <f t="shared" si="9"/>
        <v>11</v>
      </c>
      <c r="P55" s="2">
        <f t="shared" ref="P55:Q55" si="93">BL20-AS20</f>
        <v>6</v>
      </c>
      <c r="Q55" s="2">
        <f t="shared" si="93"/>
        <v>9</v>
      </c>
      <c r="R55" s="943">
        <f t="shared" si="11"/>
        <v>1.3636363636363635</v>
      </c>
      <c r="T55" s="106">
        <f t="shared" si="12"/>
        <v>13</v>
      </c>
      <c r="U55" s="2">
        <f t="shared" ref="U55:V55" si="94">CE20</f>
        <v>1</v>
      </c>
      <c r="V55" s="2">
        <f t="shared" si="94"/>
        <v>6</v>
      </c>
      <c r="W55" s="943">
        <f t="shared" si="14"/>
        <v>0.53846153846153844</v>
      </c>
      <c r="Y55" s="106">
        <f t="shared" si="22"/>
        <v>61</v>
      </c>
      <c r="Z55" s="2">
        <f t="shared" si="23"/>
        <v>24</v>
      </c>
      <c r="AA55" s="2">
        <f t="shared" si="15"/>
        <v>37</v>
      </c>
      <c r="AB55" s="943">
        <f t="shared" si="16"/>
        <v>1</v>
      </c>
      <c r="AE55" s="121" t="s">
        <v>4034</v>
      </c>
      <c r="AF55" s="2">
        <v>63</v>
      </c>
      <c r="AG55" s="2">
        <v>2</v>
      </c>
      <c r="AH55" s="2">
        <v>7</v>
      </c>
      <c r="AI55" s="2">
        <v>9</v>
      </c>
      <c r="AJ55" s="943">
        <v>0.14285714285714285</v>
      </c>
    </row>
    <row r="56" spans="2:36" x14ac:dyDescent="0.3">
      <c r="B56" s="106" t="s">
        <v>4034</v>
      </c>
      <c r="C56" s="106">
        <f t="shared" si="0"/>
        <v>13</v>
      </c>
      <c r="D56" s="2">
        <f t="shared" ref="D56:E56" si="95">G21</f>
        <v>0</v>
      </c>
      <c r="E56" s="2">
        <f t="shared" si="95"/>
        <v>3</v>
      </c>
      <c r="F56" s="943">
        <f t="shared" si="2"/>
        <v>0.23076923076923078</v>
      </c>
      <c r="G56" s="2">
        <f t="shared" si="3"/>
        <v>11</v>
      </c>
      <c r="H56" s="2">
        <f t="shared" ref="H56:I56" si="96">Z21-G21</f>
        <v>1</v>
      </c>
      <c r="I56" s="2">
        <f t="shared" si="96"/>
        <v>0</v>
      </c>
      <c r="J56" s="120">
        <f t="shared" si="5"/>
        <v>9.0909090909090912E-2</v>
      </c>
      <c r="K56" s="106">
        <f t="shared" si="6"/>
        <v>14</v>
      </c>
      <c r="L56" s="2">
        <f t="shared" ref="L56:M56" si="97">AS21-Z21</f>
        <v>0</v>
      </c>
      <c r="M56" s="2">
        <f t="shared" si="97"/>
        <v>2</v>
      </c>
      <c r="N56" s="943">
        <f t="shared" si="8"/>
        <v>0.14285714285714285</v>
      </c>
      <c r="O56" s="106">
        <f t="shared" si="9"/>
        <v>12</v>
      </c>
      <c r="P56" s="2">
        <f t="shared" ref="P56:Q56" si="98">BL21-AS21</f>
        <v>0</v>
      </c>
      <c r="Q56" s="2">
        <f t="shared" si="98"/>
        <v>1</v>
      </c>
      <c r="R56" s="943">
        <f t="shared" si="11"/>
        <v>8.3333333333333329E-2</v>
      </c>
      <c r="T56" s="106">
        <f t="shared" si="12"/>
        <v>13</v>
      </c>
      <c r="U56" s="2">
        <f t="shared" ref="U56:V56" si="99">CE21</f>
        <v>1</v>
      </c>
      <c r="V56" s="2">
        <f t="shared" si="99"/>
        <v>1</v>
      </c>
      <c r="W56" s="943">
        <f t="shared" si="14"/>
        <v>0.15384615384615385</v>
      </c>
      <c r="Y56" s="106">
        <f t="shared" si="22"/>
        <v>63</v>
      </c>
      <c r="Z56" s="2">
        <f t="shared" si="23"/>
        <v>2</v>
      </c>
      <c r="AA56" s="2">
        <f t="shared" si="15"/>
        <v>7</v>
      </c>
      <c r="AB56" s="943">
        <f t="shared" si="16"/>
        <v>0.14285714285714285</v>
      </c>
      <c r="AE56" s="121" t="s">
        <v>1224</v>
      </c>
      <c r="AF56" s="2">
        <v>8</v>
      </c>
      <c r="AG56" s="2">
        <v>0</v>
      </c>
      <c r="AH56" s="2">
        <v>1</v>
      </c>
      <c r="AI56" s="2">
        <v>1</v>
      </c>
      <c r="AJ56" s="943">
        <v>0.125</v>
      </c>
    </row>
    <row r="57" spans="2:36" x14ac:dyDescent="0.3">
      <c r="B57" s="106" t="s">
        <v>3622</v>
      </c>
      <c r="C57" s="106">
        <f t="shared" si="0"/>
        <v>6</v>
      </c>
      <c r="D57" s="2">
        <f t="shared" ref="D57:E57" si="100">G22</f>
        <v>0</v>
      </c>
      <c r="E57" s="2">
        <f t="shared" si="100"/>
        <v>0</v>
      </c>
      <c r="F57" s="943">
        <f t="shared" si="2"/>
        <v>0</v>
      </c>
      <c r="G57" s="2">
        <f t="shared" si="3"/>
        <v>8</v>
      </c>
      <c r="H57" s="2">
        <f t="shared" ref="H57:I57" si="101">Z22-G22</f>
        <v>1</v>
      </c>
      <c r="I57" s="2">
        <f t="shared" si="101"/>
        <v>0</v>
      </c>
      <c r="J57" s="120">
        <f t="shared" si="5"/>
        <v>0.125</v>
      </c>
      <c r="K57" s="106">
        <f t="shared" si="6"/>
        <v>11</v>
      </c>
      <c r="L57" s="2">
        <f t="shared" ref="L57:M57" si="102">AS22-Z22</f>
        <v>0</v>
      </c>
      <c r="M57" s="2">
        <f t="shared" si="102"/>
        <v>0</v>
      </c>
      <c r="N57" s="943">
        <f t="shared" si="8"/>
        <v>0</v>
      </c>
      <c r="O57" s="106">
        <f t="shared" si="9"/>
        <v>12</v>
      </c>
      <c r="P57" s="2">
        <f t="shared" ref="P57:Q57" si="103">BL22-AS22</f>
        <v>1</v>
      </c>
      <c r="Q57" s="2">
        <f t="shared" si="103"/>
        <v>1</v>
      </c>
      <c r="R57" s="943">
        <f t="shared" si="11"/>
        <v>0.16666666666666666</v>
      </c>
      <c r="T57" s="106">
        <f t="shared" si="12"/>
        <v>13</v>
      </c>
      <c r="U57" s="2">
        <f t="shared" ref="U57:V57" si="104">CE22</f>
        <v>2</v>
      </c>
      <c r="V57" s="2">
        <f t="shared" si="104"/>
        <v>0</v>
      </c>
      <c r="W57" s="943">
        <f t="shared" si="14"/>
        <v>0.15384615384615385</v>
      </c>
      <c r="Y57" s="106">
        <f t="shared" si="22"/>
        <v>50</v>
      </c>
      <c r="Z57" s="2">
        <f t="shared" si="23"/>
        <v>4</v>
      </c>
      <c r="AA57" s="2">
        <f t="shared" si="15"/>
        <v>1</v>
      </c>
      <c r="AB57" s="943">
        <f t="shared" si="16"/>
        <v>0.1</v>
      </c>
      <c r="AE57" s="121" t="s">
        <v>5373</v>
      </c>
      <c r="AF57" s="2">
        <v>65</v>
      </c>
      <c r="AG57" s="2">
        <v>0</v>
      </c>
      <c r="AH57" s="2">
        <v>8</v>
      </c>
      <c r="AI57" s="2">
        <v>8</v>
      </c>
      <c r="AJ57" s="943">
        <v>0.12307692307692308</v>
      </c>
    </row>
    <row r="58" spans="2:36" x14ac:dyDescent="0.3">
      <c r="B58" s="106" t="s">
        <v>5370</v>
      </c>
      <c r="C58" s="106">
        <f t="shared" si="0"/>
        <v>13</v>
      </c>
      <c r="D58" s="2">
        <f t="shared" ref="D58:E58" si="105">G23</f>
        <v>7</v>
      </c>
      <c r="E58" s="2">
        <f t="shared" si="105"/>
        <v>4</v>
      </c>
      <c r="F58" s="943">
        <f t="shared" si="2"/>
        <v>0.84615384615384615</v>
      </c>
      <c r="G58" s="2">
        <f t="shared" si="3"/>
        <v>13</v>
      </c>
      <c r="H58" s="2">
        <f t="shared" ref="H58:I58" si="106">Z23-G23</f>
        <v>3</v>
      </c>
      <c r="I58" s="2">
        <f t="shared" si="106"/>
        <v>3</v>
      </c>
      <c r="J58" s="120">
        <f t="shared" si="5"/>
        <v>0.46153846153846156</v>
      </c>
      <c r="K58" s="106">
        <f t="shared" si="6"/>
        <v>14</v>
      </c>
      <c r="L58" s="2">
        <f t="shared" ref="L58:M58" si="107">AS23-Z23</f>
        <v>8</v>
      </c>
      <c r="M58" s="2">
        <f t="shared" si="107"/>
        <v>5</v>
      </c>
      <c r="N58" s="943">
        <f t="shared" si="8"/>
        <v>0.9285714285714286</v>
      </c>
      <c r="O58" s="106">
        <f t="shared" si="9"/>
        <v>11</v>
      </c>
      <c r="P58" s="2">
        <f t="shared" ref="P58:Q58" si="108">BL23-AS23</f>
        <v>6</v>
      </c>
      <c r="Q58" s="2">
        <f t="shared" si="108"/>
        <v>3</v>
      </c>
      <c r="R58" s="943">
        <f t="shared" si="11"/>
        <v>0.81818181818181823</v>
      </c>
      <c r="T58" s="106">
        <f t="shared" si="12"/>
        <v>13</v>
      </c>
      <c r="U58" s="2">
        <f t="shared" ref="U58:V58" si="109">CE23</f>
        <v>7</v>
      </c>
      <c r="V58" s="2">
        <f t="shared" si="109"/>
        <v>3</v>
      </c>
      <c r="W58" s="943">
        <f t="shared" si="14"/>
        <v>0.76923076923076927</v>
      </c>
      <c r="Y58" s="106">
        <f t="shared" si="22"/>
        <v>64</v>
      </c>
      <c r="Z58" s="2">
        <f t="shared" si="23"/>
        <v>31</v>
      </c>
      <c r="AA58" s="2">
        <f t="shared" si="15"/>
        <v>18</v>
      </c>
      <c r="AB58" s="943">
        <f t="shared" si="16"/>
        <v>0.765625</v>
      </c>
      <c r="AE58" s="121" t="s">
        <v>3622</v>
      </c>
      <c r="AF58" s="2">
        <v>50</v>
      </c>
      <c r="AG58" s="2">
        <v>4</v>
      </c>
      <c r="AH58" s="2">
        <v>1</v>
      </c>
      <c r="AI58" s="2">
        <v>5</v>
      </c>
      <c r="AJ58" s="943">
        <v>0.1</v>
      </c>
    </row>
    <row r="59" spans="2:36" x14ac:dyDescent="0.3">
      <c r="B59" s="106" t="s">
        <v>5078</v>
      </c>
      <c r="C59" s="106">
        <f t="shared" si="0"/>
        <v>12</v>
      </c>
      <c r="D59" s="2">
        <f t="shared" ref="D59:E59" si="110">G24</f>
        <v>0</v>
      </c>
      <c r="E59" s="2">
        <f t="shared" si="110"/>
        <v>0</v>
      </c>
      <c r="F59" s="943">
        <f t="shared" si="2"/>
        <v>0</v>
      </c>
      <c r="G59" s="2">
        <f t="shared" si="3"/>
        <v>13</v>
      </c>
      <c r="H59" s="2">
        <f t="shared" ref="H59:I59" si="111">Z24-G24</f>
        <v>0</v>
      </c>
      <c r="I59" s="2">
        <f t="shared" si="111"/>
        <v>0</v>
      </c>
      <c r="J59" s="120">
        <f t="shared" si="5"/>
        <v>0</v>
      </c>
      <c r="K59" s="106">
        <f t="shared" si="6"/>
        <v>14</v>
      </c>
      <c r="L59" s="2">
        <f t="shared" ref="L59:M59" si="112">AS24-Z24</f>
        <v>2</v>
      </c>
      <c r="M59" s="2">
        <f t="shared" si="112"/>
        <v>1</v>
      </c>
      <c r="N59" s="943">
        <f t="shared" si="8"/>
        <v>0.21428571428571427</v>
      </c>
      <c r="O59" s="106">
        <f t="shared" si="9"/>
        <v>12</v>
      </c>
      <c r="P59" s="2">
        <f t="shared" ref="P59:Q59" si="113">BL24-AS24</f>
        <v>0</v>
      </c>
      <c r="Q59" s="2">
        <f t="shared" si="113"/>
        <v>0</v>
      </c>
      <c r="R59" s="943">
        <f t="shared" si="11"/>
        <v>0</v>
      </c>
      <c r="T59" s="106">
        <f t="shared" si="12"/>
        <v>13</v>
      </c>
      <c r="U59" s="2">
        <f t="shared" ref="U59:V59" si="114">CE24</f>
        <v>1</v>
      </c>
      <c r="V59" s="2">
        <f t="shared" si="114"/>
        <v>1</v>
      </c>
      <c r="W59" s="943">
        <f t="shared" si="14"/>
        <v>0.15384615384615385</v>
      </c>
      <c r="Y59" s="106">
        <f t="shared" si="22"/>
        <v>64</v>
      </c>
      <c r="Z59" s="2">
        <f t="shared" si="23"/>
        <v>3</v>
      </c>
      <c r="AA59" s="2">
        <f t="shared" si="15"/>
        <v>2</v>
      </c>
      <c r="AB59" s="943">
        <f t="shared" si="16"/>
        <v>7.8125E-2</v>
      </c>
      <c r="AE59" s="121" t="s">
        <v>4039</v>
      </c>
      <c r="AF59" s="2">
        <v>64</v>
      </c>
      <c r="AG59" s="2">
        <v>0</v>
      </c>
      <c r="AH59" s="2">
        <v>5</v>
      </c>
      <c r="AI59" s="2">
        <v>5</v>
      </c>
      <c r="AJ59" s="943">
        <v>7.8125E-2</v>
      </c>
    </row>
    <row r="60" spans="2:36" x14ac:dyDescent="0.3">
      <c r="B60" s="106" t="s">
        <v>82</v>
      </c>
      <c r="C60" s="106">
        <v>0</v>
      </c>
      <c r="F60" s="100"/>
      <c r="G60" s="2">
        <f>X29</f>
        <v>2</v>
      </c>
      <c r="H60" s="2">
        <f>Z29</f>
        <v>0</v>
      </c>
      <c r="I60" s="2">
        <f>AA29</f>
        <v>0</v>
      </c>
      <c r="J60" s="120">
        <f>(H60+I60)/G60</f>
        <v>0</v>
      </c>
      <c r="K60" s="106">
        <f>AQ29-X29</f>
        <v>7</v>
      </c>
      <c r="L60" s="2">
        <f>AS29-Z29</f>
        <v>0</v>
      </c>
      <c r="M60" s="2">
        <f>AT29-AA29</f>
        <v>4</v>
      </c>
      <c r="N60" s="943">
        <f>(L60+M60)/K60</f>
        <v>0.5714285714285714</v>
      </c>
      <c r="O60" s="106">
        <f>BJ29-AQ29</f>
        <v>2</v>
      </c>
      <c r="P60" s="2">
        <f>BL29-AS29</f>
        <v>0</v>
      </c>
      <c r="Q60" s="2">
        <f>BM29-AT29</f>
        <v>0</v>
      </c>
      <c r="R60" s="943">
        <f>(P60+Q60)/O60</f>
        <v>0</v>
      </c>
      <c r="T60" s="106">
        <v>4</v>
      </c>
      <c r="U60" s="2">
        <v>0</v>
      </c>
      <c r="V60" s="2">
        <v>1</v>
      </c>
      <c r="W60" s="943">
        <f t="shared" si="14"/>
        <v>0.25</v>
      </c>
      <c r="Y60" s="106">
        <f t="shared" si="22"/>
        <v>15</v>
      </c>
      <c r="Z60" s="2">
        <f t="shared" si="23"/>
        <v>0</v>
      </c>
      <c r="AA60" s="2">
        <f t="shared" si="15"/>
        <v>5</v>
      </c>
      <c r="AB60" s="943">
        <f t="shared" si="16"/>
        <v>0.33333333333333331</v>
      </c>
      <c r="AE60" s="121" t="s">
        <v>5078</v>
      </c>
      <c r="AF60" s="2">
        <v>64</v>
      </c>
      <c r="AG60" s="2">
        <v>3</v>
      </c>
      <c r="AH60" s="2">
        <v>2</v>
      </c>
      <c r="AI60" s="2">
        <v>5</v>
      </c>
      <c r="AJ60" s="943">
        <v>7.8125E-2</v>
      </c>
    </row>
    <row r="61" spans="2:36" x14ac:dyDescent="0.3">
      <c r="B61" s="106" t="s">
        <v>5614</v>
      </c>
      <c r="C61" s="106">
        <v>0</v>
      </c>
      <c r="F61" s="100"/>
      <c r="G61" s="2">
        <f>X28</f>
        <v>2</v>
      </c>
      <c r="H61" s="2">
        <f>Z28</f>
        <v>0</v>
      </c>
      <c r="I61" s="2">
        <f>AA28</f>
        <v>0</v>
      </c>
      <c r="J61" s="120">
        <f>(H61+I61)/G61</f>
        <v>0</v>
      </c>
      <c r="K61" s="106">
        <v>0</v>
      </c>
      <c r="L61" s="2">
        <v>0</v>
      </c>
      <c r="M61" s="2">
        <v>0</v>
      </c>
      <c r="N61" s="943"/>
      <c r="O61" s="955"/>
      <c r="R61" s="943"/>
      <c r="T61" s="955"/>
      <c r="W61" s="943"/>
      <c r="Y61" s="106">
        <f t="shared" ref="Y61:Y65" si="115">T61+O61+K61+G61+C61</f>
        <v>2</v>
      </c>
      <c r="Z61" s="2">
        <f t="shared" ref="Z61:Z65" si="116">U61+P61+L61+H61+D61</f>
        <v>0</v>
      </c>
      <c r="AA61" s="2">
        <f t="shared" ref="AA61:AA65" si="117">V61+Q61+M61+I61+E61</f>
        <v>0</v>
      </c>
      <c r="AB61" s="943">
        <f t="shared" ref="AB61:AB65" si="118">(Z61+AA61)/Y61</f>
        <v>0</v>
      </c>
      <c r="AE61" s="121" t="s">
        <v>83</v>
      </c>
      <c r="AF61" s="2">
        <v>63</v>
      </c>
      <c r="AG61" s="2">
        <v>0</v>
      </c>
      <c r="AH61" s="2">
        <v>4</v>
      </c>
      <c r="AI61" s="2">
        <v>4</v>
      </c>
      <c r="AJ61" s="943">
        <v>6.3492063492063489E-2</v>
      </c>
    </row>
    <row r="62" spans="2:36" x14ac:dyDescent="0.3">
      <c r="B62" s="106" t="s">
        <v>1224</v>
      </c>
      <c r="C62" s="106">
        <v>0</v>
      </c>
      <c r="F62" s="100"/>
      <c r="G62" s="2">
        <f>X30</f>
        <v>5</v>
      </c>
      <c r="H62" s="2">
        <f>Z30</f>
        <v>0</v>
      </c>
      <c r="I62" s="2">
        <f>AA30</f>
        <v>1</v>
      </c>
      <c r="J62" s="120">
        <f t="shared" ref="J62" si="119">(H62+I62)/G62</f>
        <v>0.2</v>
      </c>
      <c r="K62" s="106">
        <f t="shared" ref="K62:K63" si="120">AQ30-X30</f>
        <v>3</v>
      </c>
      <c r="L62" s="2">
        <f t="shared" ref="L62:M62" si="121">AS30-Z30</f>
        <v>0</v>
      </c>
      <c r="M62" s="2">
        <f t="shared" si="121"/>
        <v>0</v>
      </c>
      <c r="N62" s="943">
        <f t="shared" si="8"/>
        <v>0</v>
      </c>
      <c r="O62" s="106">
        <f t="shared" ref="O62:O65" si="122">BJ30-AQ30</f>
        <v>0</v>
      </c>
      <c r="P62" s="2"/>
      <c r="Q62" s="2"/>
      <c r="R62" s="943"/>
      <c r="T62" s="955"/>
      <c r="W62" s="943"/>
      <c r="Y62" s="106">
        <f t="shared" si="115"/>
        <v>8</v>
      </c>
      <c r="Z62" s="2">
        <f t="shared" si="116"/>
        <v>0</v>
      </c>
      <c r="AA62" s="2">
        <f t="shared" si="117"/>
        <v>1</v>
      </c>
      <c r="AB62" s="943">
        <f t="shared" si="118"/>
        <v>0.125</v>
      </c>
      <c r="AE62" s="121" t="s">
        <v>1173</v>
      </c>
      <c r="AF62" s="2">
        <v>9</v>
      </c>
      <c r="AG62" s="2">
        <v>0</v>
      </c>
      <c r="AH62" s="2">
        <v>0</v>
      </c>
      <c r="AI62" s="2">
        <v>0</v>
      </c>
      <c r="AJ62" s="943">
        <v>0</v>
      </c>
    </row>
    <row r="63" spans="2:36" x14ac:dyDescent="0.3">
      <c r="B63" s="954" t="s">
        <v>5613</v>
      </c>
      <c r="C63" s="106">
        <v>0</v>
      </c>
      <c r="F63" s="100"/>
      <c r="G63" s="2">
        <f>X31</f>
        <v>1</v>
      </c>
      <c r="H63" s="2">
        <f>Z31</f>
        <v>0</v>
      </c>
      <c r="I63" s="2">
        <f>AA31</f>
        <v>0</v>
      </c>
      <c r="J63" s="120">
        <f>(H63+I63)/G63</f>
        <v>0</v>
      </c>
      <c r="K63" s="106">
        <f t="shared" si="120"/>
        <v>14</v>
      </c>
      <c r="L63" s="2">
        <f t="shared" ref="L63:M63" si="123">AS31-Z31</f>
        <v>1</v>
      </c>
      <c r="M63" s="2">
        <f t="shared" si="123"/>
        <v>5</v>
      </c>
      <c r="N63" s="943">
        <f t="shared" si="8"/>
        <v>0.42857142857142855</v>
      </c>
      <c r="O63" s="106">
        <f t="shared" si="122"/>
        <v>2</v>
      </c>
      <c r="P63" s="2">
        <f t="shared" ref="P63:Q63" si="124">BL31-AS31</f>
        <v>0</v>
      </c>
      <c r="Q63" s="2">
        <f t="shared" si="124"/>
        <v>0</v>
      </c>
      <c r="R63" s="943">
        <f t="shared" si="11"/>
        <v>0</v>
      </c>
      <c r="T63" s="955"/>
      <c r="W63" s="943"/>
      <c r="Y63" s="106">
        <f t="shared" si="115"/>
        <v>17</v>
      </c>
      <c r="Z63" s="2">
        <f t="shared" si="116"/>
        <v>1</v>
      </c>
      <c r="AA63" s="2">
        <f t="shared" si="117"/>
        <v>5</v>
      </c>
      <c r="AB63" s="943">
        <f t="shared" si="118"/>
        <v>0.35294117647058826</v>
      </c>
      <c r="AE63" s="121" t="s">
        <v>5614</v>
      </c>
      <c r="AF63" s="2">
        <v>2</v>
      </c>
      <c r="AG63" s="2">
        <v>0</v>
      </c>
      <c r="AH63" s="2">
        <v>0</v>
      </c>
      <c r="AI63" s="2">
        <v>0</v>
      </c>
      <c r="AJ63" s="943">
        <v>0</v>
      </c>
    </row>
    <row r="64" spans="2:36" x14ac:dyDescent="0.3">
      <c r="B64" s="106" t="s">
        <v>4040</v>
      </c>
      <c r="C64" s="955"/>
      <c r="F64" s="100"/>
      <c r="K64" s="106">
        <v>2</v>
      </c>
      <c r="L64" s="2">
        <v>0</v>
      </c>
      <c r="M64" s="2">
        <v>0</v>
      </c>
      <c r="N64" s="943">
        <f t="shared" si="8"/>
        <v>0</v>
      </c>
      <c r="O64" s="106">
        <f t="shared" si="122"/>
        <v>1</v>
      </c>
      <c r="P64" s="2">
        <f t="shared" ref="P64:Q64" si="125">BL32-AS32</f>
        <v>0</v>
      </c>
      <c r="Q64" s="2">
        <f t="shared" si="125"/>
        <v>0</v>
      </c>
      <c r="R64" s="943">
        <f t="shared" si="11"/>
        <v>0</v>
      </c>
      <c r="T64" s="955"/>
      <c r="W64" s="943"/>
      <c r="Y64" s="106">
        <f t="shared" si="115"/>
        <v>3</v>
      </c>
      <c r="Z64" s="2">
        <f t="shared" si="116"/>
        <v>0</v>
      </c>
      <c r="AA64" s="2">
        <f t="shared" si="117"/>
        <v>0</v>
      </c>
      <c r="AB64" s="943">
        <f t="shared" si="118"/>
        <v>0</v>
      </c>
      <c r="AE64" s="121" t="s">
        <v>4040</v>
      </c>
      <c r="AF64" s="2">
        <v>3</v>
      </c>
      <c r="AG64" s="2">
        <v>0</v>
      </c>
      <c r="AH64" s="2">
        <v>0</v>
      </c>
      <c r="AI64" s="2">
        <v>0</v>
      </c>
      <c r="AJ64" s="943">
        <v>0</v>
      </c>
    </row>
    <row r="65" spans="2:36" ht="15" thickBot="1" x14ac:dyDescent="0.35">
      <c r="B65" s="187" t="s">
        <v>5676</v>
      </c>
      <c r="C65" s="102"/>
      <c r="D65" s="313"/>
      <c r="E65" s="313"/>
      <c r="F65" s="944"/>
      <c r="G65" s="313"/>
      <c r="H65" s="313"/>
      <c r="I65" s="313"/>
      <c r="J65" s="313"/>
      <c r="K65" s="187">
        <v>1</v>
      </c>
      <c r="L65" s="103">
        <v>0</v>
      </c>
      <c r="M65" s="103">
        <v>0</v>
      </c>
      <c r="N65" s="945">
        <f t="shared" si="8"/>
        <v>0</v>
      </c>
      <c r="O65" s="187">
        <f t="shared" si="122"/>
        <v>0</v>
      </c>
      <c r="P65" s="103"/>
      <c r="Q65" s="103"/>
      <c r="R65" s="945"/>
      <c r="T65" s="102"/>
      <c r="U65" s="313"/>
      <c r="V65" s="313"/>
      <c r="W65" s="945"/>
      <c r="Y65" s="187">
        <f t="shared" si="115"/>
        <v>1</v>
      </c>
      <c r="Z65" s="103">
        <f t="shared" si="116"/>
        <v>0</v>
      </c>
      <c r="AA65" s="103">
        <f t="shared" si="117"/>
        <v>0</v>
      </c>
      <c r="AB65" s="945">
        <f t="shared" si="118"/>
        <v>0</v>
      </c>
      <c r="AE65" s="790" t="s">
        <v>5676</v>
      </c>
      <c r="AF65" s="103">
        <v>1</v>
      </c>
      <c r="AG65" s="103">
        <v>0</v>
      </c>
      <c r="AH65" s="103">
        <v>0</v>
      </c>
      <c r="AI65" s="103">
        <v>0</v>
      </c>
      <c r="AJ65" s="945">
        <v>0</v>
      </c>
    </row>
    <row r="117" spans="19:19" x14ac:dyDescent="0.3">
      <c r="S117"/>
    </row>
    <row r="118" spans="19:19" x14ac:dyDescent="0.3">
      <c r="S118"/>
    </row>
    <row r="119" spans="19:19" x14ac:dyDescent="0.3">
      <c r="S119"/>
    </row>
    <row r="120" spans="19:19" x14ac:dyDescent="0.3">
      <c r="S120"/>
    </row>
    <row r="121" spans="19:19" x14ac:dyDescent="0.3">
      <c r="S121"/>
    </row>
    <row r="122" spans="19:19" x14ac:dyDescent="0.3">
      <c r="S122"/>
    </row>
    <row r="123" spans="19:19" x14ac:dyDescent="0.3">
      <c r="S123"/>
    </row>
    <row r="124" spans="19:19" x14ac:dyDescent="0.3">
      <c r="S124"/>
    </row>
    <row r="125" spans="19:19" x14ac:dyDescent="0.3">
      <c r="S125"/>
    </row>
    <row r="126" spans="19:19" x14ac:dyDescent="0.3">
      <c r="S126"/>
    </row>
    <row r="127" spans="19:19" x14ac:dyDescent="0.3">
      <c r="S127"/>
    </row>
    <row r="128" spans="19:19" x14ac:dyDescent="0.3">
      <c r="S128"/>
    </row>
    <row r="129" spans="19:19" x14ac:dyDescent="0.3">
      <c r="S129"/>
    </row>
    <row r="130" spans="19:19" x14ac:dyDescent="0.3">
      <c r="S130"/>
    </row>
    <row r="131" spans="19:19" x14ac:dyDescent="0.3">
      <c r="S131"/>
    </row>
    <row r="132" spans="19:19" x14ac:dyDescent="0.3">
      <c r="S132"/>
    </row>
    <row r="133" spans="19:19" x14ac:dyDescent="0.3">
      <c r="S133"/>
    </row>
    <row r="134" spans="19:19" x14ac:dyDescent="0.3">
      <c r="S134"/>
    </row>
    <row r="135" spans="19:19" x14ac:dyDescent="0.3">
      <c r="S135"/>
    </row>
    <row r="136" spans="19:19" x14ac:dyDescent="0.3">
      <c r="S136"/>
    </row>
    <row r="137" spans="19:19" x14ac:dyDescent="0.3">
      <c r="S137"/>
    </row>
    <row r="138" spans="19:19" x14ac:dyDescent="0.3">
      <c r="S138"/>
    </row>
    <row r="139" spans="19:19" x14ac:dyDescent="0.3">
      <c r="S139"/>
    </row>
    <row r="140" spans="19:19" x14ac:dyDescent="0.3">
      <c r="S140"/>
    </row>
    <row r="141" spans="19:19" x14ac:dyDescent="0.3">
      <c r="S141"/>
    </row>
    <row r="142" spans="19:19" x14ac:dyDescent="0.3">
      <c r="S142"/>
    </row>
    <row r="143" spans="19:19" x14ac:dyDescent="0.3">
      <c r="S143"/>
    </row>
    <row r="144" spans="19:19" x14ac:dyDescent="0.3">
      <c r="S144"/>
    </row>
    <row r="145" spans="19:19" x14ac:dyDescent="0.3">
      <c r="S145"/>
    </row>
    <row r="146" spans="19:19" x14ac:dyDescent="0.3">
      <c r="S146"/>
    </row>
    <row r="147" spans="19:19" x14ac:dyDescent="0.3">
      <c r="S147"/>
    </row>
    <row r="148" spans="19:19" x14ac:dyDescent="0.3">
      <c r="S148" s="491" t="s">
        <v>4055</v>
      </c>
    </row>
    <row r="149" spans="19:19" x14ac:dyDescent="0.3">
      <c r="S149" s="897"/>
    </row>
    <row r="150" spans="19:19" ht="15" thickBot="1" x14ac:dyDescent="0.35">
      <c r="S150" s="906">
        <v>-6</v>
      </c>
    </row>
    <row r="151" spans="19:19" x14ac:dyDescent="0.3">
      <c r="S151" s="892">
        <v>-6</v>
      </c>
    </row>
    <row r="152" spans="19:19" x14ac:dyDescent="0.3">
      <c r="S152" s="892"/>
    </row>
    <row r="153" spans="19:19" x14ac:dyDescent="0.3">
      <c r="S153" s="901"/>
    </row>
    <row r="154" spans="19:19" x14ac:dyDescent="0.3">
      <c r="S154"/>
    </row>
    <row r="155" spans="19:19" x14ac:dyDescent="0.3">
      <c r="S155" s="491" t="s">
        <v>4055</v>
      </c>
    </row>
    <row r="156" spans="19:19" x14ac:dyDescent="0.3">
      <c r="S156" s="897">
        <v>2</v>
      </c>
    </row>
    <row r="157" spans="19:19" x14ac:dyDescent="0.3">
      <c r="S157" s="897">
        <v>-2</v>
      </c>
    </row>
    <row r="158" spans="19:19" x14ac:dyDescent="0.3">
      <c r="S158" s="901"/>
    </row>
    <row r="159" spans="19:19" x14ac:dyDescent="0.3">
      <c r="S159"/>
    </row>
    <row r="160" spans="19:19" x14ac:dyDescent="0.3">
      <c r="S160"/>
    </row>
    <row r="161" spans="19:19" x14ac:dyDescent="0.3">
      <c r="S161"/>
    </row>
    <row r="162" spans="19:19" x14ac:dyDescent="0.3">
      <c r="S162"/>
    </row>
    <row r="163" spans="19:19" x14ac:dyDescent="0.3">
      <c r="S163"/>
    </row>
    <row r="164" spans="19:19" x14ac:dyDescent="0.3">
      <c r="S164" s="2"/>
    </row>
    <row r="165" spans="19:19" x14ac:dyDescent="0.3">
      <c r="S165" s="2"/>
    </row>
    <row r="166" spans="19:19" x14ac:dyDescent="0.3">
      <c r="S166" s="2"/>
    </row>
    <row r="167" spans="19:19" x14ac:dyDescent="0.3">
      <c r="S167" s="2"/>
    </row>
    <row r="168" spans="19:19" x14ac:dyDescent="0.3">
      <c r="S168"/>
    </row>
    <row r="169" spans="19:19" x14ac:dyDescent="0.3">
      <c r="S169"/>
    </row>
    <row r="170" spans="19:19" x14ac:dyDescent="0.3">
      <c r="S170"/>
    </row>
    <row r="171" spans="19:19" x14ac:dyDescent="0.3">
      <c r="S171" s="2"/>
    </row>
    <row r="172" spans="19:19" x14ac:dyDescent="0.3">
      <c r="S172" s="2"/>
    </row>
    <row r="173" spans="19:19" x14ac:dyDescent="0.3">
      <c r="S173" s="2"/>
    </row>
    <row r="174" spans="19:19" x14ac:dyDescent="0.3">
      <c r="S174" s="2"/>
    </row>
    <row r="175" spans="19:19" x14ac:dyDescent="0.3">
      <c r="S175" s="2"/>
    </row>
    <row r="176" spans="19:19" x14ac:dyDescent="0.3">
      <c r="S176" s="2"/>
    </row>
    <row r="177" spans="19:19" x14ac:dyDescent="0.3">
      <c r="S177" s="2"/>
    </row>
    <row r="178" spans="19:19" x14ac:dyDescent="0.3">
      <c r="S178"/>
    </row>
    <row r="179" spans="19:19" x14ac:dyDescent="0.3">
      <c r="S179"/>
    </row>
    <row r="180" spans="19:19" x14ac:dyDescent="0.3">
      <c r="S180"/>
    </row>
    <row r="181" spans="19:19" x14ac:dyDescent="0.3">
      <c r="S181"/>
    </row>
    <row r="182" spans="19:19" x14ac:dyDescent="0.3">
      <c r="S182"/>
    </row>
    <row r="183" spans="19:19" x14ac:dyDescent="0.3">
      <c r="S183"/>
    </row>
    <row r="184" spans="19:19" x14ac:dyDescent="0.3">
      <c r="S184"/>
    </row>
    <row r="185" spans="19:19" x14ac:dyDescent="0.3">
      <c r="S185"/>
    </row>
    <row r="186" spans="19:19" x14ac:dyDescent="0.3">
      <c r="S186"/>
    </row>
    <row r="187" spans="19:19" x14ac:dyDescent="0.3">
      <c r="S187"/>
    </row>
    <row r="188" spans="19:19" x14ac:dyDescent="0.3">
      <c r="S188"/>
    </row>
    <row r="189" spans="19:19" x14ac:dyDescent="0.3">
      <c r="S189"/>
    </row>
    <row r="190" spans="19:19" x14ac:dyDescent="0.3">
      <c r="S190"/>
    </row>
    <row r="191" spans="19:19" x14ac:dyDescent="0.3">
      <c r="S191"/>
    </row>
    <row r="192" spans="19:19" x14ac:dyDescent="0.3">
      <c r="S192" s="2"/>
    </row>
    <row r="193" spans="19:19" x14ac:dyDescent="0.3">
      <c r="S193" s="2"/>
    </row>
    <row r="194" spans="19:19" x14ac:dyDescent="0.3">
      <c r="S194"/>
    </row>
    <row r="195" spans="19:19" x14ac:dyDescent="0.3">
      <c r="S195"/>
    </row>
    <row r="196" spans="19:19" x14ac:dyDescent="0.3">
      <c r="S196"/>
    </row>
    <row r="197" spans="19:19" x14ac:dyDescent="0.3">
      <c r="S197"/>
    </row>
    <row r="198" spans="19:19" x14ac:dyDescent="0.3">
      <c r="S198"/>
    </row>
    <row r="199" spans="19:19" x14ac:dyDescent="0.3">
      <c r="S199"/>
    </row>
    <row r="200" spans="19:19" x14ac:dyDescent="0.3">
      <c r="S200"/>
    </row>
    <row r="201" spans="19:19" x14ac:dyDescent="0.3">
      <c r="S201"/>
    </row>
    <row r="202" spans="19:19" x14ac:dyDescent="0.3">
      <c r="S202"/>
    </row>
    <row r="203" spans="19:19" x14ac:dyDescent="0.3">
      <c r="S203"/>
    </row>
    <row r="204" spans="19:19" x14ac:dyDescent="0.3">
      <c r="S204" s="2"/>
    </row>
    <row r="205" spans="19:19" x14ac:dyDescent="0.3">
      <c r="S205" s="2"/>
    </row>
    <row r="206" spans="19:19" x14ac:dyDescent="0.3">
      <c r="S206" s="2"/>
    </row>
    <row r="207" spans="19:19" x14ac:dyDescent="0.3">
      <c r="S207" s="2"/>
    </row>
    <row r="208" spans="19:19" x14ac:dyDescent="0.3">
      <c r="S208" s="2"/>
    </row>
    <row r="209" spans="19:19" x14ac:dyDescent="0.3">
      <c r="S209" s="2"/>
    </row>
    <row r="210" spans="19:19" x14ac:dyDescent="0.3">
      <c r="S210" s="2"/>
    </row>
    <row r="213" spans="19:19" x14ac:dyDescent="0.3">
      <c r="S213" s="742"/>
    </row>
    <row r="214" spans="19:19" x14ac:dyDescent="0.3">
      <c r="S214" s="742"/>
    </row>
    <row r="215" spans="19:19" x14ac:dyDescent="0.3">
      <c r="S215" s="742"/>
    </row>
    <row r="216" spans="19:19" x14ac:dyDescent="0.3">
      <c r="S216" s="742"/>
    </row>
    <row r="217" spans="19:19" x14ac:dyDescent="0.3">
      <c r="S217" s="742"/>
    </row>
    <row r="218" spans="19:19" x14ac:dyDescent="0.3">
      <c r="S218" s="742"/>
    </row>
    <row r="219" spans="19:19" x14ac:dyDescent="0.3">
      <c r="S219" s="742"/>
    </row>
    <row r="220" spans="19:19" x14ac:dyDescent="0.3">
      <c r="S220" s="742"/>
    </row>
    <row r="221" spans="19:19" x14ac:dyDescent="0.3">
      <c r="S221" s="742"/>
    </row>
    <row r="243" spans="19:19" x14ac:dyDescent="0.3">
      <c r="S243" s="742"/>
    </row>
    <row r="244" spans="19:19" x14ac:dyDescent="0.3">
      <c r="S244" s="742"/>
    </row>
    <row r="245" spans="19:19" x14ac:dyDescent="0.3">
      <c r="S245" s="742"/>
    </row>
    <row r="246" spans="19:19" x14ac:dyDescent="0.3">
      <c r="S246" s="742"/>
    </row>
    <row r="247" spans="19:19" x14ac:dyDescent="0.3">
      <c r="S247" s="742"/>
    </row>
    <row r="248" spans="19:19" x14ac:dyDescent="0.3">
      <c r="S248" s="742"/>
    </row>
    <row r="249" spans="19:19" x14ac:dyDescent="0.3">
      <c r="S249" s="742"/>
    </row>
    <row r="250" spans="19:19" x14ac:dyDescent="0.3">
      <c r="S250" s="742"/>
    </row>
    <row r="272" spans="19:19" x14ac:dyDescent="0.3">
      <c r="S272" s="742"/>
    </row>
    <row r="273" spans="19:19" x14ac:dyDescent="0.3">
      <c r="S273" s="742"/>
    </row>
    <row r="274" spans="19:19" x14ac:dyDescent="0.3">
      <c r="S274" s="742"/>
    </row>
    <row r="275" spans="19:19" x14ac:dyDescent="0.3">
      <c r="S275" s="742"/>
    </row>
    <row r="276" spans="19:19" x14ac:dyDescent="0.3">
      <c r="S276" s="742"/>
    </row>
    <row r="277" spans="19:19" x14ac:dyDescent="0.3">
      <c r="S277" s="742"/>
    </row>
    <row r="278" spans="19:19" x14ac:dyDescent="0.3">
      <c r="S278" s="742"/>
    </row>
    <row r="279" spans="19:19" x14ac:dyDescent="0.3">
      <c r="S279" s="742"/>
    </row>
    <row r="280" spans="19:19" x14ac:dyDescent="0.3">
      <c r="S280" s="742"/>
    </row>
  </sheetData>
  <mergeCells count="12">
    <mergeCell ref="BY1:CP1"/>
    <mergeCell ref="AE36:AJ36"/>
    <mergeCell ref="A1:R1"/>
    <mergeCell ref="T1:AK1"/>
    <mergeCell ref="AM1:BD1"/>
    <mergeCell ref="BF1:BW1"/>
    <mergeCell ref="C36:F36"/>
    <mergeCell ref="G36:J36"/>
    <mergeCell ref="K36:N36"/>
    <mergeCell ref="O36:R36"/>
    <mergeCell ref="T36:W36"/>
    <mergeCell ref="Y36:AB36"/>
  </mergeCells>
  <hyperlinks>
    <hyperlink ref="BG20" r:id="rId1" display="https://www.hokej.cz/hrac/ondrej-kase/14405?t=4" xr:uid="{4468EB96-DD5A-4E4C-91C7-9381627CDEEA}"/>
    <hyperlink ref="BG4" r:id="rId2" display="https://www.hokej.cz/hrac/david-kase/15634?t=4" xr:uid="{991C9E53-0AE3-4ACE-84BD-123B6E7DE40D}"/>
    <hyperlink ref="BG23" r:id="rId3" display="https://www.hokej.cz/hrac/petr-koblasa/13233?t=4" xr:uid="{8ECB60EF-AF36-4BD3-A4C2-1394477D29BF}"/>
    <hyperlink ref="BG18" r:id="rId4" display="https://www.hokej.cz/hrac/nicolas-hlava/13667?t=4" xr:uid="{FD12C83A-285A-4B80-93BF-C46BC3FA7B0B}"/>
    <hyperlink ref="BG8" r:id="rId5" display="https://www.hokej.cz/hrac/jindrich-abdul/14203?t=4" xr:uid="{C765E1E7-2EC5-413A-A748-050B1C71D318}"/>
    <hyperlink ref="BG11" r:id="rId6" display="https://www.hokej.cz/hrac/liam-kirk/10096404?t=4" xr:uid="{6D606388-D84B-4595-8332-5771885E1E22}"/>
    <hyperlink ref="BG7" r:id="rId7" display="https://www.hokej.cz/hrac/janis-jaks/10083186?t=4" xr:uid="{324A050D-D681-42E0-95BE-B20951D2BB93}"/>
    <hyperlink ref="BG3" r:id="rId8" display="https://www.hokej.cz/hrac/andrej-kudrna/7229427?t=4" xr:uid="{6B7E7E80-E27D-4E61-B484-5463B2384312}"/>
    <hyperlink ref="BG13" r:id="rId9" display="https://www.hokej.cz/hrac/marek-baranek/13911?t=4" xr:uid="{E2800569-2B5E-4C72-889A-A11282D54F79}"/>
    <hyperlink ref="BG12" r:id="rId10" display="https://www.hokej.cz/hrac/lukas-valek/14465?t=4" xr:uid="{53607F31-8425-4A24-BF00-F6F8E2703270}"/>
    <hyperlink ref="BG10" r:id="rId11" display="https://www.hokej.cz/hrac/kristaps-zile/5607414?t=4" xr:uid="{AC066B97-F4A8-49E1-91DF-B16FD05E1253}"/>
    <hyperlink ref="BG16" r:id="rId12" display="https://www.hokej.cz/hrac/matus-sukel/2491887?t=4" xr:uid="{5B42550D-C765-4924-BD88-09C334E3AEAE}"/>
    <hyperlink ref="BG19" r:id="rId13" display="https://www.hokej.cz/hrac/ondrej-jurcik/11273?t=4" xr:uid="{8A7D3776-68A6-41F5-807C-81400DC47B2A}"/>
    <hyperlink ref="BG21" r:id="rId14" display="https://www.hokej.cz/hrac/patrik-demel/14369?t=4" xr:uid="{F8FDDCB3-E718-47D3-9DF9-11D1CBE470D8}"/>
    <hyperlink ref="BG9" r:id="rId15" display="https://www.hokej.cz/hrac/kevin-czuczman/318277?t=4" xr:uid="{6D752BBB-0B64-4503-8944-E616525D8C1C}"/>
    <hyperlink ref="BG17" r:id="rId16" display="https://www.hokej.cz/hrac/michal-gut/10077703?t=4" xr:uid="{E9041C07-8FC5-47D4-8B7B-1F79B5A74F36}"/>
    <hyperlink ref="BG31" r:id="rId17" display="https://www.hokej.cz/hrac/tomas-urban/4859314?t=4" xr:uid="{1E8F0515-22E2-4BDD-B815-F55DA018F25B}"/>
    <hyperlink ref="BG15" r:id="rId18" display="https://www.hokej.cz/hrac/matej-mastalirsky/10096098?t=4" xr:uid="{EEB60B8C-BB4E-4B09-BADF-30B866D617B8}"/>
    <hyperlink ref="BG5" r:id="rId19" display="https://www.hokej.cz/hrac/denis-zeman/51841?t=4" xr:uid="{B2CCAD11-88CE-4A4B-8509-611F5D179E54}"/>
    <hyperlink ref="BG29" r:id="rId20" display="https://www.hokej.cz/hrac/josef-jicha/15400?t=4" xr:uid="{02E7A07C-4E6D-4FDA-90D3-031AC77144ED}"/>
    <hyperlink ref="BG22" r:id="rId21" display="https://www.hokej.cz/hrac/pawel-zygmunt/10096884?t=4" xr:uid="{33AD4193-903A-4734-82A5-F8BE120C3A68}"/>
    <hyperlink ref="BG24" r:id="rId22" display="https://www.hokej.cz/hrac/radim-salda/19035?t=4" xr:uid="{1AA743B4-07A7-4313-98E0-F734EC4E6497}"/>
    <hyperlink ref="BG14" r:id="rId23" display="https://www.hokej.cz/hrac/martin-havelka/17112?t=4" xr:uid="{81162B77-5DDA-4C0E-B977-A150FB18AC40}"/>
    <hyperlink ref="BG30" r:id="rId24" display="https://www.hokej.cz/hrac/ondrej-balaz/10079354?t=4" xr:uid="{8CB2D7B8-5BC1-4E56-84A3-195710C6BDC3}"/>
    <hyperlink ref="BG33" r:id="rId25" display="https://www.hokej.cz/hrac/otakar-sik/36281?t=4" xr:uid="{16EED5A0-BB06-4728-BA93-4D2A213951EC}"/>
    <hyperlink ref="BG28" r:id="rId26" display="https://www.hokej.cz/hrac/fabien-koci/4882181?t=4" xr:uid="{14649526-0918-40FF-889A-14CB7CD65AFA}"/>
    <hyperlink ref="BG32" r:id="rId27" display="https://www.hokej.cz/hrac/marek-slavik/10079423?t=4" xr:uid="{992B2D9A-0ED4-4C23-8B2D-8A3ED25B2532}"/>
    <hyperlink ref="BG6" r:id="rId28" display="https://www.hokej.cz/hrac/jan-strejcek/13198?t=4" xr:uid="{E18149E3-8F1A-462A-B0D5-E8F804266DEE}"/>
    <hyperlink ref="BZ11" r:id="rId29" display="https://www.hokej.cz/hrac/liam-kirk/10096404" xr:uid="{12B68CAE-FD5F-44E9-82D9-A611E1E136B5}"/>
    <hyperlink ref="BZ23" r:id="rId30" display="https://www.hokej.cz/hrac/petr-koblasa/13233" xr:uid="{7429F69D-5AEC-4563-8EA9-CD4C5AFE4F82}"/>
    <hyperlink ref="BZ4" r:id="rId31" display="https://www.hokej.cz/hrac/david-kase/15634" xr:uid="{9BF605C3-2255-4C73-B6A0-73BB87DAC76A}"/>
    <hyperlink ref="BZ13" r:id="rId32" display="https://www.hokej.cz/hrac/marek-baranek/13911" xr:uid="{66817716-745C-4EDE-91A8-71C2133CB343}"/>
    <hyperlink ref="BZ20" r:id="rId33" display="https://www.hokej.cz/hrac/ondrej-kase/14405" xr:uid="{9AB5B3CA-941C-4410-9798-8BC913EF4258}"/>
    <hyperlink ref="BZ18" r:id="rId34" display="https://www.hokej.cz/hrac/nicolas-hlava/13667" xr:uid="{11899C78-5538-441D-96BF-0468D4A796C1}"/>
    <hyperlink ref="BZ16" r:id="rId35" display="https://www.hokej.cz/hrac/matus-sukel/2491887" xr:uid="{5F3EF47F-C549-4A99-8789-1259430B85B9}"/>
    <hyperlink ref="BZ8" r:id="rId36" display="https://www.hokej.cz/hrac/jindrich-abdul/14203" xr:uid="{4D5B8C54-1A6D-4D19-B34D-BA2A2FF5AE80}"/>
    <hyperlink ref="BZ10" r:id="rId37" display="https://www.hokej.cz/hrac/kristaps-zile/5607414" xr:uid="{7824F1F3-1C33-45B0-B34C-50DEE2B8CA83}"/>
    <hyperlink ref="BZ3" r:id="rId38" display="https://www.hokej.cz/hrac/andrej-kudrna/7229427" xr:uid="{52A34B31-20E0-4215-9C9B-7A54E9E5BEE6}"/>
    <hyperlink ref="BZ19" r:id="rId39" display="https://www.hokej.cz/hrac/ondrej-jurcik/11273" xr:uid="{5997DB56-F478-46F1-8A3F-4ABFE8046817}"/>
    <hyperlink ref="BZ7" r:id="rId40" display="https://www.hokej.cz/hrac/janis-jaks/10083186" xr:uid="{870E8B48-5812-4D12-9E55-ABEDB8AD4254}"/>
    <hyperlink ref="BZ22" r:id="rId41" display="https://www.hokej.cz/hrac/pawel-zygmunt/10096884" xr:uid="{C4774052-750E-45A7-966E-D54A90CFB61F}"/>
    <hyperlink ref="BZ24" r:id="rId42" display="https://www.hokej.cz/hrac/radim-salda/19035" xr:uid="{AC1781F6-C5BA-4F38-9997-DB40717694CD}"/>
    <hyperlink ref="BZ21" r:id="rId43" display="https://www.hokej.cz/hrac/patrik-demel/14369" xr:uid="{91745273-4685-4B23-9389-EEBC7622ED79}"/>
    <hyperlink ref="BZ12" r:id="rId44" display="https://www.hokej.cz/hrac/lukas-valek/14465" xr:uid="{E7D62344-1D28-493B-8090-FE13F850E750}"/>
    <hyperlink ref="BZ17" r:id="rId45" display="https://www.hokej.cz/hrac/michal-gut/10077703" xr:uid="{BC6C2325-8242-4D69-9BED-3E3ED3A0AF6C}"/>
    <hyperlink ref="BZ28" r:id="rId46" display="https://www.hokej.cz/hrac/josef-jicha/15400" xr:uid="{91506D26-FF45-45C8-9595-C6126E5955B3}"/>
    <hyperlink ref="BZ15" r:id="rId47" display="https://www.hokej.cz/hrac/matej-mastalirsky/10096098" xr:uid="{8EDEB231-FD66-4BBF-B139-7F38AE3ACE46}"/>
    <hyperlink ref="BZ14" r:id="rId48" display="https://www.hokej.cz/hrac/martin-havelka/17112" xr:uid="{F9CFC819-CE1F-4F32-9EF9-B4D7700F49B4}"/>
    <hyperlink ref="BZ9" r:id="rId49" display="https://www.hokej.cz/hrac/kevin-czuczman/318277" xr:uid="{AE3924FA-28ED-4ADD-8466-B89E431DB57D}"/>
    <hyperlink ref="BZ6" r:id="rId50" display="https://www.hokej.cz/hrac/jan-strejcek/13198" xr:uid="{59700577-9278-4837-ADF5-1BED5B89E4FE}"/>
    <hyperlink ref="BZ5" r:id="rId51" display="https://www.hokej.cz/hrac/denis-zeman/51841" xr:uid="{F3679604-7045-4EA7-8F34-287840DA67CB}"/>
  </hyperlinks>
  <pageMargins left="0.7" right="0.7" top="0.78740157499999996" bottom="0.78740157499999996" header="0.3" footer="0.3"/>
  <pageSetup paperSize="9" orientation="portrait" r:id="rId5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EDC09-6970-4336-8831-E87015ABA71B}">
  <dimension ref="A3:AM176"/>
  <sheetViews>
    <sheetView topLeftCell="A51" workbookViewId="0">
      <selection activeCell="C71" sqref="C71:F82"/>
    </sheetView>
  </sheetViews>
  <sheetFormatPr defaultRowHeight="14.4" x14ac:dyDescent="0.3"/>
  <cols>
    <col min="1" max="1" width="27.5546875" customWidth="1"/>
    <col min="2" max="2" width="20.33203125" customWidth="1"/>
    <col min="3" max="3" width="12.44140625" style="2" customWidth="1"/>
    <col min="4" max="4" width="17" style="2" customWidth="1"/>
    <col min="5" max="5" width="15" style="2" customWidth="1"/>
    <col min="6" max="6" width="10.109375" style="2" bestFit="1" customWidth="1"/>
    <col min="7" max="7" width="20.44140625" style="2" customWidth="1"/>
    <col min="8" max="8" width="23.109375" style="2" customWidth="1"/>
    <col min="9" max="9" width="10.109375" style="2" customWidth="1"/>
    <col min="10" max="10" width="12.5546875" customWidth="1"/>
    <col min="11" max="11" width="38.5546875" customWidth="1"/>
    <col min="12" max="12" width="25.109375" customWidth="1"/>
    <col min="13" max="13" width="19.88671875" customWidth="1"/>
    <col min="14" max="14" width="24.44140625" customWidth="1"/>
    <col min="15" max="15" width="14.33203125" style="2" customWidth="1"/>
    <col min="16" max="16" width="22.109375" customWidth="1"/>
    <col min="17" max="17" width="19.6640625" customWidth="1"/>
    <col min="18" max="18" width="11.5546875" customWidth="1"/>
    <col min="19" max="19" width="14" customWidth="1"/>
    <col min="20" max="20" width="27.88671875" customWidth="1"/>
    <col min="21" max="21" width="26.109375" customWidth="1"/>
    <col min="22" max="22" width="27.5546875" customWidth="1"/>
    <col min="31" max="31" width="13.6640625" customWidth="1"/>
    <col min="32" max="32" width="15.33203125" customWidth="1"/>
    <col min="35" max="35" width="12.44140625" customWidth="1"/>
    <col min="36" max="36" width="17.44140625" customWidth="1"/>
    <col min="37" max="37" width="13.6640625" customWidth="1"/>
    <col min="38" max="38" width="16" customWidth="1"/>
  </cols>
  <sheetData>
    <row r="3" spans="1:38" x14ac:dyDescent="0.3">
      <c r="A3" s="2" t="s">
        <v>4809</v>
      </c>
      <c r="B3" s="2" t="s">
        <v>785</v>
      </c>
      <c r="C3" s="2" t="s">
        <v>14</v>
      </c>
      <c r="D3" s="2" t="s">
        <v>15</v>
      </c>
      <c r="E3" s="2" t="s">
        <v>11</v>
      </c>
      <c r="F3" s="2" t="s">
        <v>12</v>
      </c>
      <c r="G3" s="2" t="s">
        <v>13</v>
      </c>
      <c r="H3" s="2" t="s">
        <v>157</v>
      </c>
      <c r="I3" s="2" t="s">
        <v>833</v>
      </c>
      <c r="J3" s="2"/>
      <c r="K3" s="8"/>
    </row>
    <row r="4" spans="1:38" x14ac:dyDescent="0.3">
      <c r="B4" s="2">
        <v>1</v>
      </c>
      <c r="C4" s="2">
        <v>1</v>
      </c>
      <c r="D4" s="2" t="s">
        <v>1274</v>
      </c>
      <c r="E4" s="4">
        <v>45553</v>
      </c>
      <c r="F4" s="2" t="s">
        <v>21</v>
      </c>
      <c r="G4" s="2" t="s">
        <v>17</v>
      </c>
      <c r="H4" s="60">
        <v>0.16805555555555557</v>
      </c>
      <c r="I4" s="60"/>
      <c r="L4" s="2"/>
      <c r="M4" s="2"/>
      <c r="N4" s="2"/>
      <c r="AE4" s="1153"/>
      <c r="AF4" s="1153"/>
      <c r="AK4" s="1153"/>
      <c r="AL4" s="1153"/>
    </row>
    <row r="5" spans="1:38" x14ac:dyDescent="0.3">
      <c r="B5" s="2">
        <v>2</v>
      </c>
      <c r="C5" s="2">
        <v>2</v>
      </c>
      <c r="D5" s="2" t="s">
        <v>331</v>
      </c>
      <c r="E5" s="4">
        <v>45555</v>
      </c>
      <c r="F5" s="2" t="s">
        <v>18</v>
      </c>
      <c r="G5" s="2" t="s">
        <v>16</v>
      </c>
      <c r="H5" s="60">
        <v>0.12569444444444444</v>
      </c>
      <c r="I5" s="60" t="s">
        <v>834</v>
      </c>
      <c r="AE5" s="2"/>
      <c r="AF5" s="2"/>
      <c r="AK5" s="2"/>
      <c r="AL5" s="2"/>
    </row>
    <row r="6" spans="1:38" ht="15" thickBot="1" x14ac:dyDescent="0.35">
      <c r="B6" s="2">
        <v>3</v>
      </c>
      <c r="C6" s="2">
        <v>3</v>
      </c>
      <c r="D6" s="2" t="s">
        <v>332</v>
      </c>
      <c r="E6" s="4">
        <v>45557</v>
      </c>
      <c r="F6" s="2" t="s">
        <v>19</v>
      </c>
      <c r="G6" s="2" t="s">
        <v>17</v>
      </c>
      <c r="H6" s="60">
        <v>0.12638888888888888</v>
      </c>
      <c r="I6" s="60" t="s">
        <v>834</v>
      </c>
      <c r="K6" s="2"/>
      <c r="L6" s="2"/>
      <c r="M6" s="2"/>
      <c r="N6" s="4"/>
      <c r="AE6" s="4"/>
      <c r="AF6" s="60"/>
      <c r="AK6" s="4"/>
      <c r="AL6" s="60"/>
    </row>
    <row r="7" spans="1:38" ht="15" thickBot="1" x14ac:dyDescent="0.35">
      <c r="B7" s="2">
        <v>4</v>
      </c>
      <c r="C7" s="2">
        <v>4</v>
      </c>
      <c r="D7" s="2" t="s">
        <v>610</v>
      </c>
      <c r="E7" s="4">
        <v>45559</v>
      </c>
      <c r="F7" s="2" t="s">
        <v>20</v>
      </c>
      <c r="G7" s="2" t="s">
        <v>16</v>
      </c>
      <c r="H7" s="60">
        <v>0.16805555555555557</v>
      </c>
      <c r="I7" s="60"/>
      <c r="K7" s="1163" t="s">
        <v>5272</v>
      </c>
      <c r="L7" s="1164"/>
      <c r="M7" s="1164"/>
      <c r="N7" s="1164"/>
      <c r="O7" s="1164"/>
      <c r="P7" s="1165"/>
      <c r="X7" t="s">
        <v>315</v>
      </c>
      <c r="Y7" s="2" t="s">
        <v>5105</v>
      </c>
      <c r="AE7" s="4"/>
      <c r="AF7" s="60"/>
      <c r="AK7" s="4"/>
      <c r="AL7" s="60"/>
    </row>
    <row r="8" spans="1:38" x14ac:dyDescent="0.3">
      <c r="B8" s="2">
        <v>5</v>
      </c>
      <c r="C8" s="2">
        <v>5</v>
      </c>
      <c r="D8" s="2" t="s">
        <v>6076</v>
      </c>
      <c r="E8" s="4">
        <v>45562</v>
      </c>
      <c r="F8" s="2" t="s">
        <v>18</v>
      </c>
      <c r="G8" s="2" t="s">
        <v>17</v>
      </c>
      <c r="H8" s="60">
        <v>0.20972222222222223</v>
      </c>
      <c r="I8" s="60"/>
      <c r="K8" s="185" t="s">
        <v>220</v>
      </c>
      <c r="L8" s="96" t="s">
        <v>14</v>
      </c>
      <c r="M8" s="96" t="s">
        <v>15</v>
      </c>
      <c r="N8" s="96" t="s">
        <v>11</v>
      </c>
      <c r="O8" s="96" t="s">
        <v>1047</v>
      </c>
      <c r="P8" s="186" t="s">
        <v>1051</v>
      </c>
      <c r="X8" s="60">
        <v>0.1673611111111111</v>
      </c>
      <c r="Y8" s="2">
        <v>3</v>
      </c>
      <c r="AE8" s="4"/>
      <c r="AF8" s="60"/>
      <c r="AK8" s="4"/>
      <c r="AL8" s="60"/>
    </row>
    <row r="9" spans="1:38" x14ac:dyDescent="0.3">
      <c r="B9" s="2">
        <v>6</v>
      </c>
      <c r="C9" s="2">
        <v>6</v>
      </c>
      <c r="D9" s="2" t="s">
        <v>626</v>
      </c>
      <c r="E9" s="4">
        <v>45564</v>
      </c>
      <c r="F9" s="2" t="s">
        <v>19</v>
      </c>
      <c r="G9" s="2" t="s">
        <v>16</v>
      </c>
      <c r="H9" s="60">
        <v>8.4027777777777785E-2</v>
      </c>
      <c r="I9" s="60"/>
      <c r="K9" s="106" t="s">
        <v>5771</v>
      </c>
      <c r="L9" s="2">
        <v>2</v>
      </c>
      <c r="M9" s="2" t="s">
        <v>331</v>
      </c>
      <c r="N9" s="4">
        <v>45555</v>
      </c>
      <c r="O9" s="60">
        <v>0.12569444444444444</v>
      </c>
      <c r="P9" s="99" t="s">
        <v>16</v>
      </c>
      <c r="X9" s="60">
        <v>0.16805555555555554</v>
      </c>
      <c r="Y9" s="2">
        <v>2</v>
      </c>
      <c r="AE9" s="4"/>
      <c r="AF9" s="60"/>
      <c r="AK9" s="4"/>
      <c r="AL9" s="60"/>
    </row>
    <row r="10" spans="1:38" ht="15" thickBot="1" x14ac:dyDescent="0.35">
      <c r="B10" s="2">
        <v>7</v>
      </c>
      <c r="C10" s="2">
        <v>7</v>
      </c>
      <c r="D10" s="2" t="s">
        <v>6091</v>
      </c>
      <c r="E10" s="4">
        <v>45566</v>
      </c>
      <c r="F10" s="2" t="s">
        <v>20</v>
      </c>
      <c r="G10" s="2" t="s">
        <v>17</v>
      </c>
      <c r="H10" s="60">
        <v>0.20902777777777778</v>
      </c>
      <c r="I10" s="60" t="s">
        <v>834</v>
      </c>
      <c r="K10" s="106" t="s">
        <v>5904</v>
      </c>
      <c r="L10" s="2">
        <v>18</v>
      </c>
      <c r="M10" s="2" t="s">
        <v>6076</v>
      </c>
      <c r="N10" s="4">
        <v>45599</v>
      </c>
      <c r="O10" s="60">
        <v>1.3888888888888889E-3</v>
      </c>
      <c r="P10" s="99" t="s">
        <v>743</v>
      </c>
      <c r="X10" s="60">
        <v>8.4722222222222213E-2</v>
      </c>
      <c r="Y10" s="2">
        <v>4</v>
      </c>
      <c r="AE10" s="4"/>
      <c r="AF10" s="60"/>
      <c r="AK10" s="4"/>
      <c r="AL10" s="60"/>
    </row>
    <row r="11" spans="1:38" x14ac:dyDescent="0.3">
      <c r="B11" s="2">
        <v>8</v>
      </c>
      <c r="C11" s="2">
        <v>8</v>
      </c>
      <c r="D11" s="2" t="s">
        <v>327</v>
      </c>
      <c r="E11" s="4">
        <v>45569</v>
      </c>
      <c r="F11" s="2" t="s">
        <v>18</v>
      </c>
      <c r="G11" s="2" t="s">
        <v>16</v>
      </c>
      <c r="H11" s="60">
        <v>4.3749999999999997E-2</v>
      </c>
      <c r="I11" s="60"/>
      <c r="K11" s="106" t="s">
        <v>5904</v>
      </c>
      <c r="L11" s="2">
        <v>30</v>
      </c>
      <c r="M11" s="2" t="s">
        <v>610</v>
      </c>
      <c r="N11" s="4">
        <v>45654</v>
      </c>
      <c r="O11" s="60">
        <v>0.125</v>
      </c>
      <c r="P11" s="99" t="s">
        <v>16</v>
      </c>
      <c r="T11" s="95" t="s">
        <v>191</v>
      </c>
      <c r="U11" s="96" t="s">
        <v>221</v>
      </c>
      <c r="V11" s="97" t="s">
        <v>222</v>
      </c>
      <c r="X11" s="60">
        <v>0.12638888888888888</v>
      </c>
      <c r="Y11" s="2">
        <v>4</v>
      </c>
      <c r="AE11" s="4"/>
      <c r="AF11" s="60"/>
      <c r="AK11" s="4"/>
      <c r="AL11" s="60"/>
    </row>
    <row r="12" spans="1:38" x14ac:dyDescent="0.3">
      <c r="B12" s="2">
        <v>9</v>
      </c>
      <c r="C12" s="2">
        <v>9</v>
      </c>
      <c r="D12" s="2" t="s">
        <v>6086</v>
      </c>
      <c r="E12" s="4">
        <v>45571</v>
      </c>
      <c r="F12" s="2" t="s">
        <v>19</v>
      </c>
      <c r="G12" s="2" t="s">
        <v>16</v>
      </c>
      <c r="H12" s="60" t="s">
        <v>171</v>
      </c>
      <c r="I12" s="60"/>
      <c r="K12" s="106" t="s">
        <v>6006</v>
      </c>
      <c r="L12" s="2">
        <v>42</v>
      </c>
      <c r="M12" s="2" t="s">
        <v>332</v>
      </c>
      <c r="N12" s="4">
        <v>45688</v>
      </c>
      <c r="O12" s="60">
        <v>2.0833333333333333E-3</v>
      </c>
      <c r="P12" s="99" t="s">
        <v>743</v>
      </c>
      <c r="T12" s="105" t="s">
        <v>184</v>
      </c>
      <c r="U12" s="62">
        <v>5</v>
      </c>
      <c r="V12" s="549">
        <v>5</v>
      </c>
      <c r="X12" s="60">
        <v>0.16874999999999998</v>
      </c>
      <c r="Y12" s="2">
        <v>3</v>
      </c>
      <c r="AE12" s="4"/>
      <c r="AF12" s="60"/>
      <c r="AK12" s="4"/>
      <c r="AL12" s="60"/>
    </row>
    <row r="13" spans="1:38" x14ac:dyDescent="0.3">
      <c r="B13" s="2">
        <v>10</v>
      </c>
      <c r="C13" s="2">
        <v>10</v>
      </c>
      <c r="D13" s="2" t="s">
        <v>325</v>
      </c>
      <c r="E13" s="4">
        <v>45576</v>
      </c>
      <c r="F13" s="2" t="s">
        <v>18</v>
      </c>
      <c r="G13" s="2" t="s">
        <v>17</v>
      </c>
      <c r="H13" s="60">
        <v>8.611111111111111E-2</v>
      </c>
      <c r="I13" s="60"/>
      <c r="K13" s="106" t="s">
        <v>6018</v>
      </c>
      <c r="L13" s="2">
        <v>49</v>
      </c>
      <c r="M13" s="2" t="s">
        <v>325</v>
      </c>
      <c r="N13" s="4">
        <v>45713</v>
      </c>
      <c r="O13" s="60">
        <v>4.5138888888888888E-2</v>
      </c>
      <c r="P13" s="99" t="s">
        <v>743</v>
      </c>
      <c r="T13" s="105" t="s">
        <v>185</v>
      </c>
      <c r="U13" s="635">
        <v>17</v>
      </c>
      <c r="V13" s="549">
        <v>17</v>
      </c>
      <c r="X13" s="60">
        <v>0.20972222222222223</v>
      </c>
      <c r="Y13" s="2">
        <v>2</v>
      </c>
      <c r="AE13" s="4"/>
      <c r="AF13" s="60"/>
      <c r="AK13" s="4"/>
      <c r="AL13" s="60"/>
    </row>
    <row r="14" spans="1:38" x14ac:dyDescent="0.3">
      <c r="B14" s="2">
        <v>11</v>
      </c>
      <c r="C14" s="2">
        <v>11</v>
      </c>
      <c r="D14" s="2" t="s">
        <v>328</v>
      </c>
      <c r="E14" s="4">
        <v>45578</v>
      </c>
      <c r="F14" s="2" t="s">
        <v>19</v>
      </c>
      <c r="G14" s="2" t="s">
        <v>17</v>
      </c>
      <c r="H14" s="60">
        <v>4.4444444444444446E-2</v>
      </c>
      <c r="I14" s="60"/>
      <c r="K14" s="106"/>
      <c r="L14" s="2"/>
      <c r="M14" s="2"/>
      <c r="N14" s="4"/>
      <c r="O14" s="60"/>
      <c r="P14" s="99"/>
      <c r="T14" s="105" t="s">
        <v>186</v>
      </c>
      <c r="U14" s="635">
        <v>11</v>
      </c>
      <c r="V14" s="549">
        <v>13</v>
      </c>
      <c r="X14" s="60">
        <v>1.3888888888888889E-3</v>
      </c>
      <c r="Y14" s="2">
        <v>3</v>
      </c>
      <c r="AE14" s="4"/>
      <c r="AF14" s="60"/>
      <c r="AK14" s="4"/>
      <c r="AL14" s="60"/>
    </row>
    <row r="15" spans="1:38" x14ac:dyDescent="0.3">
      <c r="B15" s="2">
        <v>12</v>
      </c>
      <c r="C15" s="2">
        <v>12</v>
      </c>
      <c r="D15" s="2" t="s">
        <v>6179</v>
      </c>
      <c r="E15" s="4">
        <v>45583</v>
      </c>
      <c r="F15" s="2" t="s">
        <v>18</v>
      </c>
      <c r="G15" s="2" t="s">
        <v>17</v>
      </c>
      <c r="H15" s="60">
        <v>0.20972222222222223</v>
      </c>
      <c r="I15" s="60" t="s">
        <v>834</v>
      </c>
      <c r="K15" s="106"/>
      <c r="L15" s="2"/>
      <c r="M15" s="2"/>
      <c r="N15" s="4"/>
      <c r="O15" s="60"/>
      <c r="P15" s="99"/>
      <c r="T15" s="105" t="s">
        <v>187</v>
      </c>
      <c r="U15" s="2">
        <v>8</v>
      </c>
      <c r="V15" s="99">
        <v>10</v>
      </c>
      <c r="X15" s="60">
        <v>0.125</v>
      </c>
      <c r="Y15" s="2">
        <v>2</v>
      </c>
      <c r="AE15" s="4"/>
      <c r="AF15" s="60"/>
      <c r="AK15" s="4"/>
      <c r="AL15" s="60"/>
    </row>
    <row r="16" spans="1:38" x14ac:dyDescent="0.3">
      <c r="B16" s="2">
        <v>13</v>
      </c>
      <c r="C16" s="2">
        <v>13</v>
      </c>
      <c r="D16" s="2" t="s">
        <v>334</v>
      </c>
      <c r="E16" s="4">
        <v>45585</v>
      </c>
      <c r="F16" s="2" t="s">
        <v>19</v>
      </c>
      <c r="G16" s="2" t="s">
        <v>16</v>
      </c>
      <c r="H16" s="60" t="s">
        <v>171</v>
      </c>
      <c r="I16" s="60"/>
      <c r="K16" s="106"/>
      <c r="O16" s="60"/>
      <c r="P16" s="99"/>
      <c r="T16" s="105" t="s">
        <v>188</v>
      </c>
      <c r="U16" s="2">
        <v>11</v>
      </c>
      <c r="V16" s="99">
        <v>9</v>
      </c>
      <c r="X16" s="60">
        <v>4.1666666666666664E-2</v>
      </c>
      <c r="Y16" s="2">
        <v>3</v>
      </c>
      <c r="AE16" s="4"/>
      <c r="AF16" s="60"/>
      <c r="AK16" s="4"/>
      <c r="AL16" s="60"/>
    </row>
    <row r="17" spans="1:38" x14ac:dyDescent="0.3">
      <c r="A17" s="2"/>
      <c r="B17" s="2">
        <v>14</v>
      </c>
      <c r="C17" s="2">
        <v>14</v>
      </c>
      <c r="D17" s="2" t="s">
        <v>1274</v>
      </c>
      <c r="E17" s="4">
        <v>45590</v>
      </c>
      <c r="F17" s="2" t="s">
        <v>18</v>
      </c>
      <c r="G17" s="2" t="s">
        <v>16</v>
      </c>
      <c r="H17" s="60">
        <v>1.3888888888888889E-3</v>
      </c>
      <c r="I17" s="60"/>
      <c r="K17" s="106"/>
      <c r="L17" s="2"/>
      <c r="M17" s="2"/>
      <c r="N17" s="4"/>
      <c r="O17" s="60"/>
      <c r="P17" s="99"/>
      <c r="T17" s="105" t="s">
        <v>189</v>
      </c>
      <c r="U17" s="2">
        <v>3</v>
      </c>
      <c r="V17" s="99">
        <v>1</v>
      </c>
      <c r="X17" s="60">
        <v>4.4444444444444446E-2</v>
      </c>
      <c r="Y17" s="2">
        <v>4</v>
      </c>
      <c r="AE17" s="4"/>
      <c r="AF17" s="60"/>
      <c r="AK17" s="4"/>
      <c r="AL17" s="60"/>
    </row>
    <row r="18" spans="1:38" x14ac:dyDescent="0.3">
      <c r="B18" s="2">
        <v>15</v>
      </c>
      <c r="C18" s="2">
        <v>15</v>
      </c>
      <c r="D18" s="2" t="s">
        <v>331</v>
      </c>
      <c r="E18" s="4">
        <v>45592</v>
      </c>
      <c r="F18" s="2" t="s">
        <v>19</v>
      </c>
      <c r="G18" s="2" t="s">
        <v>17</v>
      </c>
      <c r="H18" s="60">
        <v>0.25</v>
      </c>
      <c r="I18" s="2" t="s">
        <v>834</v>
      </c>
      <c r="K18" s="106"/>
      <c r="L18" s="2"/>
      <c r="M18" s="2"/>
      <c r="N18" s="4"/>
      <c r="O18" s="60"/>
      <c r="P18" s="99"/>
      <c r="T18" s="105" t="s">
        <v>190</v>
      </c>
      <c r="U18" s="2">
        <v>1</v>
      </c>
      <c r="V18" s="99">
        <v>1</v>
      </c>
      <c r="X18" s="60">
        <v>8.4027777777777771E-2</v>
      </c>
      <c r="Y18" s="2">
        <v>2</v>
      </c>
      <c r="AE18" s="4"/>
      <c r="AF18" s="60"/>
      <c r="AK18" s="4"/>
      <c r="AL18" s="60"/>
    </row>
    <row r="19" spans="1:38" x14ac:dyDescent="0.3">
      <c r="B19" s="2">
        <v>16</v>
      </c>
      <c r="C19" s="2">
        <v>16</v>
      </c>
      <c r="D19" s="2" t="s">
        <v>332</v>
      </c>
      <c r="E19" s="4">
        <v>45594</v>
      </c>
      <c r="F19" s="2" t="s">
        <v>20</v>
      </c>
      <c r="G19" s="2" t="s">
        <v>16</v>
      </c>
      <c r="H19" s="60">
        <v>0.16875000000000001</v>
      </c>
      <c r="K19" s="106"/>
      <c r="L19" s="2"/>
      <c r="M19" s="2"/>
      <c r="N19" s="4"/>
      <c r="O19" s="60"/>
      <c r="P19" s="99"/>
      <c r="T19" s="105" t="s">
        <v>855</v>
      </c>
      <c r="U19" s="2"/>
      <c r="V19" s="99"/>
      <c r="X19" s="60">
        <v>0.12569444444444444</v>
      </c>
      <c r="Y19" s="2">
        <v>1</v>
      </c>
      <c r="AE19" s="4"/>
      <c r="AF19" s="60"/>
      <c r="AK19" s="4"/>
      <c r="AL19" s="60"/>
    </row>
    <row r="20" spans="1:38" x14ac:dyDescent="0.3">
      <c r="B20" s="2">
        <v>17</v>
      </c>
      <c r="C20" s="2">
        <v>17</v>
      </c>
      <c r="D20" s="2" t="s">
        <v>610</v>
      </c>
      <c r="E20" s="4">
        <v>45597</v>
      </c>
      <c r="F20" s="2" t="s">
        <v>18</v>
      </c>
      <c r="G20" s="2" t="s">
        <v>17</v>
      </c>
      <c r="H20" s="60">
        <v>0.1673611111111111</v>
      </c>
      <c r="I20" s="60" t="s">
        <v>834</v>
      </c>
      <c r="K20" s="106"/>
      <c r="L20" s="2"/>
      <c r="M20" s="2"/>
      <c r="N20" s="4"/>
      <c r="O20" s="60"/>
      <c r="P20" s="99"/>
      <c r="T20" s="105" t="s">
        <v>5165</v>
      </c>
      <c r="U20" s="2"/>
      <c r="V20" s="99"/>
      <c r="X20" s="60">
        <v>4.3750000000000004E-2</v>
      </c>
      <c r="Y20" s="2">
        <v>7</v>
      </c>
      <c r="AE20" s="4"/>
      <c r="AF20" s="60"/>
      <c r="AK20" s="4"/>
      <c r="AL20" s="60"/>
    </row>
    <row r="21" spans="1:38" x14ac:dyDescent="0.3">
      <c r="B21" s="2">
        <v>18</v>
      </c>
      <c r="C21" s="2">
        <v>18</v>
      </c>
      <c r="D21" s="2" t="s">
        <v>6076</v>
      </c>
      <c r="E21" s="4">
        <v>45599</v>
      </c>
      <c r="F21" s="2" t="s">
        <v>19</v>
      </c>
      <c r="G21" s="2" t="s">
        <v>16</v>
      </c>
      <c r="H21" s="60">
        <v>1.3888888888888889E-3</v>
      </c>
      <c r="I21" s="2" t="s">
        <v>834</v>
      </c>
      <c r="K21" s="106"/>
      <c r="L21" s="2"/>
      <c r="M21" s="2"/>
      <c r="N21" s="4"/>
      <c r="P21" s="99"/>
      <c r="T21" s="106"/>
      <c r="U21" s="2">
        <f>SUM(U12:U20)</f>
        <v>56</v>
      </c>
      <c r="V21" s="99">
        <f>SUM(V12:V20)</f>
        <v>56</v>
      </c>
      <c r="X21" s="60">
        <v>8.611111111111111E-2</v>
      </c>
      <c r="Y21" s="2">
        <v>2</v>
      </c>
      <c r="AE21" s="4"/>
      <c r="AF21" s="60"/>
      <c r="AK21" s="4"/>
      <c r="AL21" s="60"/>
    </row>
    <row r="22" spans="1:38" ht="15" thickBot="1" x14ac:dyDescent="0.35">
      <c r="B22" s="2">
        <v>19</v>
      </c>
      <c r="C22" s="2">
        <v>19</v>
      </c>
      <c r="D22" s="2" t="s">
        <v>626</v>
      </c>
      <c r="E22" s="4">
        <v>45611</v>
      </c>
      <c r="F22" s="2" t="s">
        <v>18</v>
      </c>
      <c r="G22" s="2" t="s">
        <v>17</v>
      </c>
      <c r="H22" s="60">
        <v>0.16666666666666666</v>
      </c>
      <c r="I22" s="60" t="s">
        <v>834</v>
      </c>
      <c r="K22" s="187"/>
      <c r="L22" s="103"/>
      <c r="M22" s="103"/>
      <c r="N22" s="255"/>
      <c r="O22" s="103"/>
      <c r="P22" s="104"/>
      <c r="T22" s="106"/>
      <c r="V22" s="100"/>
      <c r="X22" s="60">
        <v>0.1701388888888889</v>
      </c>
      <c r="Y22" s="2">
        <v>1</v>
      </c>
      <c r="AE22" s="4"/>
      <c r="AF22" s="60"/>
      <c r="AK22" s="4"/>
      <c r="AL22" s="60"/>
    </row>
    <row r="23" spans="1:38" ht="15" thickBot="1" x14ac:dyDescent="0.35">
      <c r="B23" s="2">
        <v>20</v>
      </c>
      <c r="C23" s="2">
        <v>20</v>
      </c>
      <c r="D23" s="2" t="s">
        <v>6091</v>
      </c>
      <c r="E23" s="4">
        <v>45616</v>
      </c>
      <c r="F23" s="2" t="s">
        <v>21</v>
      </c>
      <c r="G23" s="2" t="s">
        <v>16</v>
      </c>
      <c r="H23" s="60">
        <v>0.16875000000000001</v>
      </c>
      <c r="K23" s="187" t="s">
        <v>726</v>
      </c>
      <c r="L23" s="104">
        <f>COUNT(L9:L22)</f>
        <v>5</v>
      </c>
      <c r="M23" s="2"/>
      <c r="N23" s="4"/>
      <c r="T23" s="105" t="s">
        <v>191</v>
      </c>
      <c r="U23" s="2" t="s">
        <v>221</v>
      </c>
      <c r="V23" s="101" t="s">
        <v>222</v>
      </c>
      <c r="X23" s="60">
        <v>2.7777777777777779E-3</v>
      </c>
      <c r="Y23" s="2">
        <v>1</v>
      </c>
      <c r="AE23" s="4"/>
      <c r="AF23" s="60"/>
      <c r="AK23" s="4"/>
      <c r="AL23" s="60"/>
    </row>
    <row r="24" spans="1:38" x14ac:dyDescent="0.3">
      <c r="B24" s="2">
        <v>21</v>
      </c>
      <c r="C24" s="2">
        <v>21</v>
      </c>
      <c r="D24" s="2" t="s">
        <v>327</v>
      </c>
      <c r="E24" s="4">
        <v>45618</v>
      </c>
      <c r="F24" s="2" t="s">
        <v>18</v>
      </c>
      <c r="G24" s="2" t="s">
        <v>17</v>
      </c>
      <c r="H24" s="60">
        <v>0.1673611111111111</v>
      </c>
      <c r="I24" s="60" t="s">
        <v>834</v>
      </c>
      <c r="K24" s="2"/>
      <c r="L24" s="2"/>
      <c r="M24" s="2"/>
      <c r="N24" s="4"/>
      <c r="T24" s="105" t="s">
        <v>198</v>
      </c>
      <c r="U24" s="62">
        <v>7</v>
      </c>
      <c r="V24" s="98">
        <v>7</v>
      </c>
      <c r="X24" s="60">
        <v>0.20902777777777778</v>
      </c>
      <c r="Y24" s="2">
        <v>1</v>
      </c>
      <c r="AE24" s="4"/>
      <c r="AF24" s="60"/>
      <c r="AK24" s="4"/>
      <c r="AL24" s="60"/>
    </row>
    <row r="25" spans="1:38" x14ac:dyDescent="0.3">
      <c r="B25" s="2">
        <v>22</v>
      </c>
      <c r="C25" s="2">
        <v>22</v>
      </c>
      <c r="D25" s="2" t="s">
        <v>6086</v>
      </c>
      <c r="E25" s="4">
        <v>45620</v>
      </c>
      <c r="F25" s="2" t="s">
        <v>19</v>
      </c>
      <c r="G25" s="2" t="s">
        <v>16</v>
      </c>
      <c r="H25" s="60">
        <v>4.4444444444444446E-2</v>
      </c>
      <c r="I25" s="60"/>
      <c r="L25" s="2"/>
      <c r="M25" s="2"/>
      <c r="N25" s="4"/>
      <c r="T25" s="105" t="s">
        <v>199</v>
      </c>
      <c r="U25" s="2">
        <v>7</v>
      </c>
      <c r="V25" s="99">
        <v>7</v>
      </c>
      <c r="X25" s="60">
        <v>0.25</v>
      </c>
      <c r="Y25" s="2">
        <v>1</v>
      </c>
      <c r="AE25" s="4"/>
      <c r="AF25" s="60"/>
      <c r="AK25" s="4"/>
      <c r="AL25" s="60"/>
    </row>
    <row r="26" spans="1:38" x14ac:dyDescent="0.3">
      <c r="B26" s="2">
        <v>23</v>
      </c>
      <c r="C26" s="2">
        <v>23</v>
      </c>
      <c r="D26" s="2" t="s">
        <v>325</v>
      </c>
      <c r="E26" s="4">
        <v>45625</v>
      </c>
      <c r="F26" s="2" t="s">
        <v>18</v>
      </c>
      <c r="G26" s="2" t="s">
        <v>17</v>
      </c>
      <c r="H26" s="60">
        <v>2.7777777777777779E-3</v>
      </c>
      <c r="I26" s="60" t="s">
        <v>834</v>
      </c>
      <c r="L26" s="2"/>
      <c r="M26" s="2"/>
      <c r="N26" s="4"/>
      <c r="T26" s="105" t="s">
        <v>200</v>
      </c>
      <c r="U26" s="2">
        <v>16</v>
      </c>
      <c r="V26" s="99">
        <v>20</v>
      </c>
      <c r="X26" s="60">
        <v>0.16666666666666666</v>
      </c>
      <c r="Y26" s="2">
        <v>1</v>
      </c>
      <c r="AE26" s="4"/>
      <c r="AF26" s="60"/>
      <c r="AK26" s="4"/>
      <c r="AL26" s="60"/>
    </row>
    <row r="27" spans="1:38" x14ac:dyDescent="0.3">
      <c r="B27" s="2">
        <v>24</v>
      </c>
      <c r="C27" s="2">
        <v>24</v>
      </c>
      <c r="D27" s="2" t="s">
        <v>328</v>
      </c>
      <c r="E27" s="4">
        <v>45627</v>
      </c>
      <c r="F27" s="2" t="s">
        <v>19</v>
      </c>
      <c r="G27" s="2" t="s">
        <v>17</v>
      </c>
      <c r="H27" s="60">
        <v>0.12638888888888888</v>
      </c>
      <c r="I27" s="60" t="s">
        <v>834</v>
      </c>
      <c r="L27" s="2"/>
      <c r="M27" s="2"/>
      <c r="N27" s="4"/>
      <c r="T27" s="105" t="s">
        <v>201</v>
      </c>
      <c r="U27" s="2">
        <v>12</v>
      </c>
      <c r="V27" s="99">
        <v>13</v>
      </c>
      <c r="X27" s="60">
        <v>0.25208333333333333</v>
      </c>
      <c r="Y27" s="2"/>
      <c r="AE27" s="4"/>
      <c r="AF27" s="60"/>
      <c r="AK27" s="4"/>
      <c r="AL27" s="60"/>
    </row>
    <row r="28" spans="1:38" x14ac:dyDescent="0.3">
      <c r="B28" s="2">
        <v>25</v>
      </c>
      <c r="C28" s="2">
        <v>25</v>
      </c>
      <c r="D28" s="2" t="s">
        <v>6179</v>
      </c>
      <c r="E28" s="4">
        <v>45630</v>
      </c>
      <c r="F28" s="2" t="s">
        <v>21</v>
      </c>
      <c r="G28" s="2" t="s">
        <v>16</v>
      </c>
      <c r="H28" s="60">
        <v>0.125</v>
      </c>
      <c r="I28" s="60"/>
      <c r="L28" s="2"/>
      <c r="M28" s="2"/>
      <c r="N28" s="4"/>
      <c r="T28" s="105" t="s">
        <v>202</v>
      </c>
      <c r="U28" s="2">
        <v>7</v>
      </c>
      <c r="V28" s="99">
        <v>3</v>
      </c>
      <c r="X28" s="60">
        <v>0.12847222222222221</v>
      </c>
      <c r="Y28" s="2">
        <v>1</v>
      </c>
      <c r="AE28" s="4"/>
      <c r="AF28" s="60"/>
      <c r="AK28" s="4"/>
      <c r="AL28" s="60"/>
    </row>
    <row r="29" spans="1:38" x14ac:dyDescent="0.3">
      <c r="B29" s="2">
        <v>26</v>
      </c>
      <c r="C29" s="2">
        <v>26</v>
      </c>
      <c r="D29" s="2" t="s">
        <v>334</v>
      </c>
      <c r="E29" s="4">
        <v>45634</v>
      </c>
      <c r="F29" s="2" t="s">
        <v>19</v>
      </c>
      <c r="G29" s="2" t="s">
        <v>16</v>
      </c>
      <c r="H29" s="60">
        <v>4.1666666666666664E-2</v>
      </c>
      <c r="I29" s="60"/>
      <c r="L29" s="2"/>
      <c r="M29" s="2"/>
      <c r="N29" s="4"/>
      <c r="T29" s="105" t="s">
        <v>203</v>
      </c>
      <c r="U29" s="2">
        <v>6</v>
      </c>
      <c r="V29" s="99">
        <v>6</v>
      </c>
      <c r="X29" s="60">
        <v>4.5138888888888888E-2</v>
      </c>
      <c r="Y29" s="2">
        <v>2</v>
      </c>
      <c r="AE29" s="4"/>
      <c r="AF29" s="60"/>
    </row>
    <row r="30" spans="1:38" x14ac:dyDescent="0.3">
      <c r="B30" s="2">
        <v>27</v>
      </c>
      <c r="C30" s="2">
        <v>27</v>
      </c>
      <c r="D30" s="2" t="s">
        <v>1274</v>
      </c>
      <c r="E30" s="4">
        <v>45646</v>
      </c>
      <c r="F30" s="2" t="s">
        <v>18</v>
      </c>
      <c r="G30" s="2" t="s">
        <v>17</v>
      </c>
      <c r="H30" s="60">
        <v>0.1701388888888889</v>
      </c>
      <c r="I30" s="60" t="s">
        <v>834</v>
      </c>
      <c r="L30" s="2"/>
      <c r="M30" s="2"/>
      <c r="N30" s="4"/>
      <c r="T30" s="105" t="s">
        <v>204</v>
      </c>
      <c r="U30" s="2">
        <v>1</v>
      </c>
      <c r="V30" s="99"/>
      <c r="X30" s="60">
        <v>0.25277777777777777</v>
      </c>
      <c r="Y30" s="2"/>
      <c r="AE30" s="4"/>
      <c r="AF30" s="60"/>
    </row>
    <row r="31" spans="1:38" x14ac:dyDescent="0.3">
      <c r="B31" s="2">
        <v>28</v>
      </c>
      <c r="C31" s="2">
        <v>28</v>
      </c>
      <c r="D31" s="2" t="s">
        <v>331</v>
      </c>
      <c r="E31" s="4">
        <v>45648</v>
      </c>
      <c r="F31" s="2" t="s">
        <v>19</v>
      </c>
      <c r="G31" s="2" t="s">
        <v>16</v>
      </c>
      <c r="H31" s="60">
        <v>8.4027777777777785E-2</v>
      </c>
      <c r="I31" s="60"/>
      <c r="L31" s="2"/>
      <c r="M31" s="2"/>
      <c r="N31" s="4"/>
      <c r="T31" s="105" t="s">
        <v>205</v>
      </c>
      <c r="U31" s="2"/>
      <c r="V31" s="99"/>
      <c r="X31" s="60">
        <v>4.3055555555555562E-2</v>
      </c>
      <c r="Y31" s="2">
        <v>1</v>
      </c>
      <c r="AE31" s="4"/>
      <c r="AF31" s="60"/>
    </row>
    <row r="32" spans="1:38" x14ac:dyDescent="0.3">
      <c r="B32" s="2">
        <v>29</v>
      </c>
      <c r="C32" s="2">
        <v>29</v>
      </c>
      <c r="D32" s="2" t="s">
        <v>332</v>
      </c>
      <c r="E32" s="4">
        <v>45652</v>
      </c>
      <c r="F32" s="2" t="s">
        <v>22</v>
      </c>
      <c r="G32" s="2" t="s">
        <v>17</v>
      </c>
      <c r="H32" s="60">
        <v>4.1666666666666664E-2</v>
      </c>
      <c r="I32" s="60" t="s">
        <v>834</v>
      </c>
      <c r="K32" s="2"/>
      <c r="L32" s="2"/>
      <c r="M32" s="2"/>
      <c r="N32" s="4"/>
      <c r="T32" s="105" t="s">
        <v>3429</v>
      </c>
      <c r="U32" s="2"/>
      <c r="V32" s="99"/>
      <c r="X32" s="60">
        <v>8.5416666666666655E-2</v>
      </c>
      <c r="Y32" s="2">
        <v>1</v>
      </c>
      <c r="AE32" s="4"/>
      <c r="AF32" s="60"/>
    </row>
    <row r="33" spans="2:39" ht="15" thickBot="1" x14ac:dyDescent="0.35">
      <c r="B33" s="2">
        <v>30</v>
      </c>
      <c r="C33" s="2">
        <v>30</v>
      </c>
      <c r="D33" s="2" t="s">
        <v>610</v>
      </c>
      <c r="E33" s="4">
        <v>45654</v>
      </c>
      <c r="F33" s="2" t="s">
        <v>23</v>
      </c>
      <c r="G33" s="2" t="s">
        <v>16</v>
      </c>
      <c r="H33" s="60">
        <v>0.125</v>
      </c>
      <c r="I33" s="2" t="s">
        <v>834</v>
      </c>
      <c r="L33" s="2"/>
      <c r="M33" s="2"/>
      <c r="N33" s="4"/>
      <c r="T33" s="102"/>
      <c r="U33" s="103">
        <f>SUM(U24:U32)</f>
        <v>56</v>
      </c>
      <c r="V33" s="104">
        <f>SUM(V24:V32)</f>
        <v>56</v>
      </c>
      <c r="X33" s="60">
        <v>2.0833333333333333E-3</v>
      </c>
      <c r="Y33" s="2">
        <v>1</v>
      </c>
      <c r="AE33" s="4"/>
      <c r="AF33" s="60"/>
    </row>
    <row r="34" spans="2:39" ht="15" thickBot="1" x14ac:dyDescent="0.35">
      <c r="B34" s="2">
        <v>31</v>
      </c>
      <c r="C34" s="2">
        <v>31</v>
      </c>
      <c r="D34" s="2" t="s">
        <v>6076</v>
      </c>
      <c r="E34" s="4">
        <v>45656</v>
      </c>
      <c r="F34" s="2" t="s">
        <v>1250</v>
      </c>
      <c r="G34" s="2" t="s">
        <v>17</v>
      </c>
      <c r="H34" s="60">
        <v>0.1673611111111111</v>
      </c>
      <c r="I34" s="60" t="s">
        <v>834</v>
      </c>
      <c r="L34" s="2"/>
      <c r="M34" s="2"/>
      <c r="N34" s="4"/>
      <c r="X34" s="60">
        <v>0.17083333333333334</v>
      </c>
      <c r="Y34" s="2">
        <v>1</v>
      </c>
      <c r="AE34" s="4"/>
      <c r="AF34" s="60"/>
    </row>
    <row r="35" spans="2:39" x14ac:dyDescent="0.3">
      <c r="B35" s="2">
        <v>32</v>
      </c>
      <c r="C35" s="2">
        <v>32</v>
      </c>
      <c r="D35" s="2" t="s">
        <v>626</v>
      </c>
      <c r="E35" s="4">
        <v>45660</v>
      </c>
      <c r="F35" s="2" t="s">
        <v>18</v>
      </c>
      <c r="G35" s="425" t="s">
        <v>16</v>
      </c>
      <c r="H35" s="60">
        <v>4.3749999999999997E-2</v>
      </c>
      <c r="I35" s="60"/>
      <c r="L35" s="2"/>
      <c r="M35" s="2"/>
      <c r="N35" s="4"/>
      <c r="U35" s="395" t="s">
        <v>3438</v>
      </c>
      <c r="V35" s="186" t="s">
        <v>3437</v>
      </c>
      <c r="X35" s="60">
        <v>8.7500000000000008E-2</v>
      </c>
      <c r="Y35" s="2"/>
      <c r="AE35" s="4"/>
      <c r="AF35" s="60"/>
    </row>
    <row r="36" spans="2:39" ht="15" thickBot="1" x14ac:dyDescent="0.35">
      <c r="B36" s="2">
        <v>33</v>
      </c>
      <c r="C36" s="2">
        <v>33</v>
      </c>
      <c r="D36" s="2" t="s">
        <v>6091</v>
      </c>
      <c r="E36" s="4">
        <v>45662</v>
      </c>
      <c r="F36" s="2" t="s">
        <v>19</v>
      </c>
      <c r="G36" s="2" t="s">
        <v>17</v>
      </c>
      <c r="H36" s="60">
        <v>4.3749999999999997E-2</v>
      </c>
      <c r="I36" s="60" t="s">
        <v>834</v>
      </c>
      <c r="L36" s="2"/>
      <c r="M36" s="2"/>
      <c r="N36" s="4"/>
      <c r="U36" s="396">
        <f>(V15+V16+V17+V18+V19+V20)/V21</f>
        <v>0.375</v>
      </c>
      <c r="V36" s="394">
        <f>(V27+V28+V29+V30+V31+V32)/V33</f>
        <v>0.39285714285714285</v>
      </c>
      <c r="X36" s="60">
        <v>0.13055555555555556</v>
      </c>
      <c r="Y36" s="2"/>
    </row>
    <row r="37" spans="2:39" x14ac:dyDescent="0.3">
      <c r="B37" s="2">
        <v>34</v>
      </c>
      <c r="C37" s="2">
        <v>35</v>
      </c>
      <c r="D37" s="2" t="s">
        <v>6086</v>
      </c>
      <c r="E37" s="4">
        <v>45667</v>
      </c>
      <c r="F37" s="2" t="s">
        <v>18</v>
      </c>
      <c r="G37" s="2" t="s">
        <v>17</v>
      </c>
      <c r="H37" s="60">
        <v>4.3055555555555555E-2</v>
      </c>
      <c r="I37" s="60" t="s">
        <v>834</v>
      </c>
      <c r="L37" s="2"/>
      <c r="M37" s="2"/>
      <c r="N37" s="4"/>
      <c r="X37" s="60">
        <v>0.12916666666666668</v>
      </c>
      <c r="Y37" s="2"/>
      <c r="AF37" s="2"/>
      <c r="AG37" s="2"/>
      <c r="AL37" s="2"/>
      <c r="AM37" s="2"/>
    </row>
    <row r="38" spans="2:39" x14ac:dyDescent="0.3">
      <c r="B38" s="2">
        <v>35</v>
      </c>
      <c r="C38" s="2">
        <v>36</v>
      </c>
      <c r="D38" s="2" t="s">
        <v>325</v>
      </c>
      <c r="E38" s="4">
        <v>45669</v>
      </c>
      <c r="F38" s="2" t="s">
        <v>19</v>
      </c>
      <c r="G38" s="2" t="s">
        <v>16</v>
      </c>
      <c r="H38" s="60">
        <v>0.12847222222222221</v>
      </c>
      <c r="I38" s="60"/>
      <c r="X38" s="60">
        <v>0.21041666666666667</v>
      </c>
      <c r="Y38" s="2"/>
      <c r="AD38" s="1153"/>
      <c r="AE38" s="1153"/>
      <c r="AF38" s="2"/>
      <c r="AG38" s="120"/>
      <c r="AJ38" s="1153"/>
      <c r="AK38" s="1153"/>
      <c r="AL38" s="2"/>
      <c r="AM38" s="120"/>
    </row>
    <row r="39" spans="2:39" x14ac:dyDescent="0.3">
      <c r="B39" s="2">
        <v>36</v>
      </c>
      <c r="C39" s="2">
        <v>34</v>
      </c>
      <c r="D39" s="2" t="s">
        <v>327</v>
      </c>
      <c r="E39" s="4">
        <v>45673</v>
      </c>
      <c r="F39" s="2" t="s">
        <v>20</v>
      </c>
      <c r="G39" s="2" t="s">
        <v>16</v>
      </c>
      <c r="H39" s="60">
        <v>4.3749999999999997E-2</v>
      </c>
      <c r="I39" s="60"/>
      <c r="X39" s="60">
        <v>8.6805555555555552E-2</v>
      </c>
      <c r="Y39" s="2">
        <v>2</v>
      </c>
      <c r="AD39" s="1153"/>
      <c r="AE39" s="1153"/>
      <c r="AF39" s="2"/>
      <c r="AG39" s="120"/>
      <c r="AJ39" s="1153"/>
      <c r="AK39" s="1153"/>
      <c r="AL39" s="2"/>
      <c r="AM39" s="120"/>
    </row>
    <row r="40" spans="2:39" x14ac:dyDescent="0.3">
      <c r="B40" s="2">
        <v>37</v>
      </c>
      <c r="C40" s="2">
        <v>37</v>
      </c>
      <c r="D40" s="2" t="s">
        <v>328</v>
      </c>
      <c r="E40" s="4">
        <v>45674</v>
      </c>
      <c r="F40" s="2" t="s">
        <v>18</v>
      </c>
      <c r="G40" s="2" t="s">
        <v>16</v>
      </c>
      <c r="H40" s="60">
        <v>0.12638888888888888</v>
      </c>
      <c r="I40" s="60"/>
      <c r="X40" s="60">
        <v>4.2361111111111113E-2</v>
      </c>
      <c r="Y40" s="2"/>
      <c r="AD40" s="2"/>
      <c r="AE40" s="2"/>
      <c r="AF40" s="2"/>
      <c r="AG40" s="120"/>
      <c r="AJ40" s="2"/>
      <c r="AK40" s="2"/>
      <c r="AL40" s="2"/>
      <c r="AM40" s="120"/>
    </row>
    <row r="41" spans="2:39" x14ac:dyDescent="0.3">
      <c r="B41" s="2">
        <v>38</v>
      </c>
      <c r="C41" s="2">
        <v>38</v>
      </c>
      <c r="D41" s="2" t="s">
        <v>6179</v>
      </c>
      <c r="E41" s="4">
        <v>45676</v>
      </c>
      <c r="F41" s="2" t="s">
        <v>19</v>
      </c>
      <c r="G41" s="2" t="s">
        <v>17</v>
      </c>
      <c r="H41" s="60">
        <v>0.12638888888888888</v>
      </c>
      <c r="I41" s="60" t="s">
        <v>834</v>
      </c>
      <c r="O41"/>
      <c r="X41" s="60"/>
      <c r="Y41" s="2"/>
      <c r="AD41" s="1153"/>
      <c r="AE41" s="1153"/>
      <c r="AF41" s="2"/>
      <c r="AG41" s="120"/>
      <c r="AJ41" s="1153"/>
      <c r="AK41" s="1153"/>
      <c r="AL41" s="2"/>
      <c r="AM41" s="120"/>
    </row>
    <row r="42" spans="2:39" x14ac:dyDescent="0.3">
      <c r="B42" s="2">
        <v>39</v>
      </c>
      <c r="C42" s="2">
        <v>39</v>
      </c>
      <c r="D42" s="2" t="s">
        <v>334</v>
      </c>
      <c r="E42" s="4">
        <v>45681</v>
      </c>
      <c r="F42" s="2" t="s">
        <v>18</v>
      </c>
      <c r="G42" s="2" t="s">
        <v>17</v>
      </c>
      <c r="H42" s="60">
        <v>4.3749999999999997E-2</v>
      </c>
      <c r="I42" s="60" t="s">
        <v>834</v>
      </c>
      <c r="O42"/>
    </row>
    <row r="43" spans="2:39" ht="15" thickBot="1" x14ac:dyDescent="0.35">
      <c r="B43" s="2">
        <v>40</v>
      </c>
      <c r="C43" s="2">
        <v>40</v>
      </c>
      <c r="D43" s="2" t="s">
        <v>1274</v>
      </c>
      <c r="E43" s="4">
        <v>45683</v>
      </c>
      <c r="F43" s="2" t="s">
        <v>19</v>
      </c>
      <c r="G43" s="2" t="s">
        <v>16</v>
      </c>
      <c r="H43" s="60" t="s">
        <v>171</v>
      </c>
      <c r="I43" s="60"/>
      <c r="O43"/>
    </row>
    <row r="44" spans="2:39" ht="15" thickBot="1" x14ac:dyDescent="0.35">
      <c r="B44" s="2">
        <v>41</v>
      </c>
      <c r="C44" s="2">
        <v>41</v>
      </c>
      <c r="D44" s="2" t="s">
        <v>331</v>
      </c>
      <c r="E44" s="4">
        <v>45685</v>
      </c>
      <c r="F44" s="2" t="s">
        <v>20</v>
      </c>
      <c r="G44" s="2" t="s">
        <v>17</v>
      </c>
      <c r="H44" s="60">
        <v>8.6805555555555552E-2</v>
      </c>
      <c r="I44" s="60" t="s">
        <v>834</v>
      </c>
      <c r="O44"/>
      <c r="T44" s="789"/>
      <c r="U44" s="380" t="s">
        <v>3438</v>
      </c>
      <c r="V44" s="240" t="s">
        <v>3437</v>
      </c>
    </row>
    <row r="45" spans="2:39" x14ac:dyDescent="0.3">
      <c r="B45" s="2">
        <v>42</v>
      </c>
      <c r="C45" s="2">
        <v>42</v>
      </c>
      <c r="D45" s="2" t="s">
        <v>332</v>
      </c>
      <c r="E45" s="4">
        <v>45688</v>
      </c>
      <c r="F45" s="2" t="s">
        <v>18</v>
      </c>
      <c r="G45" s="2" t="s">
        <v>16</v>
      </c>
      <c r="H45" s="60">
        <v>2.0833333333333333E-3</v>
      </c>
      <c r="I45" s="60" t="s">
        <v>834</v>
      </c>
      <c r="O45"/>
      <c r="T45" s="121" t="s">
        <v>5836</v>
      </c>
      <c r="U45" s="587">
        <v>0.375</v>
      </c>
      <c r="V45" s="792">
        <v>0.39285714285714285</v>
      </c>
    </row>
    <row r="46" spans="2:39" x14ac:dyDescent="0.3">
      <c r="B46" s="2">
        <v>43</v>
      </c>
      <c r="C46" s="2">
        <v>43</v>
      </c>
      <c r="D46" s="2" t="s">
        <v>610</v>
      </c>
      <c r="E46" s="4">
        <v>45690</v>
      </c>
      <c r="F46" s="2" t="s">
        <v>19</v>
      </c>
      <c r="G46" s="2" t="s">
        <v>17</v>
      </c>
      <c r="H46" s="60">
        <v>0.16875000000000001</v>
      </c>
      <c r="I46" s="60"/>
      <c r="O46"/>
      <c r="T46" s="121" t="s">
        <v>5293</v>
      </c>
      <c r="U46" s="587">
        <v>0.5636363636363636</v>
      </c>
      <c r="V46" s="792">
        <v>0.47272727272727272</v>
      </c>
    </row>
    <row r="47" spans="2:39" x14ac:dyDescent="0.3">
      <c r="B47" s="2">
        <v>44</v>
      </c>
      <c r="C47" s="2">
        <v>44</v>
      </c>
      <c r="D47" s="2" t="s">
        <v>6076</v>
      </c>
      <c r="E47" s="4">
        <v>45700</v>
      </c>
      <c r="F47" s="2" t="s">
        <v>21</v>
      </c>
      <c r="G47" s="2" t="s">
        <v>16</v>
      </c>
      <c r="H47" s="60">
        <v>0.17083333333333334</v>
      </c>
      <c r="I47" s="60"/>
      <c r="O47"/>
      <c r="T47" s="121" t="s">
        <v>4708</v>
      </c>
      <c r="U47" s="587">
        <v>0.4</v>
      </c>
      <c r="V47" s="792">
        <v>0.45454545454545453</v>
      </c>
    </row>
    <row r="48" spans="2:39" x14ac:dyDescent="0.3">
      <c r="B48" s="2">
        <v>45</v>
      </c>
      <c r="C48" s="2">
        <v>45</v>
      </c>
      <c r="D48" s="2" t="s">
        <v>626</v>
      </c>
      <c r="E48" s="4">
        <v>45702</v>
      </c>
      <c r="F48" s="2" t="s">
        <v>18</v>
      </c>
      <c r="G48" s="2" t="s">
        <v>17</v>
      </c>
      <c r="H48" s="60">
        <v>1.3888888888888889E-3</v>
      </c>
      <c r="I48" s="60"/>
      <c r="O48"/>
      <c r="T48" s="121" t="s">
        <v>4409</v>
      </c>
      <c r="U48" s="587">
        <v>0.5178571428571429</v>
      </c>
      <c r="V48" s="792">
        <v>0.5892857142857143</v>
      </c>
    </row>
    <row r="49" spans="2:22" x14ac:dyDescent="0.3">
      <c r="B49" s="2">
        <v>46</v>
      </c>
      <c r="C49" s="2">
        <v>46</v>
      </c>
      <c r="D49" s="2" t="s">
        <v>6091</v>
      </c>
      <c r="E49" s="4">
        <v>45704</v>
      </c>
      <c r="F49" s="2" t="s">
        <v>19</v>
      </c>
      <c r="G49" s="2" t="s">
        <v>16</v>
      </c>
      <c r="H49" s="60">
        <v>4.5138888888888888E-2</v>
      </c>
      <c r="I49" s="60"/>
      <c r="O49"/>
      <c r="T49" s="121" t="s">
        <v>4410</v>
      </c>
      <c r="U49" s="587">
        <v>0.38181818181818183</v>
      </c>
      <c r="V49" s="792">
        <v>0.47272727272727272</v>
      </c>
    </row>
    <row r="50" spans="2:22" x14ac:dyDescent="0.3">
      <c r="B50" s="2">
        <v>47</v>
      </c>
      <c r="C50" s="2">
        <v>47</v>
      </c>
      <c r="D50" s="2" t="s">
        <v>327</v>
      </c>
      <c r="E50" s="4">
        <v>45709</v>
      </c>
      <c r="F50" s="2" t="s">
        <v>18</v>
      </c>
      <c r="G50" s="2" t="s">
        <v>17</v>
      </c>
      <c r="H50" s="60">
        <v>8.6805555555555552E-2</v>
      </c>
      <c r="I50" s="60" t="s">
        <v>834</v>
      </c>
      <c r="O50"/>
      <c r="T50" s="121" t="s">
        <v>4411</v>
      </c>
      <c r="U50" s="587">
        <v>0.51923076923076927</v>
      </c>
      <c r="V50" s="792">
        <v>0.55769230769230771</v>
      </c>
    </row>
    <row r="51" spans="2:22" x14ac:dyDescent="0.3">
      <c r="B51" s="2">
        <v>48</v>
      </c>
      <c r="C51" s="2">
        <v>48</v>
      </c>
      <c r="D51" s="2" t="s">
        <v>6086</v>
      </c>
      <c r="E51" s="4">
        <v>45711</v>
      </c>
      <c r="F51" s="2" t="s">
        <v>19</v>
      </c>
      <c r="G51" s="2" t="s">
        <v>17</v>
      </c>
      <c r="H51" s="60">
        <v>4.1666666666666664E-2</v>
      </c>
      <c r="I51" s="60"/>
      <c r="L51" s="519"/>
      <c r="M51" s="63"/>
      <c r="N51" s="63"/>
      <c r="O51" s="60"/>
      <c r="T51" s="121" t="s">
        <v>4412</v>
      </c>
      <c r="U51" s="587">
        <v>0.38461538461538464</v>
      </c>
      <c r="V51" s="792">
        <v>0.53846153846153844</v>
      </c>
    </row>
    <row r="52" spans="2:22" ht="15" thickBot="1" x14ac:dyDescent="0.35">
      <c r="B52" s="2">
        <v>49</v>
      </c>
      <c r="C52" s="2">
        <v>49</v>
      </c>
      <c r="D52" s="2" t="s">
        <v>325</v>
      </c>
      <c r="E52" s="4">
        <v>45713</v>
      </c>
      <c r="F52" s="2" t="s">
        <v>20</v>
      </c>
      <c r="G52" s="2" t="s">
        <v>16</v>
      </c>
      <c r="H52" s="60">
        <v>4.5138888888888888E-2</v>
      </c>
      <c r="I52" s="60" t="s">
        <v>834</v>
      </c>
      <c r="L52" s="519"/>
      <c r="M52" s="63"/>
      <c r="N52" s="63"/>
      <c r="O52" s="60"/>
      <c r="T52" s="790" t="s">
        <v>4413</v>
      </c>
      <c r="U52" s="791">
        <v>0.375</v>
      </c>
      <c r="V52" s="396">
        <v>0.609375</v>
      </c>
    </row>
    <row r="53" spans="2:22" ht="15" thickBot="1" x14ac:dyDescent="0.35">
      <c r="B53" s="2">
        <v>50</v>
      </c>
      <c r="C53" s="2">
        <v>50</v>
      </c>
      <c r="D53" s="2" t="s">
        <v>328</v>
      </c>
      <c r="E53" s="4">
        <v>45716</v>
      </c>
      <c r="F53" s="2" t="s">
        <v>18</v>
      </c>
      <c r="G53" s="2" t="s">
        <v>16</v>
      </c>
      <c r="H53" s="60" t="s">
        <v>352</v>
      </c>
      <c r="I53" s="60"/>
      <c r="L53" s="519"/>
      <c r="M53" s="63"/>
      <c r="N53" s="63"/>
      <c r="O53" s="60"/>
      <c r="P53" s="2"/>
      <c r="T53" s="240" t="s">
        <v>5592</v>
      </c>
      <c r="U53" s="918">
        <v>0.2982456140350877</v>
      </c>
      <c r="V53" s="918">
        <v>0.38596491228070173</v>
      </c>
    </row>
    <row r="54" spans="2:22" ht="15" thickBot="1" x14ac:dyDescent="0.35">
      <c r="B54" s="2">
        <v>51</v>
      </c>
      <c r="C54" s="2">
        <v>51</v>
      </c>
      <c r="D54" s="2" t="s">
        <v>6179</v>
      </c>
      <c r="E54" s="4">
        <v>45718</v>
      </c>
      <c r="F54" s="2" t="s">
        <v>19</v>
      </c>
      <c r="G54" s="2" t="s">
        <v>16</v>
      </c>
      <c r="H54" s="60">
        <v>4.4444444444444446E-2</v>
      </c>
      <c r="I54" s="60"/>
      <c r="O54" s="428">
        <v>0.9277777777777777</v>
      </c>
      <c r="P54" t="s">
        <v>580</v>
      </c>
      <c r="T54" s="240" t="s">
        <v>5398</v>
      </c>
      <c r="U54" s="918">
        <v>0.55072463768115898</v>
      </c>
      <c r="V54" s="918">
        <v>0.28985507246376802</v>
      </c>
    </row>
    <row r="55" spans="2:22" x14ac:dyDescent="0.3">
      <c r="B55" s="170">
        <v>52</v>
      </c>
      <c r="C55" s="170">
        <v>52</v>
      </c>
      <c r="D55" s="170" t="s">
        <v>334</v>
      </c>
      <c r="E55" s="189">
        <v>45720</v>
      </c>
      <c r="F55" s="170" t="s">
        <v>20</v>
      </c>
      <c r="G55" s="170" t="s">
        <v>17</v>
      </c>
      <c r="H55" s="193">
        <v>4.3749999999999997E-2</v>
      </c>
      <c r="I55" s="193" t="s">
        <v>834</v>
      </c>
      <c r="O55" s="60">
        <v>0.67222222222222217</v>
      </c>
      <c r="P55" t="s">
        <v>821</v>
      </c>
    </row>
    <row r="56" spans="2:22" x14ac:dyDescent="0.3">
      <c r="B56" s="2">
        <v>53</v>
      </c>
      <c r="C56" s="2" t="s">
        <v>1060</v>
      </c>
      <c r="D56" s="2" t="s">
        <v>334</v>
      </c>
      <c r="E56" s="4">
        <v>45723</v>
      </c>
      <c r="F56" s="2" t="s">
        <v>18</v>
      </c>
      <c r="G56" s="2" t="s">
        <v>17</v>
      </c>
      <c r="H56" s="60" t="s">
        <v>160</v>
      </c>
      <c r="I56" s="60" t="s">
        <v>834</v>
      </c>
    </row>
    <row r="57" spans="2:22" x14ac:dyDescent="0.3">
      <c r="B57" s="2">
        <v>54</v>
      </c>
      <c r="C57" s="2" t="s">
        <v>1060</v>
      </c>
      <c r="D57" s="2" t="s">
        <v>334</v>
      </c>
      <c r="E57" s="4">
        <v>45724</v>
      </c>
      <c r="F57" s="2" t="s">
        <v>23</v>
      </c>
      <c r="G57" s="2" t="s">
        <v>17</v>
      </c>
      <c r="H57" s="60">
        <v>8.611111111111111E-2</v>
      </c>
      <c r="I57" s="60" t="s">
        <v>834</v>
      </c>
    </row>
    <row r="58" spans="2:22" x14ac:dyDescent="0.3">
      <c r="B58" s="2">
        <v>55</v>
      </c>
      <c r="C58" s="2" t="s">
        <v>1060</v>
      </c>
      <c r="D58" s="2" t="s">
        <v>334</v>
      </c>
      <c r="E58" s="4">
        <v>45726</v>
      </c>
      <c r="F58" s="2" t="s">
        <v>1250</v>
      </c>
      <c r="G58" s="2" t="s">
        <v>16</v>
      </c>
      <c r="H58" s="60">
        <v>8.5416666666666669E-2</v>
      </c>
      <c r="I58" s="60"/>
    </row>
    <row r="59" spans="2:22" x14ac:dyDescent="0.3">
      <c r="B59" s="2">
        <v>56</v>
      </c>
      <c r="C59" s="2" t="s">
        <v>1060</v>
      </c>
      <c r="D59" s="2" t="s">
        <v>334</v>
      </c>
      <c r="E59" s="4">
        <v>45727</v>
      </c>
      <c r="F59" s="2" t="s">
        <v>20</v>
      </c>
      <c r="G59" s="2" t="s">
        <v>16</v>
      </c>
      <c r="H59" s="60">
        <v>4.4444444444444446E-2</v>
      </c>
      <c r="I59" s="60"/>
    </row>
    <row r="60" spans="2:22" ht="16.5" customHeight="1" x14ac:dyDescent="0.3">
      <c r="B60" s="2"/>
      <c r="E60" s="4"/>
      <c r="H60" s="60"/>
      <c r="I60" s="60"/>
    </row>
    <row r="61" spans="2:22" x14ac:dyDescent="0.3">
      <c r="B61" s="2"/>
      <c r="E61" s="4"/>
      <c r="H61" s="60"/>
      <c r="I61" s="60"/>
    </row>
    <row r="62" spans="2:22" x14ac:dyDescent="0.3">
      <c r="B62" s="2"/>
      <c r="E62" s="4"/>
      <c r="H62" s="60"/>
      <c r="I62" s="60"/>
    </row>
    <row r="63" spans="2:22" x14ac:dyDescent="0.3">
      <c r="C63"/>
      <c r="E63" s="4"/>
      <c r="H63" s="60"/>
      <c r="I63" s="60"/>
    </row>
    <row r="64" spans="2:22" x14ac:dyDescent="0.3">
      <c r="C64"/>
      <c r="E64" s="4"/>
      <c r="H64" s="60"/>
      <c r="I64" s="60"/>
    </row>
    <row r="65" spans="1:22" x14ac:dyDescent="0.3">
      <c r="B65" s="2"/>
      <c r="E65" s="4"/>
      <c r="H65" s="60"/>
      <c r="I65" s="60"/>
    </row>
    <row r="66" spans="1:22" ht="15" thickBot="1" x14ac:dyDescent="0.35">
      <c r="B66" s="2"/>
      <c r="E66" s="4"/>
      <c r="H66" s="60"/>
      <c r="I66" s="60"/>
    </row>
    <row r="67" spans="1:22" ht="15" thickBot="1" x14ac:dyDescent="0.35">
      <c r="B67" s="2"/>
      <c r="E67" s="295">
        <f>I67/(E86+4)</f>
        <v>5.5</v>
      </c>
      <c r="F67" s="296" t="s">
        <v>1121</v>
      </c>
      <c r="G67" s="297"/>
      <c r="H67" s="298"/>
      <c r="I67" s="520">
        <f>52-(COUNTBLANK(I4:I59))</f>
        <v>22</v>
      </c>
    </row>
    <row r="68" spans="1:22" ht="15" thickBot="1" x14ac:dyDescent="0.35">
      <c r="B68" s="2"/>
      <c r="E68"/>
      <c r="F68"/>
      <c r="G68"/>
      <c r="H68"/>
    </row>
    <row r="69" spans="1:22" x14ac:dyDescent="0.3">
      <c r="B69" s="1167" t="s">
        <v>6057</v>
      </c>
      <c r="C69" s="1168"/>
      <c r="D69" s="1168"/>
      <c r="E69" s="1168"/>
      <c r="F69" s="1168"/>
      <c r="G69" s="1168"/>
      <c r="H69" s="1169"/>
    </row>
    <row r="70" spans="1:22" ht="15" thickBot="1" x14ac:dyDescent="0.35">
      <c r="B70" s="201"/>
      <c r="C70" s="202" t="s">
        <v>16</v>
      </c>
      <c r="D70" s="202" t="s">
        <v>793</v>
      </c>
      <c r="E70" s="202" t="s">
        <v>794</v>
      </c>
      <c r="F70" s="202" t="s">
        <v>743</v>
      </c>
      <c r="G70" s="202" t="s">
        <v>796</v>
      </c>
      <c r="H70" s="203" t="s">
        <v>795</v>
      </c>
      <c r="L70" s="2"/>
      <c r="M70" s="2"/>
      <c r="N70" s="2"/>
    </row>
    <row r="71" spans="1:22" s="2" customFormat="1" x14ac:dyDescent="0.3">
      <c r="A71"/>
      <c r="B71" s="204" t="s">
        <v>792</v>
      </c>
      <c r="C71" s="205">
        <f>C72+C73</f>
        <v>8</v>
      </c>
      <c r="D71" s="205">
        <f t="shared" ref="D71:F71" si="0">D72+D73</f>
        <v>0</v>
      </c>
      <c r="E71" s="205">
        <f t="shared" si="0"/>
        <v>2</v>
      </c>
      <c r="F71" s="205">
        <f t="shared" si="0"/>
        <v>3</v>
      </c>
      <c r="G71" s="589">
        <f>G72+G73</f>
        <v>26</v>
      </c>
      <c r="H71" s="274"/>
      <c r="I71" s="243"/>
      <c r="J71"/>
      <c r="K71"/>
      <c r="Q71"/>
      <c r="R71"/>
      <c r="S71"/>
      <c r="T71"/>
      <c r="U71"/>
      <c r="V71"/>
    </row>
    <row r="72" spans="1:22" s="2" customFormat="1" x14ac:dyDescent="0.3">
      <c r="A72"/>
      <c r="B72" s="198" t="s">
        <v>797</v>
      </c>
      <c r="C72" s="183">
        <v>5</v>
      </c>
      <c r="D72" s="183">
        <v>0</v>
      </c>
      <c r="E72" s="183">
        <v>0</v>
      </c>
      <c r="F72" s="183">
        <v>2</v>
      </c>
      <c r="G72" s="383">
        <f>C72*3+D72*2+E72</f>
        <v>15</v>
      </c>
      <c r="H72" s="400"/>
      <c r="I72" s="60"/>
      <c r="J72"/>
      <c r="K72"/>
      <c r="Q72"/>
      <c r="R72"/>
      <c r="S72"/>
      <c r="T72"/>
      <c r="U72"/>
      <c r="V72"/>
    </row>
    <row r="73" spans="1:22" s="2" customFormat="1" ht="15" thickBot="1" x14ac:dyDescent="0.35">
      <c r="A73"/>
      <c r="B73" s="199" t="s">
        <v>798</v>
      </c>
      <c r="C73" s="200">
        <v>3</v>
      </c>
      <c r="D73" s="200">
        <v>0</v>
      </c>
      <c r="E73" s="200">
        <v>2</v>
      </c>
      <c r="F73" s="200">
        <v>1</v>
      </c>
      <c r="G73" s="384">
        <f>C73*3+D73*2+E73</f>
        <v>11</v>
      </c>
      <c r="H73" s="249"/>
      <c r="I73" s="244"/>
      <c r="J73"/>
      <c r="K73"/>
      <c r="Q73"/>
      <c r="R73"/>
      <c r="S73"/>
      <c r="T73"/>
      <c r="U73"/>
      <c r="V73"/>
    </row>
    <row r="74" spans="1:22" s="2" customFormat="1" x14ac:dyDescent="0.3">
      <c r="A74"/>
      <c r="B74" s="594" t="s">
        <v>799</v>
      </c>
      <c r="C74" s="595">
        <f>C75+C76</f>
        <v>9</v>
      </c>
      <c r="D74" s="595">
        <f t="shared" ref="D74:F74" si="1">D75+D76</f>
        <v>0</v>
      </c>
      <c r="E74" s="595">
        <f t="shared" si="1"/>
        <v>0</v>
      </c>
      <c r="F74" s="595">
        <f t="shared" si="1"/>
        <v>4</v>
      </c>
      <c r="G74" s="910">
        <f>G75+G76</f>
        <v>27</v>
      </c>
      <c r="H74" s="591"/>
      <c r="I74" s="243"/>
      <c r="J74"/>
      <c r="K74"/>
      <c r="L74"/>
      <c r="M74"/>
      <c r="N74"/>
      <c r="Q74"/>
      <c r="R74"/>
      <c r="S74"/>
      <c r="T74"/>
      <c r="U74"/>
      <c r="V74"/>
    </row>
    <row r="75" spans="1:22" s="2" customFormat="1" x14ac:dyDescent="0.3">
      <c r="A75"/>
      <c r="B75" s="198" t="s">
        <v>797</v>
      </c>
      <c r="C75" s="183">
        <v>5</v>
      </c>
      <c r="D75" s="183">
        <v>0</v>
      </c>
      <c r="E75" s="183">
        <v>0</v>
      </c>
      <c r="F75" s="183">
        <v>1</v>
      </c>
      <c r="G75" s="383">
        <f>C75*3+D75*2+E75</f>
        <v>15</v>
      </c>
      <c r="H75" s="400"/>
      <c r="I75" s="244"/>
      <c r="J75"/>
      <c r="K75"/>
      <c r="L75"/>
      <c r="M75"/>
      <c r="N75"/>
      <c r="P75"/>
      <c r="Q75"/>
      <c r="R75"/>
      <c r="S75"/>
      <c r="T75"/>
      <c r="U75"/>
      <c r="V75"/>
    </row>
    <row r="76" spans="1:22" s="2" customFormat="1" ht="15" thickBot="1" x14ac:dyDescent="0.35">
      <c r="A76"/>
      <c r="B76" s="199" t="s">
        <v>798</v>
      </c>
      <c r="C76" s="200">
        <v>4</v>
      </c>
      <c r="D76" s="200">
        <v>0</v>
      </c>
      <c r="E76" s="200">
        <v>0</v>
      </c>
      <c r="F76" s="200">
        <v>3</v>
      </c>
      <c r="G76" s="384">
        <f>C76*3+D76*2+E76</f>
        <v>12</v>
      </c>
      <c r="H76" s="249"/>
      <c r="I76" s="244"/>
      <c r="J76"/>
      <c r="K76"/>
      <c r="L76"/>
      <c r="M76"/>
      <c r="N76"/>
      <c r="P76"/>
      <c r="Q76"/>
      <c r="R76"/>
      <c r="S76"/>
      <c r="T76"/>
      <c r="U76"/>
      <c r="V76"/>
    </row>
    <row r="77" spans="1:22" s="2" customFormat="1" x14ac:dyDescent="0.3">
      <c r="A77"/>
      <c r="B77" s="594" t="s">
        <v>800</v>
      </c>
      <c r="C77" s="595">
        <f>C78+C79</f>
        <v>6</v>
      </c>
      <c r="D77" s="595">
        <f t="shared" ref="D77:F77" si="2">D78+D79</f>
        <v>0</v>
      </c>
      <c r="E77" s="595">
        <f t="shared" si="2"/>
        <v>0</v>
      </c>
      <c r="F77" s="595">
        <f t="shared" si="2"/>
        <v>7</v>
      </c>
      <c r="G77" s="595">
        <f>G78+G79</f>
        <v>18</v>
      </c>
      <c r="H77" s="591"/>
      <c r="I77" s="243"/>
      <c r="J77"/>
      <c r="K77"/>
      <c r="L77"/>
      <c r="M77"/>
      <c r="N77"/>
      <c r="P77"/>
      <c r="Q77"/>
      <c r="R77"/>
      <c r="S77"/>
      <c r="T77"/>
      <c r="U77"/>
      <c r="V77"/>
    </row>
    <row r="78" spans="1:22" s="2" customFormat="1" x14ac:dyDescent="0.3">
      <c r="A78"/>
      <c r="B78" s="198" t="s">
        <v>797</v>
      </c>
      <c r="C78" s="183">
        <v>3</v>
      </c>
      <c r="D78" s="183">
        <v>0</v>
      </c>
      <c r="E78" s="183">
        <v>0</v>
      </c>
      <c r="F78" s="183">
        <v>4</v>
      </c>
      <c r="G78" s="383">
        <f>C78*3+D78*2+E78</f>
        <v>9</v>
      </c>
      <c r="H78" s="400"/>
      <c r="I78" s="244"/>
      <c r="J78"/>
      <c r="K78"/>
      <c r="L78"/>
      <c r="M78"/>
      <c r="N78"/>
      <c r="P78"/>
      <c r="Q78"/>
      <c r="R78"/>
      <c r="S78"/>
      <c r="T78"/>
      <c r="U78"/>
      <c r="V78"/>
    </row>
    <row r="79" spans="1:22" s="2" customFormat="1" ht="15" thickBot="1" x14ac:dyDescent="0.35">
      <c r="A79"/>
      <c r="B79" s="199" t="s">
        <v>798</v>
      </c>
      <c r="C79" s="200">
        <v>3</v>
      </c>
      <c r="D79" s="200">
        <v>0</v>
      </c>
      <c r="E79" s="200">
        <v>0</v>
      </c>
      <c r="F79" s="200">
        <v>3</v>
      </c>
      <c r="G79" s="384">
        <f>C79*3+D79*2+E79</f>
        <v>9</v>
      </c>
      <c r="H79" s="249"/>
      <c r="I79" s="244"/>
      <c r="J79"/>
      <c r="K79"/>
      <c r="L79"/>
      <c r="M79"/>
      <c r="N79"/>
      <c r="P79"/>
      <c r="Q79"/>
      <c r="R79"/>
      <c r="S79"/>
      <c r="T79"/>
      <c r="U79"/>
      <c r="V79"/>
    </row>
    <row r="80" spans="1:22" s="2" customFormat="1" x14ac:dyDescent="0.3">
      <c r="A80"/>
      <c r="B80" s="204" t="s">
        <v>801</v>
      </c>
      <c r="C80" s="205">
        <f>C81+C82</f>
        <v>2</v>
      </c>
      <c r="D80" s="205">
        <f>D81+D82</f>
        <v>1</v>
      </c>
      <c r="E80" s="205">
        <f t="shared" ref="E80:F80" si="3">E81+E82</f>
        <v>1</v>
      </c>
      <c r="F80" s="205">
        <f t="shared" si="3"/>
        <v>9</v>
      </c>
      <c r="G80" s="205">
        <f>G81+G82</f>
        <v>9</v>
      </c>
      <c r="H80" s="274"/>
      <c r="I80" s="243"/>
      <c r="J80"/>
      <c r="K80"/>
      <c r="L80"/>
      <c r="M80"/>
      <c r="N80"/>
      <c r="P80"/>
      <c r="Q80"/>
      <c r="R80"/>
      <c r="S80"/>
      <c r="T80"/>
      <c r="U80"/>
      <c r="V80"/>
    </row>
    <row r="81" spans="1:22" s="2" customFormat="1" x14ac:dyDescent="0.3">
      <c r="A81"/>
      <c r="B81" s="198" t="s">
        <v>797</v>
      </c>
      <c r="C81" s="183">
        <v>2</v>
      </c>
      <c r="D81" s="183">
        <v>0</v>
      </c>
      <c r="E81" s="183">
        <v>0</v>
      </c>
      <c r="F81" s="183">
        <v>4</v>
      </c>
      <c r="G81" s="383">
        <f>C81*3+D81*2+E81</f>
        <v>6</v>
      </c>
      <c r="H81" s="229"/>
      <c r="I81" s="244"/>
      <c r="J81"/>
      <c r="K81"/>
      <c r="L81"/>
      <c r="M81"/>
      <c r="N81"/>
      <c r="P81"/>
      <c r="Q81"/>
      <c r="R81"/>
      <c r="S81"/>
      <c r="T81"/>
      <c r="U81"/>
      <c r="V81"/>
    </row>
    <row r="82" spans="1:22" s="2" customFormat="1" ht="15" thickBot="1" x14ac:dyDescent="0.35">
      <c r="A82"/>
      <c r="B82" s="592" t="s">
        <v>798</v>
      </c>
      <c r="C82" s="202">
        <v>0</v>
      </c>
      <c r="D82" s="202">
        <v>1</v>
      </c>
      <c r="E82" s="202">
        <v>1</v>
      </c>
      <c r="F82" s="202">
        <v>5</v>
      </c>
      <c r="G82" s="593">
        <f t="shared" ref="G82" si="4">C82*3+D82*2+E82</f>
        <v>3</v>
      </c>
      <c r="H82" s="590"/>
      <c r="I82" s="244"/>
      <c r="J82"/>
      <c r="K82"/>
      <c r="L82"/>
      <c r="M82"/>
      <c r="N82"/>
      <c r="P82"/>
      <c r="Q82"/>
      <c r="R82"/>
      <c r="S82"/>
      <c r="T82"/>
      <c r="U82"/>
      <c r="V82"/>
    </row>
    <row r="83" spans="1:22" s="2" customFormat="1" x14ac:dyDescent="0.3">
      <c r="A83"/>
      <c r="B83" s="220" t="s">
        <v>804</v>
      </c>
      <c r="C83" s="221">
        <f>C71+C74+C77+C80</f>
        <v>25</v>
      </c>
      <c r="D83" s="221">
        <f t="shared" ref="D83:E85" si="5">D71+D74+D77+D80</f>
        <v>1</v>
      </c>
      <c r="E83" s="221">
        <f t="shared" si="5"/>
        <v>3</v>
      </c>
      <c r="F83" s="221">
        <f>F71+F74+F77+F80</f>
        <v>23</v>
      </c>
      <c r="G83" s="563">
        <f>C83*3+D83*2+E83</f>
        <v>80</v>
      </c>
      <c r="H83" s="274"/>
      <c r="I83" s="243"/>
      <c r="J83"/>
      <c r="K83"/>
      <c r="L83"/>
      <c r="M83"/>
      <c r="N83"/>
      <c r="P83"/>
      <c r="Q83"/>
      <c r="R83"/>
      <c r="S83"/>
      <c r="T83"/>
      <c r="U83"/>
      <c r="V83"/>
    </row>
    <row r="84" spans="1:22" s="2" customFormat="1" x14ac:dyDescent="0.3">
      <c r="A84"/>
      <c r="B84" s="223" t="s">
        <v>797</v>
      </c>
      <c r="C84" s="224">
        <f>C72+C75+C78+C81</f>
        <v>15</v>
      </c>
      <c r="D84" s="224">
        <f t="shared" si="5"/>
        <v>0</v>
      </c>
      <c r="E84" s="224">
        <f t="shared" si="5"/>
        <v>0</v>
      </c>
      <c r="F84" s="224">
        <f>F72+F75+F78+F81</f>
        <v>11</v>
      </c>
      <c r="G84" s="256">
        <f>C84*3+D84*2+E84</f>
        <v>45</v>
      </c>
      <c r="H84" s="400"/>
      <c r="I84" s="60"/>
      <c r="J84"/>
      <c r="K84"/>
      <c r="L84"/>
      <c r="M84"/>
      <c r="N84"/>
      <c r="P84"/>
      <c r="Q84"/>
      <c r="R84"/>
      <c r="S84"/>
      <c r="T84"/>
      <c r="U84"/>
      <c r="V84"/>
    </row>
    <row r="85" spans="1:22" s="2" customFormat="1" ht="15" thickBot="1" x14ac:dyDescent="0.35">
      <c r="A85"/>
      <c r="B85" s="226" t="s">
        <v>798</v>
      </c>
      <c r="C85" s="227">
        <f>C73+C76+C79+C82</f>
        <v>10</v>
      </c>
      <c r="D85" s="227">
        <f t="shared" si="5"/>
        <v>1</v>
      </c>
      <c r="E85" s="227">
        <f t="shared" si="5"/>
        <v>3</v>
      </c>
      <c r="F85" s="227">
        <f>F73+F76+F79+F82</f>
        <v>12</v>
      </c>
      <c r="G85" s="258">
        <f>C85*3+D85*2+E85</f>
        <v>35</v>
      </c>
      <c r="H85" s="400"/>
      <c r="I85" s="244"/>
      <c r="J85"/>
      <c r="K85"/>
      <c r="L85"/>
      <c r="M85"/>
      <c r="N85"/>
      <c r="P85"/>
      <c r="Q85"/>
      <c r="R85"/>
      <c r="S85"/>
      <c r="T85"/>
      <c r="U85"/>
      <c r="V85"/>
    </row>
    <row r="86" spans="1:22" s="2" customFormat="1" x14ac:dyDescent="0.3">
      <c r="A86"/>
      <c r="C86" s="8"/>
      <c r="J86"/>
      <c r="K86"/>
      <c r="L86"/>
      <c r="M86"/>
      <c r="N86"/>
      <c r="P86"/>
      <c r="Q86"/>
      <c r="R86"/>
      <c r="S86"/>
      <c r="T86"/>
      <c r="U86"/>
      <c r="V86"/>
    </row>
    <row r="95" spans="1:22" x14ac:dyDescent="0.3">
      <c r="C95"/>
      <c r="D95"/>
      <c r="E95"/>
    </row>
    <row r="96" spans="1:22" x14ac:dyDescent="0.3">
      <c r="C96"/>
      <c r="D96"/>
      <c r="E96"/>
      <c r="K96" s="2"/>
      <c r="L96" s="130"/>
      <c r="M96" s="130"/>
      <c r="N96" s="130"/>
    </row>
    <row r="97" spans="3:18" x14ac:dyDescent="0.3">
      <c r="C97"/>
      <c r="D97"/>
      <c r="E97"/>
      <c r="K97" s="129"/>
      <c r="L97" s="130"/>
      <c r="M97" s="130"/>
      <c r="N97" s="60"/>
    </row>
    <row r="98" spans="3:18" x14ac:dyDescent="0.3">
      <c r="C98"/>
      <c r="D98"/>
      <c r="E98"/>
      <c r="F98"/>
      <c r="G98"/>
      <c r="H98"/>
      <c r="I98"/>
      <c r="K98" s="129"/>
      <c r="L98" s="130"/>
      <c r="M98" s="130"/>
      <c r="N98" s="130"/>
      <c r="Q98" s="2"/>
    </row>
    <row r="99" spans="3:18" x14ac:dyDescent="0.3">
      <c r="C99"/>
      <c r="D99"/>
      <c r="E99"/>
      <c r="F99"/>
      <c r="G99"/>
      <c r="H99"/>
      <c r="I99"/>
      <c r="K99" s="2"/>
      <c r="Q99" s="130"/>
      <c r="R99" s="129"/>
    </row>
    <row r="100" spans="3:18" x14ac:dyDescent="0.3">
      <c r="C100"/>
      <c r="D100"/>
      <c r="E100"/>
      <c r="F100"/>
      <c r="G100"/>
      <c r="H100"/>
      <c r="I100"/>
      <c r="L100" s="60"/>
      <c r="M100" s="2"/>
      <c r="N100" s="60"/>
      <c r="Q100" s="130"/>
      <c r="R100" s="129"/>
    </row>
    <row r="101" spans="3:18" x14ac:dyDescent="0.3">
      <c r="C101"/>
      <c r="D101"/>
      <c r="E101"/>
      <c r="F101"/>
      <c r="G101"/>
      <c r="H101"/>
      <c r="I101"/>
      <c r="K101" s="2"/>
      <c r="L101" s="2"/>
      <c r="M101" s="2"/>
      <c r="N101" s="60"/>
      <c r="O101" s="130"/>
      <c r="P101" s="2"/>
      <c r="Q101" s="130"/>
      <c r="R101" s="129"/>
    </row>
    <row r="102" spans="3:18" x14ac:dyDescent="0.3">
      <c r="C102"/>
      <c r="D102"/>
      <c r="E102"/>
      <c r="F102"/>
      <c r="G102"/>
      <c r="H102"/>
      <c r="I102"/>
      <c r="K102" s="2"/>
      <c r="L102" s="60"/>
      <c r="M102" s="60"/>
      <c r="N102" s="2"/>
      <c r="O102" s="130"/>
      <c r="P102" s="130"/>
    </row>
    <row r="103" spans="3:18" x14ac:dyDescent="0.3">
      <c r="C103"/>
      <c r="D103"/>
      <c r="E103"/>
      <c r="F103"/>
      <c r="G103"/>
      <c r="H103"/>
      <c r="I103"/>
      <c r="K103" s="2"/>
      <c r="O103" s="130"/>
      <c r="P103" s="130"/>
      <c r="Q103" s="130"/>
      <c r="R103" s="129"/>
    </row>
    <row r="104" spans="3:18" x14ac:dyDescent="0.3">
      <c r="C104"/>
      <c r="D104"/>
      <c r="E104"/>
      <c r="F104"/>
      <c r="G104"/>
      <c r="H104"/>
      <c r="I104"/>
      <c r="L104" s="2"/>
      <c r="M104" s="2"/>
      <c r="P104" s="130"/>
      <c r="Q104" s="60"/>
      <c r="R104" s="129"/>
    </row>
    <row r="105" spans="3:18" x14ac:dyDescent="0.3">
      <c r="C105"/>
      <c r="D105"/>
      <c r="E105"/>
      <c r="F105"/>
      <c r="G105"/>
      <c r="H105"/>
      <c r="I105"/>
      <c r="K105" s="2"/>
      <c r="L105" s="2"/>
      <c r="M105" s="244"/>
      <c r="O105" s="130"/>
      <c r="Q105" s="60"/>
      <c r="R105" s="129"/>
    </row>
    <row r="106" spans="3:18" x14ac:dyDescent="0.3">
      <c r="C106"/>
      <c r="D106"/>
      <c r="E106"/>
      <c r="F106"/>
      <c r="G106"/>
      <c r="H106"/>
      <c r="I106"/>
      <c r="K106" s="129"/>
      <c r="L106" s="2"/>
      <c r="M106" s="244"/>
      <c r="O106" s="60"/>
      <c r="P106" s="60"/>
    </row>
    <row r="107" spans="3:18" x14ac:dyDescent="0.3">
      <c r="C107"/>
      <c r="D107"/>
      <c r="E107"/>
      <c r="F107"/>
      <c r="G107"/>
      <c r="H107"/>
      <c r="I107"/>
      <c r="K107" s="2"/>
      <c r="L107" s="2"/>
      <c r="M107" s="244"/>
      <c r="O107" s="130"/>
      <c r="P107" s="244"/>
    </row>
    <row r="108" spans="3:18" x14ac:dyDescent="0.3">
      <c r="C108"/>
      <c r="D108"/>
      <c r="E108"/>
      <c r="F108"/>
      <c r="G108"/>
      <c r="H108"/>
      <c r="I108"/>
      <c r="K108" s="129"/>
      <c r="L108" s="2"/>
      <c r="P108" s="60"/>
    </row>
    <row r="109" spans="3:18" x14ac:dyDescent="0.3">
      <c r="C109"/>
      <c r="D109"/>
      <c r="E109"/>
      <c r="F109"/>
      <c r="G109"/>
      <c r="H109"/>
      <c r="I109"/>
      <c r="K109" s="129"/>
    </row>
    <row r="110" spans="3:18" x14ac:dyDescent="0.3">
      <c r="C110"/>
      <c r="D110"/>
      <c r="E110"/>
      <c r="F110"/>
      <c r="G110"/>
      <c r="H110"/>
      <c r="I110"/>
    </row>
    <row r="111" spans="3:18" x14ac:dyDescent="0.3">
      <c r="C111"/>
      <c r="D111"/>
      <c r="E111"/>
      <c r="F111"/>
      <c r="G111"/>
      <c r="H111"/>
      <c r="I111"/>
    </row>
    <row r="112" spans="3:18" x14ac:dyDescent="0.3">
      <c r="C112"/>
      <c r="D112"/>
      <c r="E112"/>
      <c r="F112"/>
      <c r="G112"/>
      <c r="H112"/>
      <c r="I112"/>
    </row>
    <row r="113" spans="3:15" x14ac:dyDescent="0.3">
      <c r="C113"/>
      <c r="D113"/>
      <c r="E113"/>
      <c r="F113"/>
      <c r="G113"/>
      <c r="H113"/>
      <c r="I113"/>
    </row>
    <row r="115" spans="3:15" x14ac:dyDescent="0.3">
      <c r="O115"/>
    </row>
    <row r="116" spans="3:15" x14ac:dyDescent="0.3">
      <c r="O116"/>
    </row>
    <row r="117" spans="3:15" x14ac:dyDescent="0.3">
      <c r="O117"/>
    </row>
    <row r="118" spans="3:15" x14ac:dyDescent="0.3">
      <c r="O118"/>
    </row>
    <row r="119" spans="3:15" x14ac:dyDescent="0.3">
      <c r="O119"/>
    </row>
    <row r="120" spans="3:15" x14ac:dyDescent="0.3">
      <c r="O120"/>
    </row>
    <row r="121" spans="3:15" x14ac:dyDescent="0.3">
      <c r="O121"/>
    </row>
    <row r="122" spans="3:15" x14ac:dyDescent="0.3">
      <c r="O122"/>
    </row>
    <row r="123" spans="3:15" x14ac:dyDescent="0.3">
      <c r="O123"/>
    </row>
    <row r="124" spans="3:15" x14ac:dyDescent="0.3">
      <c r="O124"/>
    </row>
    <row r="125" spans="3:15" x14ac:dyDescent="0.3">
      <c r="O125"/>
    </row>
    <row r="126" spans="3:15" x14ac:dyDescent="0.3">
      <c r="O126"/>
    </row>
    <row r="127" spans="3:15" x14ac:dyDescent="0.3">
      <c r="O127"/>
    </row>
    <row r="128" spans="3:15" x14ac:dyDescent="0.3">
      <c r="O128"/>
    </row>
    <row r="129" spans="15:15" x14ac:dyDescent="0.3">
      <c r="O129"/>
    </row>
    <row r="130" spans="15:15" x14ac:dyDescent="0.3">
      <c r="O130"/>
    </row>
    <row r="131" spans="15:15" x14ac:dyDescent="0.3">
      <c r="O131"/>
    </row>
    <row r="132" spans="15:15" x14ac:dyDescent="0.3">
      <c r="O132"/>
    </row>
    <row r="133" spans="15:15" x14ac:dyDescent="0.3">
      <c r="O133"/>
    </row>
    <row r="134" spans="15:15" x14ac:dyDescent="0.3">
      <c r="O134"/>
    </row>
    <row r="135" spans="15:15" x14ac:dyDescent="0.3">
      <c r="O135"/>
    </row>
    <row r="136" spans="15:15" x14ac:dyDescent="0.3">
      <c r="O136"/>
    </row>
    <row r="137" spans="15:15" x14ac:dyDescent="0.3">
      <c r="O137"/>
    </row>
    <row r="138" spans="15:15" x14ac:dyDescent="0.3">
      <c r="O138"/>
    </row>
    <row r="139" spans="15:15" x14ac:dyDescent="0.3">
      <c r="O139"/>
    </row>
    <row r="140" spans="15:15" x14ac:dyDescent="0.3">
      <c r="O140"/>
    </row>
    <row r="141" spans="15:15" x14ac:dyDescent="0.3">
      <c r="O141"/>
    </row>
    <row r="142" spans="15:15" x14ac:dyDescent="0.3">
      <c r="O142"/>
    </row>
    <row r="143" spans="15:15" x14ac:dyDescent="0.3">
      <c r="O143"/>
    </row>
    <row r="144" spans="15:15" x14ac:dyDescent="0.3">
      <c r="O144"/>
    </row>
    <row r="145" spans="15:15" x14ac:dyDescent="0.3">
      <c r="O145"/>
    </row>
    <row r="146" spans="15:15" x14ac:dyDescent="0.3">
      <c r="O146"/>
    </row>
    <row r="147" spans="15:15" x14ac:dyDescent="0.3">
      <c r="O147"/>
    </row>
    <row r="148" spans="15:15" x14ac:dyDescent="0.3">
      <c r="O148"/>
    </row>
    <row r="149" spans="15:15" x14ac:dyDescent="0.3">
      <c r="O149"/>
    </row>
    <row r="150" spans="15:15" x14ac:dyDescent="0.3">
      <c r="O150"/>
    </row>
    <row r="151" spans="15:15" x14ac:dyDescent="0.3">
      <c r="O151"/>
    </row>
    <row r="152" spans="15:15" x14ac:dyDescent="0.3">
      <c r="O152"/>
    </row>
    <row r="153" spans="15:15" x14ac:dyDescent="0.3">
      <c r="O153"/>
    </row>
    <row r="154" spans="15:15" x14ac:dyDescent="0.3">
      <c r="O154"/>
    </row>
    <row r="155" spans="15:15" x14ac:dyDescent="0.3">
      <c r="O155"/>
    </row>
    <row r="156" spans="15:15" x14ac:dyDescent="0.3">
      <c r="O156"/>
    </row>
    <row r="157" spans="15:15" x14ac:dyDescent="0.3">
      <c r="O157"/>
    </row>
    <row r="158" spans="15:15" x14ac:dyDescent="0.3">
      <c r="O158"/>
    </row>
    <row r="159" spans="15:15" x14ac:dyDescent="0.3">
      <c r="O159"/>
    </row>
    <row r="160" spans="15:15" x14ac:dyDescent="0.3">
      <c r="O160"/>
    </row>
    <row r="161" spans="15:15" x14ac:dyDescent="0.3">
      <c r="O161"/>
    </row>
    <row r="162" spans="15:15" x14ac:dyDescent="0.3">
      <c r="O162"/>
    </row>
    <row r="163" spans="15:15" x14ac:dyDescent="0.3">
      <c r="O163"/>
    </row>
    <row r="164" spans="15:15" x14ac:dyDescent="0.3">
      <c r="O164"/>
    </row>
    <row r="165" spans="15:15" x14ac:dyDescent="0.3">
      <c r="O165"/>
    </row>
    <row r="166" spans="15:15" x14ac:dyDescent="0.3">
      <c r="O166"/>
    </row>
    <row r="167" spans="15:15" x14ac:dyDescent="0.3">
      <c r="O167"/>
    </row>
    <row r="168" spans="15:15" x14ac:dyDescent="0.3">
      <c r="O168"/>
    </row>
    <row r="169" spans="15:15" x14ac:dyDescent="0.3">
      <c r="O169"/>
    </row>
    <row r="170" spans="15:15" x14ac:dyDescent="0.3">
      <c r="O170"/>
    </row>
    <row r="171" spans="15:15" x14ac:dyDescent="0.3">
      <c r="O171"/>
    </row>
    <row r="172" spans="15:15" x14ac:dyDescent="0.3">
      <c r="O172"/>
    </row>
    <row r="173" spans="15:15" x14ac:dyDescent="0.3">
      <c r="O173"/>
    </row>
    <row r="174" spans="15:15" x14ac:dyDescent="0.3">
      <c r="O174"/>
    </row>
    <row r="175" spans="15:15" x14ac:dyDescent="0.3">
      <c r="O175"/>
    </row>
    <row r="176" spans="15:15" x14ac:dyDescent="0.3">
      <c r="O176"/>
    </row>
  </sheetData>
  <autoFilter ref="X7:Y36" xr:uid="{00000000-0009-0000-0000-000017000000}">
    <sortState xmlns:xlrd2="http://schemas.microsoft.com/office/spreadsheetml/2017/richdata2" ref="X8:Y40">
      <sortCondition descending="1" ref="Y7:Y36"/>
    </sortState>
  </autoFilter>
  <mergeCells count="10">
    <mergeCell ref="B69:H69"/>
    <mergeCell ref="AD41:AE41"/>
    <mergeCell ref="AJ41:AK41"/>
    <mergeCell ref="AE4:AF4"/>
    <mergeCell ref="AK4:AL4"/>
    <mergeCell ref="K7:P7"/>
    <mergeCell ref="AD38:AE38"/>
    <mergeCell ref="AJ38:AK38"/>
    <mergeCell ref="AD39:AE39"/>
    <mergeCell ref="AJ39:AK39"/>
  </mergeCells>
  <phoneticPr fontId="79" type="noConversion"/>
  <conditionalFormatting sqref="F1:F55">
    <cfRule type="cellIs" dxfId="116" priority="1" operator="equal">
      <formula>"so"</formula>
    </cfRule>
  </conditionalFormatting>
  <conditionalFormatting sqref="F4:F55">
    <cfRule type="cellIs" dxfId="115" priority="2" operator="equal">
      <formula>"ne"</formula>
    </cfRule>
    <cfRule type="cellIs" dxfId="114" priority="3" operator="equal">
      <formula>"pá"</formula>
    </cfRule>
  </conditionalFormatting>
  <conditionalFormatting sqref="F57:F67 F86:F97 F114:F1048576">
    <cfRule type="cellIs" dxfId="113" priority="22" operator="equal">
      <formula>"so"</formula>
    </cfRule>
  </conditionalFormatting>
  <conditionalFormatting sqref="G4:G67 E54:E55 E57:E59 E62:E67 F70 G114:G217">
    <cfRule type="cellIs" dxfId="112" priority="25" operator="equal">
      <formula>"D"</formula>
    </cfRule>
  </conditionalFormatting>
  <conditionalFormatting sqref="G72:G73 G75:G76 G78:G79 G81:G97">
    <cfRule type="cellIs" dxfId="111" priority="6" operator="equal">
      <formula>"D"</formula>
    </cfRule>
  </conditionalFormatting>
  <conditionalFormatting sqref="N14">
    <cfRule type="cellIs" dxfId="110" priority="11" operator="equal">
      <formula>"D"</formula>
    </cfRule>
  </conditionalFormatting>
  <conditionalFormatting sqref="N17:N21">
    <cfRule type="cellIs" dxfId="109" priority="18" operator="equal">
      <formula>"D"</formula>
    </cfRule>
  </conditionalFormatting>
  <conditionalFormatting sqref="O6 O32:O37 F57:F67 E70 F72:F73 F75:F76 F78:F79 F81:F82 F86:F97 F114:F209">
    <cfRule type="cellIs" dxfId="108" priority="23" operator="equal">
      <formula>"ne"</formula>
    </cfRule>
    <cfRule type="cellIs" dxfId="107" priority="24" operator="equal">
      <formula>"pá"</formula>
    </cfRule>
  </conditionalFormatting>
  <conditionalFormatting sqref="O21:O22">
    <cfRule type="cellIs" dxfId="106" priority="19" operator="equal">
      <formula>"so"</formula>
    </cfRule>
  </conditionalFormatting>
  <conditionalFormatting sqref="O21:O29">
    <cfRule type="cellIs" dxfId="105" priority="20" operator="equal">
      <formula>"ne"</formula>
    </cfRule>
    <cfRule type="cellIs" dxfId="104" priority="21" operator="equal">
      <formula>"pá"</formula>
    </cfRule>
  </conditionalFormatting>
  <conditionalFormatting sqref="P9">
    <cfRule type="cellIs" dxfId="103" priority="8" operator="equal">
      <formula>"so"</formula>
    </cfRule>
    <cfRule type="cellIs" dxfId="102" priority="9" operator="equal">
      <formula>"ne"</formula>
    </cfRule>
    <cfRule type="cellIs" dxfId="101" priority="10" operator="equal">
      <formula>"pá"</formula>
    </cfRule>
  </conditionalFormatting>
  <conditionalFormatting sqref="P10:P22">
    <cfRule type="cellIs" dxfId="100" priority="7" operator="equal">
      <formula>"D"</formula>
    </cfRule>
  </conditionalFormatting>
  <conditionalFormatting sqref="AK26:AK27">
    <cfRule type="cellIs" dxfId="99" priority="4" operator="equal">
      <formula>"D"</formula>
    </cfRule>
  </conditionalFormatting>
  <pageMargins left="0.7" right="0.7" top="0.78740157499999996" bottom="0.78740157499999996"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BA337-3B93-4ED5-A579-B3D5233290F8}">
  <dimension ref="A1:AK148"/>
  <sheetViews>
    <sheetView workbookViewId="0">
      <pane xSplit="7" ySplit="2" topLeftCell="I41" activePane="bottomRight" state="frozen"/>
      <selection activeCell="L12" sqref="L12"/>
      <selection pane="topRight" activeCell="L12" sqref="L12"/>
      <selection pane="bottomLeft" activeCell="L12" sqref="L12"/>
      <selection pane="bottomRight" activeCell="M58" sqref="M58"/>
    </sheetView>
  </sheetViews>
  <sheetFormatPr defaultRowHeight="14.4" x14ac:dyDescent="0.3"/>
  <cols>
    <col min="1" max="1" width="14.88671875" customWidth="1"/>
    <col min="2" max="2" width="11.109375" customWidth="1"/>
    <col min="3" max="4" width="11.33203125" style="2" customWidth="1"/>
    <col min="5" max="5" width="17.6640625" style="2" customWidth="1"/>
    <col min="6" max="6" width="18" style="2" customWidth="1"/>
    <col min="7" max="7" width="22.6640625" style="2" customWidth="1"/>
    <col min="8" max="8" width="16.88671875" style="2" customWidth="1"/>
    <col min="9" max="9" width="14.44140625" style="259" customWidth="1"/>
    <col min="10" max="10" width="13.88671875" style="259" customWidth="1"/>
    <col min="11" max="11" width="15.88671875" style="259" customWidth="1"/>
    <col min="12" max="12" width="14.88671875" style="259" customWidth="1"/>
    <col min="13" max="13" width="18" style="2" customWidth="1"/>
    <col min="14" max="14" width="16.44140625" style="2" customWidth="1"/>
    <col min="15" max="15" width="15.6640625" style="2" customWidth="1"/>
    <col min="16" max="16" width="18.33203125" style="168" customWidth="1"/>
    <col min="17" max="17" width="16.6640625" style="2" customWidth="1"/>
    <col min="18" max="18" width="23.88671875" style="2" customWidth="1"/>
    <col min="19" max="19" width="22.33203125" style="2" customWidth="1"/>
    <col min="20" max="20" width="17.88671875" style="2" customWidth="1"/>
    <col min="21" max="21" width="16.109375" style="2" customWidth="1"/>
    <col min="22" max="22" width="14.44140625" style="242" customWidth="1"/>
    <col min="23" max="25" width="11.109375" style="1058" customWidth="1"/>
    <col min="26" max="26" width="12.88671875" style="1058" customWidth="1"/>
    <col min="27" max="27" width="45.6640625" style="1061" customWidth="1"/>
    <col min="28" max="28" width="71.33203125" style="8" bestFit="1" customWidth="1"/>
    <col min="29" max="29" width="72.109375" style="2" customWidth="1"/>
    <col min="30" max="30" width="68.88671875" style="2" bestFit="1" customWidth="1"/>
    <col min="31" max="31" width="64.44140625" style="2" customWidth="1"/>
    <col min="32" max="32" width="64.5546875" style="2" customWidth="1"/>
    <col min="33" max="34" width="62.109375" style="2" customWidth="1"/>
    <col min="35" max="35" width="55.33203125" style="242" customWidth="1"/>
    <col min="36" max="36" width="55.88671875" style="8" customWidth="1"/>
    <col min="37" max="37" width="16" customWidth="1"/>
  </cols>
  <sheetData>
    <row r="1" spans="1:37" x14ac:dyDescent="0.3">
      <c r="P1" s="1152"/>
      <c r="Q1" s="1170"/>
      <c r="R1" s="1152"/>
      <c r="S1" s="1170"/>
      <c r="T1" s="1152"/>
      <c r="U1" s="1153"/>
      <c r="V1" s="1170"/>
      <c r="W1" s="1152"/>
      <c r="X1" s="1153"/>
      <c r="Y1" s="1153"/>
      <c r="Z1" s="1153"/>
      <c r="AA1" s="1153"/>
      <c r="AB1" s="1152"/>
      <c r="AC1" s="1153"/>
      <c r="AD1" s="1153"/>
      <c r="AE1" s="1153"/>
      <c r="AF1" s="1153"/>
      <c r="AG1" s="1153"/>
      <c r="AH1" s="1153"/>
      <c r="AI1" s="1170"/>
    </row>
    <row r="2" spans="1:37" s="2" customFormat="1" x14ac:dyDescent="0.3">
      <c r="A2" s="1051" t="s">
        <v>1053</v>
      </c>
      <c r="B2" s="2" t="s">
        <v>785</v>
      </c>
      <c r="C2" s="2" t="s">
        <v>14</v>
      </c>
      <c r="D2" s="2" t="s">
        <v>11</v>
      </c>
      <c r="E2" s="2" t="s">
        <v>15</v>
      </c>
      <c r="F2" s="2" t="s">
        <v>13</v>
      </c>
      <c r="G2" s="987" t="s">
        <v>157</v>
      </c>
      <c r="H2" s="987" t="s">
        <v>1047</v>
      </c>
      <c r="I2" s="1089" t="s">
        <v>6063</v>
      </c>
      <c r="J2" s="1089" t="s">
        <v>6064</v>
      </c>
      <c r="K2" s="1090" t="s">
        <v>6177</v>
      </c>
      <c r="L2" s="1090" t="s">
        <v>6178</v>
      </c>
      <c r="M2" s="987" t="s">
        <v>707</v>
      </c>
      <c r="N2" s="2" t="s">
        <v>708</v>
      </c>
      <c r="O2" s="2" t="s">
        <v>759</v>
      </c>
      <c r="P2" s="1052" t="s">
        <v>6180</v>
      </c>
      <c r="Q2" s="1051" t="s">
        <v>6181</v>
      </c>
      <c r="R2" s="1052" t="s">
        <v>6182</v>
      </c>
      <c r="S2" s="1052" t="s">
        <v>6183</v>
      </c>
      <c r="T2" s="1052" t="s">
        <v>6184</v>
      </c>
      <c r="U2" s="1051" t="s">
        <v>6185</v>
      </c>
      <c r="V2" s="1051" t="s">
        <v>6186</v>
      </c>
      <c r="W2" s="1062" t="s">
        <v>6059</v>
      </c>
      <c r="X2" s="1063" t="s">
        <v>6060</v>
      </c>
      <c r="Y2" s="1063" t="s">
        <v>6061</v>
      </c>
      <c r="Z2" s="1063" t="s">
        <v>6062</v>
      </c>
      <c r="AA2" s="1059" t="s">
        <v>698</v>
      </c>
      <c r="AB2" s="1102" t="s">
        <v>699</v>
      </c>
      <c r="AC2" s="170" t="s">
        <v>700</v>
      </c>
      <c r="AD2" s="170" t="s">
        <v>701</v>
      </c>
      <c r="AE2" s="170" t="s">
        <v>702</v>
      </c>
      <c r="AF2" s="170" t="s">
        <v>703</v>
      </c>
      <c r="AG2" s="170" t="s">
        <v>704</v>
      </c>
      <c r="AH2" s="170" t="s">
        <v>854</v>
      </c>
      <c r="AI2" s="171" t="s">
        <v>5166</v>
      </c>
      <c r="AJ2" s="2" t="s">
        <v>3878</v>
      </c>
      <c r="AK2" s="2" t="s">
        <v>4614</v>
      </c>
    </row>
    <row r="3" spans="1:37" ht="15.75" customHeight="1" x14ac:dyDescent="0.3">
      <c r="A3" s="985" t="s">
        <v>6176</v>
      </c>
      <c r="B3" s="2">
        <v>1</v>
      </c>
      <c r="C3" s="2">
        <v>1</v>
      </c>
      <c r="D3" s="4">
        <v>45553</v>
      </c>
      <c r="E3" s="2" t="s">
        <v>1274</v>
      </c>
      <c r="F3" s="2" t="s">
        <v>17</v>
      </c>
      <c r="G3" s="1058" t="s">
        <v>6073</v>
      </c>
      <c r="H3" s="1058" t="s">
        <v>16</v>
      </c>
      <c r="I3" s="259">
        <v>4</v>
      </c>
      <c r="J3" s="259">
        <v>2</v>
      </c>
      <c r="K3" s="259">
        <v>4</v>
      </c>
      <c r="L3" s="259">
        <v>2</v>
      </c>
      <c r="M3" s="2">
        <v>4</v>
      </c>
      <c r="N3" s="2">
        <v>0</v>
      </c>
      <c r="O3" s="2">
        <v>3</v>
      </c>
      <c r="P3" s="168">
        <v>1</v>
      </c>
      <c r="Q3" s="2">
        <v>1</v>
      </c>
      <c r="R3" s="2">
        <v>0</v>
      </c>
      <c r="S3" s="2">
        <v>1</v>
      </c>
      <c r="T3" s="2">
        <v>6</v>
      </c>
      <c r="U3" s="2">
        <v>3</v>
      </c>
      <c r="V3" s="242">
        <v>4562</v>
      </c>
      <c r="W3" s="1058" t="s">
        <v>6187</v>
      </c>
      <c r="X3" s="1058" t="s">
        <v>6120</v>
      </c>
      <c r="Y3" s="1058" t="s">
        <v>6118</v>
      </c>
      <c r="AA3" s="1058" t="s">
        <v>5837</v>
      </c>
      <c r="AB3" s="8" t="s">
        <v>5841</v>
      </c>
      <c r="AC3" t="s">
        <v>5854</v>
      </c>
      <c r="AD3" s="967" t="s">
        <v>5842</v>
      </c>
      <c r="AE3" t="s">
        <v>5920</v>
      </c>
      <c r="AK3" s="8" t="s">
        <v>5839</v>
      </c>
    </row>
    <row r="4" spans="1:37" x14ac:dyDescent="0.3">
      <c r="A4" s="985" t="s">
        <v>6176</v>
      </c>
      <c r="B4" s="2">
        <v>2</v>
      </c>
      <c r="C4" s="2">
        <v>2</v>
      </c>
      <c r="D4" s="4">
        <v>45555</v>
      </c>
      <c r="E4" s="2" t="s">
        <v>331</v>
      </c>
      <c r="F4" s="2" t="s">
        <v>16</v>
      </c>
      <c r="G4" s="1058" t="s">
        <v>6100</v>
      </c>
      <c r="H4" s="1058" t="s">
        <v>16</v>
      </c>
      <c r="I4" s="259">
        <v>3</v>
      </c>
      <c r="J4" s="259">
        <v>1</v>
      </c>
      <c r="K4" s="259">
        <v>3</v>
      </c>
      <c r="L4" s="259">
        <v>1</v>
      </c>
      <c r="M4" s="2">
        <v>2</v>
      </c>
      <c r="N4" s="2">
        <v>3</v>
      </c>
      <c r="O4" s="2">
        <v>6</v>
      </c>
      <c r="P4" s="168">
        <v>0</v>
      </c>
      <c r="Q4" s="2">
        <v>0</v>
      </c>
      <c r="R4" s="2">
        <v>0</v>
      </c>
      <c r="S4" s="2">
        <v>1</v>
      </c>
      <c r="T4" s="2">
        <v>2</v>
      </c>
      <c r="U4" s="2">
        <v>6</v>
      </c>
      <c r="V4" s="242">
        <v>5457</v>
      </c>
      <c r="W4" s="1058" t="s">
        <v>6100</v>
      </c>
      <c r="X4" s="1058" t="s">
        <v>6188</v>
      </c>
      <c r="Y4" s="1058" t="s">
        <v>6188</v>
      </c>
      <c r="AA4" s="1058" t="s">
        <v>5838</v>
      </c>
      <c r="AB4" s="8" t="s">
        <v>5843</v>
      </c>
      <c r="AC4" t="s">
        <v>5844</v>
      </c>
      <c r="AD4" t="s">
        <v>5845</v>
      </c>
      <c r="AJ4" s="2"/>
      <c r="AK4" s="546" t="s">
        <v>5840</v>
      </c>
    </row>
    <row r="5" spans="1:37" x14ac:dyDescent="0.3">
      <c r="A5" s="985" t="s">
        <v>6176</v>
      </c>
      <c r="B5" s="2">
        <v>3</v>
      </c>
      <c r="C5" s="2">
        <v>3</v>
      </c>
      <c r="D5" s="4">
        <v>45557</v>
      </c>
      <c r="E5" s="2" t="s">
        <v>332</v>
      </c>
      <c r="F5" s="2" t="s">
        <v>17</v>
      </c>
      <c r="G5" s="1058" t="s">
        <v>6113</v>
      </c>
      <c r="H5" s="1058" t="s">
        <v>16</v>
      </c>
      <c r="I5" s="259">
        <v>3</v>
      </c>
      <c r="J5" s="259">
        <v>2</v>
      </c>
      <c r="K5" s="259">
        <v>3</v>
      </c>
      <c r="L5" s="259">
        <v>2</v>
      </c>
      <c r="M5" s="2">
        <v>1</v>
      </c>
      <c r="N5" s="2">
        <v>3</v>
      </c>
      <c r="O5" s="2">
        <v>9</v>
      </c>
      <c r="P5" s="168">
        <v>2</v>
      </c>
      <c r="Q5" s="2">
        <v>0</v>
      </c>
      <c r="R5" s="2">
        <v>0</v>
      </c>
      <c r="S5" s="2">
        <v>1</v>
      </c>
      <c r="T5" s="2">
        <v>3</v>
      </c>
      <c r="U5" s="2">
        <v>4</v>
      </c>
      <c r="V5" s="242">
        <v>5577</v>
      </c>
      <c r="W5" s="1058" t="s">
        <v>6120</v>
      </c>
      <c r="X5" s="1058" t="s">
        <v>6171</v>
      </c>
      <c r="Y5" s="1058" t="s">
        <v>6089</v>
      </c>
      <c r="AA5" s="1058" t="s">
        <v>3846</v>
      </c>
      <c r="AB5" s="8" t="s">
        <v>5855</v>
      </c>
      <c r="AC5" t="s">
        <v>5856</v>
      </c>
      <c r="AD5" t="s">
        <v>5857</v>
      </c>
      <c r="AK5" s="8" t="s">
        <v>5846</v>
      </c>
    </row>
    <row r="6" spans="1:37" x14ac:dyDescent="0.3">
      <c r="A6" s="985" t="s">
        <v>6176</v>
      </c>
      <c r="B6" s="2">
        <v>4</v>
      </c>
      <c r="C6" s="2">
        <v>4</v>
      </c>
      <c r="D6" s="4">
        <v>45559</v>
      </c>
      <c r="E6" s="2" t="s">
        <v>610</v>
      </c>
      <c r="F6" s="2" t="s">
        <v>16</v>
      </c>
      <c r="G6" s="1058" t="s">
        <v>6073</v>
      </c>
      <c r="H6" s="1058" t="s">
        <v>16</v>
      </c>
      <c r="I6" s="259">
        <v>4</v>
      </c>
      <c r="J6" s="259">
        <v>2</v>
      </c>
      <c r="K6" s="259">
        <v>4</v>
      </c>
      <c r="L6" s="259">
        <v>2</v>
      </c>
      <c r="M6" s="2">
        <v>1</v>
      </c>
      <c r="N6" s="2">
        <v>6</v>
      </c>
      <c r="O6" s="2">
        <v>12</v>
      </c>
      <c r="P6" s="168">
        <v>1</v>
      </c>
      <c r="Q6" s="2">
        <v>0</v>
      </c>
      <c r="R6" s="2">
        <v>0</v>
      </c>
      <c r="S6" s="2">
        <v>2</v>
      </c>
      <c r="T6" s="2">
        <v>6</v>
      </c>
      <c r="U6" s="2">
        <v>4</v>
      </c>
      <c r="V6" s="242">
        <v>4036</v>
      </c>
      <c r="W6" s="1058" t="s">
        <v>6194</v>
      </c>
      <c r="X6" s="1058" t="s">
        <v>6089</v>
      </c>
      <c r="Y6" s="1058" t="s">
        <v>6188</v>
      </c>
      <c r="AA6" s="1058" t="s">
        <v>5847</v>
      </c>
      <c r="AB6" s="8" t="s">
        <v>5858</v>
      </c>
      <c r="AC6" s="2" t="s">
        <v>5859</v>
      </c>
      <c r="AD6" s="2" t="s">
        <v>5860</v>
      </c>
      <c r="AE6" s="2" t="s">
        <v>5861</v>
      </c>
      <c r="AK6" s="8" t="s">
        <v>5849</v>
      </c>
    </row>
    <row r="7" spans="1:37" x14ac:dyDescent="0.3">
      <c r="A7" s="985" t="s">
        <v>6176</v>
      </c>
      <c r="B7" s="2">
        <v>5</v>
      </c>
      <c r="C7" s="2">
        <v>5</v>
      </c>
      <c r="D7" s="4">
        <v>45562</v>
      </c>
      <c r="E7" s="2" t="s">
        <v>6076</v>
      </c>
      <c r="F7" s="2" t="s">
        <v>17</v>
      </c>
      <c r="G7" s="1058" t="s">
        <v>6133</v>
      </c>
      <c r="H7" s="1058" t="s">
        <v>16</v>
      </c>
      <c r="I7" s="259">
        <v>5</v>
      </c>
      <c r="J7" s="259">
        <v>2</v>
      </c>
      <c r="K7" s="259">
        <v>5</v>
      </c>
      <c r="L7" s="259">
        <v>2</v>
      </c>
      <c r="M7" s="2">
        <v>1</v>
      </c>
      <c r="N7" s="2">
        <v>6</v>
      </c>
      <c r="O7" s="2">
        <v>15</v>
      </c>
      <c r="P7" s="168">
        <v>0</v>
      </c>
      <c r="Q7" s="2">
        <v>0</v>
      </c>
      <c r="R7" s="2">
        <v>0</v>
      </c>
      <c r="S7" s="2">
        <v>0</v>
      </c>
      <c r="T7" s="2">
        <v>2</v>
      </c>
      <c r="U7" s="2">
        <v>4</v>
      </c>
      <c r="V7" s="242">
        <v>5110</v>
      </c>
      <c r="W7" s="1058" t="s">
        <v>6148</v>
      </c>
      <c r="X7" s="1058" t="s">
        <v>6187</v>
      </c>
      <c r="Y7" s="1058" t="s">
        <v>6188</v>
      </c>
      <c r="AA7" s="1058" t="s">
        <v>5850</v>
      </c>
      <c r="AB7" s="8" t="s">
        <v>5862</v>
      </c>
      <c r="AC7" t="s">
        <v>5863</v>
      </c>
      <c r="AD7" t="s">
        <v>5864</v>
      </c>
      <c r="AE7" t="s">
        <v>5865</v>
      </c>
      <c r="AF7" t="s">
        <v>5866</v>
      </c>
      <c r="AK7" s="442" t="s">
        <v>5848</v>
      </c>
    </row>
    <row r="8" spans="1:37" x14ac:dyDescent="0.3">
      <c r="A8" s="985" t="s">
        <v>6176</v>
      </c>
      <c r="B8" s="2">
        <v>6</v>
      </c>
      <c r="C8" s="2">
        <v>6</v>
      </c>
      <c r="D8" s="4">
        <v>45564</v>
      </c>
      <c r="E8" s="2" t="s">
        <v>626</v>
      </c>
      <c r="F8" s="2" t="s">
        <v>16</v>
      </c>
      <c r="G8" s="1058" t="s">
        <v>6118</v>
      </c>
      <c r="H8" s="1058" t="s">
        <v>16</v>
      </c>
      <c r="I8" s="259">
        <v>2</v>
      </c>
      <c r="J8" s="259">
        <v>1</v>
      </c>
      <c r="K8" s="259">
        <v>2</v>
      </c>
      <c r="L8" s="259">
        <v>1</v>
      </c>
      <c r="M8" s="2">
        <v>1</v>
      </c>
      <c r="N8" s="2">
        <v>9</v>
      </c>
      <c r="O8" s="2">
        <v>18</v>
      </c>
      <c r="P8" s="168">
        <v>0</v>
      </c>
      <c r="Q8" s="2">
        <v>0</v>
      </c>
      <c r="R8" s="2">
        <v>0</v>
      </c>
      <c r="S8" s="2">
        <v>0</v>
      </c>
      <c r="T8" s="2">
        <v>3</v>
      </c>
      <c r="U8" s="2">
        <v>4</v>
      </c>
      <c r="V8" s="242">
        <v>4518</v>
      </c>
      <c r="W8" s="1058" t="s">
        <v>6120</v>
      </c>
      <c r="X8" s="1058" t="s">
        <v>6189</v>
      </c>
      <c r="Y8" s="1058" t="s">
        <v>6120</v>
      </c>
      <c r="AA8" s="1058" t="s">
        <v>3356</v>
      </c>
      <c r="AB8" s="8" t="s">
        <v>5893</v>
      </c>
      <c r="AC8" t="s">
        <v>5894</v>
      </c>
      <c r="AJ8" s="2" t="s">
        <v>5852</v>
      </c>
      <c r="AK8" s="442" t="s">
        <v>5851</v>
      </c>
    </row>
    <row r="9" spans="1:37" ht="15" customHeight="1" x14ac:dyDescent="0.3">
      <c r="A9" s="985" t="s">
        <v>6176</v>
      </c>
      <c r="B9" s="2">
        <v>7</v>
      </c>
      <c r="C9" s="2">
        <v>7</v>
      </c>
      <c r="D9" s="4">
        <v>45566</v>
      </c>
      <c r="E9" s="2" t="s">
        <v>6091</v>
      </c>
      <c r="F9" s="2" t="s">
        <v>17</v>
      </c>
      <c r="G9" s="1058" t="s">
        <v>6190</v>
      </c>
      <c r="H9" s="1058" t="s">
        <v>16</v>
      </c>
      <c r="I9" s="259">
        <v>5</v>
      </c>
      <c r="J9" s="259">
        <v>1</v>
      </c>
      <c r="K9" s="259">
        <v>3</v>
      </c>
      <c r="L9" s="259">
        <v>1</v>
      </c>
      <c r="M9" s="2">
        <v>1</v>
      </c>
      <c r="N9" s="2">
        <v>9</v>
      </c>
      <c r="O9" s="2">
        <v>21</v>
      </c>
      <c r="P9" s="168">
        <v>2</v>
      </c>
      <c r="Q9" s="2">
        <v>0</v>
      </c>
      <c r="R9" s="2">
        <v>0</v>
      </c>
      <c r="S9" s="2">
        <v>0</v>
      </c>
      <c r="T9" s="2">
        <v>6</v>
      </c>
      <c r="U9" s="2">
        <v>6</v>
      </c>
      <c r="V9" s="242">
        <v>4250</v>
      </c>
      <c r="W9" s="1058" t="s">
        <v>6120</v>
      </c>
      <c r="X9" s="1058" t="s">
        <v>6118</v>
      </c>
      <c r="Y9" s="1058" t="s">
        <v>6089</v>
      </c>
      <c r="AA9" s="1058" t="s">
        <v>5240</v>
      </c>
      <c r="AB9" s="8" t="s">
        <v>5895</v>
      </c>
      <c r="AC9" t="s">
        <v>5896</v>
      </c>
      <c r="AD9" t="s">
        <v>5897</v>
      </c>
      <c r="AE9" t="s">
        <v>5918</v>
      </c>
      <c r="AF9" s="967" t="s">
        <v>5919</v>
      </c>
      <c r="AK9" s="442" t="s">
        <v>5853</v>
      </c>
    </row>
    <row r="10" spans="1:37" x14ac:dyDescent="0.3">
      <c r="A10" s="985" t="s">
        <v>6176</v>
      </c>
      <c r="B10" s="2">
        <v>8</v>
      </c>
      <c r="C10" s="2">
        <v>8</v>
      </c>
      <c r="D10" s="4">
        <v>45569</v>
      </c>
      <c r="E10" s="2" t="s">
        <v>327</v>
      </c>
      <c r="F10" s="2" t="s">
        <v>16</v>
      </c>
      <c r="G10" s="1058" t="s">
        <v>6102</v>
      </c>
      <c r="H10" s="1058" t="s">
        <v>743</v>
      </c>
      <c r="I10" s="259">
        <v>1</v>
      </c>
      <c r="J10" s="259">
        <v>3</v>
      </c>
      <c r="K10" s="259">
        <v>1</v>
      </c>
      <c r="L10" s="259">
        <v>2</v>
      </c>
      <c r="M10" s="2">
        <v>1</v>
      </c>
      <c r="N10" s="2">
        <v>9</v>
      </c>
      <c r="O10" s="2">
        <v>21</v>
      </c>
      <c r="P10" s="168">
        <v>0</v>
      </c>
      <c r="Q10" s="2">
        <v>0</v>
      </c>
      <c r="R10" s="2">
        <v>0</v>
      </c>
      <c r="S10" s="2">
        <v>0</v>
      </c>
      <c r="T10" s="2">
        <v>2</v>
      </c>
      <c r="U10" s="2">
        <v>4</v>
      </c>
      <c r="V10" s="242">
        <v>9892</v>
      </c>
      <c r="W10" s="1058" t="s">
        <v>6188</v>
      </c>
      <c r="X10" s="1058" t="s">
        <v>6187</v>
      </c>
      <c r="Y10" s="1058" t="s">
        <v>6171</v>
      </c>
      <c r="AA10" s="1058" t="s">
        <v>3601</v>
      </c>
      <c r="AB10" s="8" t="s">
        <v>5898</v>
      </c>
      <c r="AK10" s="8" t="s">
        <v>5868</v>
      </c>
    </row>
    <row r="11" spans="1:37" x14ac:dyDescent="0.3">
      <c r="A11" s="985" t="s">
        <v>6176</v>
      </c>
      <c r="B11" s="2">
        <v>9</v>
      </c>
      <c r="C11" s="2">
        <v>9</v>
      </c>
      <c r="D11" s="4">
        <v>45571</v>
      </c>
      <c r="E11" s="2" t="s">
        <v>6086</v>
      </c>
      <c r="F11" s="2" t="s">
        <v>16</v>
      </c>
      <c r="G11" s="1058" t="s">
        <v>171</v>
      </c>
      <c r="H11" s="1058" t="s">
        <v>794</v>
      </c>
      <c r="I11" s="259">
        <v>2</v>
      </c>
      <c r="J11" s="259">
        <v>3</v>
      </c>
      <c r="K11" s="259">
        <v>2</v>
      </c>
      <c r="L11" s="259">
        <v>2</v>
      </c>
      <c r="M11" s="2">
        <v>1</v>
      </c>
      <c r="N11" s="2">
        <v>10</v>
      </c>
      <c r="O11" s="2">
        <v>22</v>
      </c>
      <c r="P11" s="168">
        <v>0</v>
      </c>
      <c r="Q11" s="2">
        <v>0</v>
      </c>
      <c r="R11" s="2">
        <v>0</v>
      </c>
      <c r="S11" s="2">
        <v>1</v>
      </c>
      <c r="T11" s="2">
        <v>2</v>
      </c>
      <c r="U11" s="2">
        <v>4</v>
      </c>
      <c r="V11" s="242">
        <v>3401</v>
      </c>
      <c r="W11" s="1058" t="s">
        <v>6187</v>
      </c>
      <c r="X11" s="1058" t="s">
        <v>6120</v>
      </c>
      <c r="Y11" s="1058" t="s">
        <v>6189</v>
      </c>
      <c r="Z11" s="1058" t="s">
        <v>3213</v>
      </c>
      <c r="AA11" s="1058" t="s">
        <v>5867</v>
      </c>
      <c r="AB11" s="8" t="s">
        <v>5907</v>
      </c>
      <c r="AC11" t="s">
        <v>5908</v>
      </c>
      <c r="AK11" s="442" t="s">
        <v>5869</v>
      </c>
    </row>
    <row r="12" spans="1:37" x14ac:dyDescent="0.3">
      <c r="A12" s="985" t="s">
        <v>6176</v>
      </c>
      <c r="B12" s="2">
        <v>10</v>
      </c>
      <c r="C12" s="2">
        <v>10</v>
      </c>
      <c r="D12" s="4">
        <v>45576</v>
      </c>
      <c r="E12" s="2" t="s">
        <v>325</v>
      </c>
      <c r="F12" s="2" t="s">
        <v>17</v>
      </c>
      <c r="G12" s="1058" t="s">
        <v>6082</v>
      </c>
      <c r="H12" s="1058" t="s">
        <v>743</v>
      </c>
      <c r="I12" s="259">
        <v>2</v>
      </c>
      <c r="J12" s="259">
        <v>4</v>
      </c>
      <c r="K12" s="259">
        <v>2</v>
      </c>
      <c r="L12" s="259">
        <v>3</v>
      </c>
      <c r="M12" s="2">
        <v>1</v>
      </c>
      <c r="N12" s="2">
        <v>7</v>
      </c>
      <c r="O12" s="2">
        <v>22</v>
      </c>
      <c r="P12" s="168">
        <v>1</v>
      </c>
      <c r="Q12" s="2">
        <v>0</v>
      </c>
      <c r="R12" s="2">
        <v>1</v>
      </c>
      <c r="S12" s="2">
        <v>0</v>
      </c>
      <c r="T12" s="2">
        <v>4</v>
      </c>
      <c r="U12" s="2">
        <v>3</v>
      </c>
      <c r="V12" s="242">
        <v>5944</v>
      </c>
      <c r="W12" s="1058" t="s">
        <v>6188</v>
      </c>
      <c r="X12" s="1058" t="s">
        <v>6102</v>
      </c>
      <c r="Y12" s="1058" t="s">
        <v>6187</v>
      </c>
      <c r="AA12" s="1058" t="s">
        <v>3848</v>
      </c>
      <c r="AB12" s="8" t="s">
        <v>5909</v>
      </c>
      <c r="AC12" t="s">
        <v>5910</v>
      </c>
      <c r="AK12" s="8" t="s">
        <v>5899</v>
      </c>
    </row>
    <row r="13" spans="1:37" x14ac:dyDescent="0.3">
      <c r="A13" s="985" t="s">
        <v>6176</v>
      </c>
      <c r="B13" s="2">
        <v>11</v>
      </c>
      <c r="C13" s="2">
        <v>11</v>
      </c>
      <c r="D13" s="4">
        <v>45578</v>
      </c>
      <c r="E13" s="2" t="s">
        <v>328</v>
      </c>
      <c r="F13" s="2" t="s">
        <v>17</v>
      </c>
      <c r="G13" s="1058" t="s">
        <v>6128</v>
      </c>
      <c r="H13" s="1058" t="s">
        <v>743</v>
      </c>
      <c r="I13" s="259">
        <v>1</v>
      </c>
      <c r="J13" s="259">
        <v>4</v>
      </c>
      <c r="K13" s="259">
        <v>1</v>
      </c>
      <c r="L13" s="259">
        <v>4</v>
      </c>
      <c r="M13" s="2">
        <v>2</v>
      </c>
      <c r="N13" s="2">
        <v>4</v>
      </c>
      <c r="O13" s="2">
        <v>22</v>
      </c>
      <c r="P13" s="168">
        <v>1</v>
      </c>
      <c r="Q13" s="2">
        <v>0</v>
      </c>
      <c r="R13" s="2">
        <v>0</v>
      </c>
      <c r="S13" s="2">
        <v>0</v>
      </c>
      <c r="T13" s="2">
        <v>5</v>
      </c>
      <c r="U13" s="2">
        <v>3</v>
      </c>
      <c r="V13" s="242">
        <v>4111</v>
      </c>
      <c r="W13" s="1058" t="s">
        <v>6120</v>
      </c>
      <c r="X13" s="1058" t="s">
        <v>6079</v>
      </c>
      <c r="Y13" s="1058" t="s">
        <v>6189</v>
      </c>
      <c r="AA13" s="1058" t="s">
        <v>4516</v>
      </c>
      <c r="AB13" s="8" t="s">
        <v>5911</v>
      </c>
      <c r="AK13" s="8" t="s">
        <v>5899</v>
      </c>
    </row>
    <row r="14" spans="1:37" x14ac:dyDescent="0.3">
      <c r="A14" s="985" t="s">
        <v>6176</v>
      </c>
      <c r="B14" s="2">
        <v>12</v>
      </c>
      <c r="C14" s="2">
        <v>12</v>
      </c>
      <c r="D14" s="4">
        <v>45583</v>
      </c>
      <c r="E14" s="2" t="s">
        <v>6179</v>
      </c>
      <c r="F14" s="2" t="s">
        <v>17</v>
      </c>
      <c r="G14" s="1058" t="s">
        <v>6133</v>
      </c>
      <c r="H14" s="1058" t="s">
        <v>16</v>
      </c>
      <c r="I14" s="259">
        <v>5</v>
      </c>
      <c r="J14" s="259">
        <v>2</v>
      </c>
      <c r="K14" s="259">
        <v>4</v>
      </c>
      <c r="L14" s="259">
        <v>2</v>
      </c>
      <c r="M14" s="2">
        <v>1</v>
      </c>
      <c r="N14" s="2">
        <v>4</v>
      </c>
      <c r="O14" s="2">
        <v>25</v>
      </c>
      <c r="P14" s="168">
        <v>2</v>
      </c>
      <c r="Q14" s="2">
        <v>0</v>
      </c>
      <c r="R14" s="2">
        <v>0</v>
      </c>
      <c r="S14" s="2">
        <v>0</v>
      </c>
      <c r="T14" s="2">
        <v>6</v>
      </c>
      <c r="U14" s="2">
        <v>5</v>
      </c>
      <c r="V14" s="242">
        <v>4775</v>
      </c>
      <c r="W14" s="1058" t="s">
        <v>6187</v>
      </c>
      <c r="X14" s="1058" t="s">
        <v>6187</v>
      </c>
      <c r="Y14" s="1058" t="s">
        <v>6110</v>
      </c>
      <c r="AA14" s="1058" t="s">
        <v>4935</v>
      </c>
      <c r="AB14" s="8" t="s">
        <v>5914</v>
      </c>
      <c r="AC14" t="s">
        <v>5915</v>
      </c>
      <c r="AD14" t="s">
        <v>5916</v>
      </c>
      <c r="AE14" t="s">
        <v>5917</v>
      </c>
      <c r="AF14" t="s">
        <v>5921</v>
      </c>
      <c r="AK14" s="8" t="s">
        <v>5900</v>
      </c>
    </row>
    <row r="15" spans="1:37" s="191" customFormat="1" x14ac:dyDescent="0.3">
      <c r="A15" s="985" t="s">
        <v>6176</v>
      </c>
      <c r="B15" s="170">
        <v>13</v>
      </c>
      <c r="C15" s="170">
        <v>13</v>
      </c>
      <c r="D15" s="4">
        <v>45585</v>
      </c>
      <c r="E15" s="170" t="s">
        <v>334</v>
      </c>
      <c r="F15" s="170" t="s">
        <v>16</v>
      </c>
      <c r="G15" s="1059" t="s">
        <v>171</v>
      </c>
      <c r="H15" s="1059" t="s">
        <v>794</v>
      </c>
      <c r="I15" s="1091">
        <v>2</v>
      </c>
      <c r="J15" s="1091">
        <v>3</v>
      </c>
      <c r="K15" s="1091">
        <v>2</v>
      </c>
      <c r="L15" s="1091">
        <v>2</v>
      </c>
      <c r="M15" s="909">
        <v>1</v>
      </c>
      <c r="N15" s="909">
        <v>5</v>
      </c>
      <c r="O15" s="909">
        <v>26</v>
      </c>
      <c r="P15" s="169">
        <v>0</v>
      </c>
      <c r="Q15" s="170">
        <v>0</v>
      </c>
      <c r="R15" s="170">
        <v>0</v>
      </c>
      <c r="S15" s="170">
        <v>0</v>
      </c>
      <c r="T15" s="170">
        <v>1</v>
      </c>
      <c r="U15" s="170">
        <v>1</v>
      </c>
      <c r="V15" s="171">
        <v>4740</v>
      </c>
      <c r="W15" s="1059" t="s">
        <v>6118</v>
      </c>
      <c r="X15" s="1059" t="s">
        <v>6189</v>
      </c>
      <c r="Y15" s="1059" t="s">
        <v>6188</v>
      </c>
      <c r="Z15" s="1059" t="s">
        <v>3213</v>
      </c>
      <c r="AA15" s="1059" t="s">
        <v>5867</v>
      </c>
      <c r="AB15" s="8" t="s">
        <v>5922</v>
      </c>
      <c r="AC15" t="s">
        <v>5923</v>
      </c>
      <c r="AD15" s="170"/>
      <c r="AE15" s="170"/>
      <c r="AF15" s="170"/>
      <c r="AG15" s="170"/>
      <c r="AH15" s="170"/>
      <c r="AI15" s="171"/>
      <c r="AJ15" s="268"/>
      <c r="AK15" s="268" t="s">
        <v>5900</v>
      </c>
    </row>
    <row r="16" spans="1:37" x14ac:dyDescent="0.3">
      <c r="A16" s="985" t="s">
        <v>6176</v>
      </c>
      <c r="B16" s="2">
        <v>14</v>
      </c>
      <c r="C16" s="2">
        <v>14</v>
      </c>
      <c r="D16" s="4">
        <v>45590</v>
      </c>
      <c r="E16" s="2" t="s">
        <v>1274</v>
      </c>
      <c r="F16" s="2" t="s">
        <v>16</v>
      </c>
      <c r="G16" s="1058" t="s">
        <v>6171</v>
      </c>
      <c r="H16" s="1058" t="s">
        <v>743</v>
      </c>
      <c r="I16" s="259">
        <v>0</v>
      </c>
      <c r="J16" s="259">
        <v>2</v>
      </c>
      <c r="K16" s="259">
        <v>0</v>
      </c>
      <c r="L16" s="259">
        <v>2</v>
      </c>
      <c r="M16" s="2">
        <v>3</v>
      </c>
      <c r="N16" s="2">
        <v>5</v>
      </c>
      <c r="O16" s="2">
        <v>26</v>
      </c>
      <c r="P16" s="168">
        <v>0</v>
      </c>
      <c r="Q16" s="2">
        <v>0</v>
      </c>
      <c r="R16" s="2">
        <v>0</v>
      </c>
      <c r="S16" s="2">
        <v>0</v>
      </c>
      <c r="T16" s="2">
        <v>3</v>
      </c>
      <c r="U16" s="2">
        <v>4</v>
      </c>
      <c r="V16" s="242">
        <v>4590</v>
      </c>
      <c r="W16" s="1058" t="s">
        <v>6188</v>
      </c>
      <c r="X16" s="1058" t="s">
        <v>6189</v>
      </c>
      <c r="Y16" s="1058" t="s">
        <v>6189</v>
      </c>
      <c r="AA16" s="1058" t="s">
        <v>6171</v>
      </c>
      <c r="AB16" s="8" t="s">
        <v>515</v>
      </c>
      <c r="AK16" s="8" t="s">
        <v>5902</v>
      </c>
    </row>
    <row r="17" spans="1:37" x14ac:dyDescent="0.3">
      <c r="A17" s="985" t="s">
        <v>6176</v>
      </c>
      <c r="B17" s="2">
        <v>15</v>
      </c>
      <c r="C17" s="2">
        <v>15</v>
      </c>
      <c r="D17" s="4">
        <v>45592</v>
      </c>
      <c r="E17" s="2" t="s">
        <v>331</v>
      </c>
      <c r="F17" s="2" t="s">
        <v>17</v>
      </c>
      <c r="G17" s="1058" t="s">
        <v>6201</v>
      </c>
      <c r="H17" s="1058" t="s">
        <v>16</v>
      </c>
      <c r="I17" s="259">
        <v>6</v>
      </c>
      <c r="J17" s="259">
        <v>0</v>
      </c>
      <c r="K17" s="259">
        <v>6</v>
      </c>
      <c r="L17" s="259">
        <v>0</v>
      </c>
      <c r="M17" s="2">
        <v>3</v>
      </c>
      <c r="N17" s="2">
        <v>5</v>
      </c>
      <c r="O17" s="2">
        <v>29</v>
      </c>
      <c r="P17" s="168">
        <v>1</v>
      </c>
      <c r="Q17" s="2">
        <v>1</v>
      </c>
      <c r="R17" s="2">
        <v>0</v>
      </c>
      <c r="S17" s="2">
        <v>0</v>
      </c>
      <c r="T17" s="2">
        <v>3</v>
      </c>
      <c r="U17" s="2">
        <v>3</v>
      </c>
      <c r="V17" s="242">
        <v>4901</v>
      </c>
      <c r="W17" s="1058" t="s">
        <v>6120</v>
      </c>
      <c r="X17" s="1058" t="s">
        <v>6110</v>
      </c>
      <c r="Y17" s="1058" t="s">
        <v>6089</v>
      </c>
      <c r="AA17" s="1058" t="s">
        <v>6201</v>
      </c>
      <c r="AB17" s="8" t="s">
        <v>5924</v>
      </c>
      <c r="AC17" t="s">
        <v>5925</v>
      </c>
      <c r="AD17" t="s">
        <v>5926</v>
      </c>
      <c r="AE17" t="s">
        <v>5927</v>
      </c>
      <c r="AF17" t="s">
        <v>5928</v>
      </c>
      <c r="AG17" t="s">
        <v>5929</v>
      </c>
      <c r="AK17" s="8" t="s">
        <v>5903</v>
      </c>
    </row>
    <row r="18" spans="1:37" ht="15" customHeight="1" x14ac:dyDescent="0.3">
      <c r="A18" s="985" t="s">
        <v>6176</v>
      </c>
      <c r="B18" s="2">
        <v>16</v>
      </c>
      <c r="C18" s="2">
        <v>16</v>
      </c>
      <c r="D18" s="4">
        <v>45594</v>
      </c>
      <c r="E18" s="2" t="s">
        <v>332</v>
      </c>
      <c r="F18" s="2" t="s">
        <v>16</v>
      </c>
      <c r="G18" s="1058" t="s">
        <v>6192</v>
      </c>
      <c r="H18" s="1058" t="s">
        <v>16</v>
      </c>
      <c r="I18" s="259">
        <v>4</v>
      </c>
      <c r="J18" s="259">
        <v>3</v>
      </c>
      <c r="K18" s="259">
        <v>4</v>
      </c>
      <c r="L18" s="259">
        <v>3</v>
      </c>
      <c r="M18" s="2">
        <v>2</v>
      </c>
      <c r="N18" s="2">
        <v>8</v>
      </c>
      <c r="O18" s="2">
        <v>32</v>
      </c>
      <c r="P18" s="168">
        <v>1</v>
      </c>
      <c r="Q18" s="2">
        <v>1</v>
      </c>
      <c r="R18" s="2">
        <v>0</v>
      </c>
      <c r="S18" s="2">
        <v>1</v>
      </c>
      <c r="T18" s="2">
        <v>2</v>
      </c>
      <c r="U18" s="2">
        <v>5</v>
      </c>
      <c r="V18" s="242">
        <v>3780</v>
      </c>
      <c r="W18" s="1058" t="s">
        <v>6171</v>
      </c>
      <c r="X18" s="1058" t="s">
        <v>6202</v>
      </c>
      <c r="Y18" s="1058" t="s">
        <v>6189</v>
      </c>
      <c r="AA18" s="1058" t="s">
        <v>5905</v>
      </c>
      <c r="AB18" s="8" t="s">
        <v>5930</v>
      </c>
      <c r="AC18" s="967" t="s">
        <v>5931</v>
      </c>
      <c r="AD18" t="s">
        <v>5932</v>
      </c>
      <c r="AE18" s="967" t="s">
        <v>5933</v>
      </c>
      <c r="AK18" s="8" t="s">
        <v>5906</v>
      </c>
    </row>
    <row r="19" spans="1:37" x14ac:dyDescent="0.3">
      <c r="A19" s="985" t="s">
        <v>6176</v>
      </c>
      <c r="B19" s="2">
        <v>17</v>
      </c>
      <c r="C19" s="2">
        <v>17</v>
      </c>
      <c r="D19" s="4">
        <v>45597</v>
      </c>
      <c r="E19" s="2" t="s">
        <v>610</v>
      </c>
      <c r="F19" s="2" t="s">
        <v>17</v>
      </c>
      <c r="G19" s="1058" t="s">
        <v>6148</v>
      </c>
      <c r="H19" s="1058" t="s">
        <v>16</v>
      </c>
      <c r="I19" s="259">
        <v>4</v>
      </c>
      <c r="J19" s="259">
        <v>1</v>
      </c>
      <c r="K19" s="259">
        <v>3</v>
      </c>
      <c r="L19" s="259">
        <v>1</v>
      </c>
      <c r="M19" s="2">
        <v>2</v>
      </c>
      <c r="N19" s="2">
        <v>8</v>
      </c>
      <c r="O19" s="2">
        <v>35</v>
      </c>
      <c r="P19" s="168">
        <v>2</v>
      </c>
      <c r="Q19" s="2">
        <v>0</v>
      </c>
      <c r="R19" s="2">
        <v>0</v>
      </c>
      <c r="S19" s="2">
        <v>0</v>
      </c>
      <c r="T19" s="2">
        <v>5</v>
      </c>
      <c r="U19" s="2">
        <v>1</v>
      </c>
      <c r="V19" s="242">
        <v>5097</v>
      </c>
      <c r="W19" s="1058" t="s">
        <v>6187</v>
      </c>
      <c r="X19" s="1058" t="s">
        <v>6120</v>
      </c>
      <c r="Y19" s="1058" t="s">
        <v>6089</v>
      </c>
      <c r="AA19" s="1058" t="s">
        <v>5912</v>
      </c>
      <c r="AB19" s="8" t="s">
        <v>5934</v>
      </c>
      <c r="AC19" t="s">
        <v>5935</v>
      </c>
      <c r="AD19" t="s">
        <v>5936</v>
      </c>
      <c r="AE19" t="s">
        <v>5937</v>
      </c>
      <c r="AK19" s="8" t="s">
        <v>5913</v>
      </c>
    </row>
    <row r="20" spans="1:37" x14ac:dyDescent="0.3">
      <c r="A20" s="985" t="s">
        <v>6176</v>
      </c>
      <c r="B20" s="2">
        <v>18</v>
      </c>
      <c r="C20" s="2">
        <v>18</v>
      </c>
      <c r="D20" s="4">
        <v>45599</v>
      </c>
      <c r="E20" s="2" t="s">
        <v>6076</v>
      </c>
      <c r="F20" s="2" t="s">
        <v>16</v>
      </c>
      <c r="G20" s="1058" t="s">
        <v>6171</v>
      </c>
      <c r="H20" s="1058" t="s">
        <v>743</v>
      </c>
      <c r="I20" s="259">
        <v>0</v>
      </c>
      <c r="J20" s="259">
        <v>2</v>
      </c>
      <c r="K20" s="259">
        <v>0</v>
      </c>
      <c r="L20" s="259">
        <v>2</v>
      </c>
      <c r="M20" s="2">
        <v>2</v>
      </c>
      <c r="N20" s="2">
        <v>8</v>
      </c>
      <c r="O20" s="2">
        <v>35</v>
      </c>
      <c r="P20" s="168">
        <v>0</v>
      </c>
      <c r="Q20" s="2">
        <v>0</v>
      </c>
      <c r="R20" s="2">
        <v>0</v>
      </c>
      <c r="S20" s="2">
        <v>1</v>
      </c>
      <c r="T20" s="2">
        <v>4</v>
      </c>
      <c r="U20" s="2">
        <v>6</v>
      </c>
      <c r="V20" s="242">
        <v>5283</v>
      </c>
      <c r="W20" s="1058" t="s">
        <v>6188</v>
      </c>
      <c r="X20" s="1058" t="s">
        <v>6189</v>
      </c>
      <c r="Y20" s="1058" t="s">
        <v>6189</v>
      </c>
      <c r="AA20" s="1058" t="s">
        <v>6171</v>
      </c>
      <c r="AB20" s="8" t="s">
        <v>515</v>
      </c>
      <c r="AK20" s="8" t="s">
        <v>5903</v>
      </c>
    </row>
    <row r="21" spans="1:37" x14ac:dyDescent="0.3">
      <c r="A21" s="985" t="s">
        <v>6176</v>
      </c>
      <c r="B21" s="2">
        <v>19</v>
      </c>
      <c r="C21" s="2">
        <v>19</v>
      </c>
      <c r="D21" s="4">
        <v>45611</v>
      </c>
      <c r="E21" s="2" t="s">
        <v>626</v>
      </c>
      <c r="F21" s="2" t="s">
        <v>17</v>
      </c>
      <c r="G21" s="1058" t="s">
        <v>6202</v>
      </c>
      <c r="H21" s="1058" t="s">
        <v>16</v>
      </c>
      <c r="I21" s="259">
        <v>4</v>
      </c>
      <c r="J21" s="259">
        <v>0</v>
      </c>
      <c r="K21" s="259">
        <v>4</v>
      </c>
      <c r="L21" s="259">
        <v>0</v>
      </c>
      <c r="M21" s="2">
        <v>2</v>
      </c>
      <c r="N21" s="2">
        <v>8</v>
      </c>
      <c r="O21" s="2">
        <v>38</v>
      </c>
      <c r="P21" s="168">
        <v>2</v>
      </c>
      <c r="Q21" s="2">
        <v>0</v>
      </c>
      <c r="R21" s="2">
        <v>0</v>
      </c>
      <c r="S21" s="2">
        <v>0</v>
      </c>
      <c r="T21" s="2">
        <v>6.5</v>
      </c>
      <c r="U21" s="2">
        <v>2</v>
      </c>
      <c r="V21" s="242">
        <v>4320</v>
      </c>
      <c r="W21" s="1058" t="s">
        <v>6120</v>
      </c>
      <c r="X21" s="1058" t="s">
        <v>6120</v>
      </c>
      <c r="Y21" s="1058" t="s">
        <v>6089</v>
      </c>
      <c r="AA21" s="1058" t="s">
        <v>6202</v>
      </c>
      <c r="AB21" s="8" t="s">
        <v>5945</v>
      </c>
      <c r="AC21" t="s">
        <v>5946</v>
      </c>
      <c r="AD21" t="s">
        <v>5947</v>
      </c>
      <c r="AE21" t="s">
        <v>5948</v>
      </c>
      <c r="AK21" s="8" t="s">
        <v>5938</v>
      </c>
    </row>
    <row r="22" spans="1:37" x14ac:dyDescent="0.3">
      <c r="A22" s="985" t="s">
        <v>6176</v>
      </c>
      <c r="B22" s="2">
        <v>20</v>
      </c>
      <c r="C22" s="2">
        <v>20</v>
      </c>
      <c r="D22" s="4">
        <v>45616</v>
      </c>
      <c r="E22" s="2" t="s">
        <v>6091</v>
      </c>
      <c r="F22" s="2" t="s">
        <v>16</v>
      </c>
      <c r="G22" s="1058" t="s">
        <v>6192</v>
      </c>
      <c r="H22" s="1058" t="s">
        <v>16</v>
      </c>
      <c r="I22" s="259">
        <v>4</v>
      </c>
      <c r="J22" s="259">
        <v>3</v>
      </c>
      <c r="K22" s="259">
        <v>4</v>
      </c>
      <c r="L22" s="259">
        <v>3</v>
      </c>
      <c r="M22" s="2">
        <v>2</v>
      </c>
      <c r="N22" s="2">
        <v>11</v>
      </c>
      <c r="O22" s="2">
        <v>41</v>
      </c>
      <c r="P22" s="168">
        <v>2</v>
      </c>
      <c r="Q22" s="2">
        <v>0</v>
      </c>
      <c r="R22" s="2">
        <v>1</v>
      </c>
      <c r="S22" s="2">
        <v>1</v>
      </c>
      <c r="T22" s="2">
        <v>6.5</v>
      </c>
      <c r="U22" s="2">
        <v>6</v>
      </c>
      <c r="V22" s="242">
        <v>6094</v>
      </c>
      <c r="W22" s="1058" t="s">
        <v>6187</v>
      </c>
      <c r="X22" s="1058" t="s">
        <v>6113</v>
      </c>
      <c r="Y22" s="1058" t="s">
        <v>6188</v>
      </c>
      <c r="AA22" s="1058" t="s">
        <v>5940</v>
      </c>
      <c r="AB22" s="8" t="s">
        <v>5949</v>
      </c>
      <c r="AC22" t="s">
        <v>5950</v>
      </c>
      <c r="AD22" t="s">
        <v>5951</v>
      </c>
      <c r="AE22" t="s">
        <v>5952</v>
      </c>
      <c r="AK22" s="8" t="s">
        <v>5939</v>
      </c>
    </row>
    <row r="23" spans="1:37" x14ac:dyDescent="0.3">
      <c r="A23" s="985" t="s">
        <v>6176</v>
      </c>
      <c r="B23" s="2">
        <v>21</v>
      </c>
      <c r="C23" s="2">
        <v>21</v>
      </c>
      <c r="D23" s="4">
        <v>45618</v>
      </c>
      <c r="E23" s="2" t="s">
        <v>327</v>
      </c>
      <c r="F23" s="2" t="s">
        <v>17</v>
      </c>
      <c r="G23" s="1058" t="s">
        <v>6148</v>
      </c>
      <c r="H23" s="1058" t="s">
        <v>16</v>
      </c>
      <c r="I23" s="259">
        <v>4</v>
      </c>
      <c r="J23" s="259">
        <v>1</v>
      </c>
      <c r="K23" s="259">
        <v>2</v>
      </c>
      <c r="L23" s="259">
        <v>1</v>
      </c>
      <c r="M23" s="2">
        <v>1</v>
      </c>
      <c r="N23" s="2">
        <v>11</v>
      </c>
      <c r="O23" s="2">
        <v>44</v>
      </c>
      <c r="P23" s="168">
        <v>1</v>
      </c>
      <c r="Q23" s="2">
        <v>0</v>
      </c>
      <c r="R23" s="2">
        <v>0</v>
      </c>
      <c r="S23" s="2">
        <v>0</v>
      </c>
      <c r="T23" s="2">
        <v>3</v>
      </c>
      <c r="U23" s="2">
        <v>4</v>
      </c>
      <c r="V23" s="242">
        <v>5944</v>
      </c>
      <c r="W23" s="1058" t="s">
        <v>6089</v>
      </c>
      <c r="X23" s="1058" t="s">
        <v>6189</v>
      </c>
      <c r="Y23" s="1058" t="s">
        <v>6089</v>
      </c>
      <c r="AA23" s="1058" t="s">
        <v>4732</v>
      </c>
      <c r="AB23" s="8" t="s">
        <v>5953</v>
      </c>
      <c r="AC23" t="s">
        <v>5954</v>
      </c>
      <c r="AD23" t="s">
        <v>6397</v>
      </c>
      <c r="AE23" t="s">
        <v>6398</v>
      </c>
      <c r="AK23" s="8" t="s">
        <v>5939</v>
      </c>
    </row>
    <row r="24" spans="1:37" x14ac:dyDescent="0.3">
      <c r="A24" s="985" t="s">
        <v>6176</v>
      </c>
      <c r="B24" s="2">
        <v>22</v>
      </c>
      <c r="C24" s="2">
        <v>22</v>
      </c>
      <c r="D24" s="4">
        <v>45620</v>
      </c>
      <c r="E24" s="2" t="s">
        <v>6086</v>
      </c>
      <c r="F24" s="2" t="s">
        <v>16</v>
      </c>
      <c r="G24" s="1058" t="s">
        <v>6128</v>
      </c>
      <c r="H24" s="1058" t="s">
        <v>743</v>
      </c>
      <c r="I24" s="259">
        <v>1</v>
      </c>
      <c r="J24" s="259">
        <v>4</v>
      </c>
      <c r="K24" s="259">
        <v>1</v>
      </c>
      <c r="L24" s="259">
        <v>3</v>
      </c>
      <c r="M24" s="2">
        <v>2</v>
      </c>
      <c r="N24" s="2">
        <v>11</v>
      </c>
      <c r="O24" s="2">
        <v>44</v>
      </c>
      <c r="P24" s="168">
        <v>1</v>
      </c>
      <c r="Q24" s="2">
        <v>0</v>
      </c>
      <c r="R24" s="2">
        <v>0</v>
      </c>
      <c r="S24" s="2">
        <v>1</v>
      </c>
      <c r="T24" s="2">
        <v>4</v>
      </c>
      <c r="U24" s="2">
        <v>4</v>
      </c>
      <c r="V24" s="242">
        <v>3488</v>
      </c>
      <c r="W24" s="1058" t="s">
        <v>6189</v>
      </c>
      <c r="X24" s="1058" t="s">
        <v>6187</v>
      </c>
      <c r="Y24" s="1058" t="s">
        <v>6171</v>
      </c>
      <c r="AA24" s="1058" t="s">
        <v>4444</v>
      </c>
      <c r="AB24" s="8" t="s">
        <v>5955</v>
      </c>
      <c r="AK24" s="8" t="s">
        <v>5942</v>
      </c>
    </row>
    <row r="25" spans="1:37" x14ac:dyDescent="0.3">
      <c r="A25" s="985" t="s">
        <v>6176</v>
      </c>
      <c r="B25" s="2">
        <v>23</v>
      </c>
      <c r="C25" s="2">
        <v>23</v>
      </c>
      <c r="D25" s="4">
        <v>45625</v>
      </c>
      <c r="E25" s="2" t="s">
        <v>325</v>
      </c>
      <c r="F25" s="2" t="s">
        <v>17</v>
      </c>
      <c r="G25" s="1058" t="s">
        <v>6077</v>
      </c>
      <c r="H25" s="1058" t="s">
        <v>743</v>
      </c>
      <c r="I25" s="259">
        <v>0</v>
      </c>
      <c r="J25" s="259">
        <v>4</v>
      </c>
      <c r="K25" s="259">
        <v>0</v>
      </c>
      <c r="L25" s="259">
        <v>4</v>
      </c>
      <c r="M25" s="2">
        <v>3</v>
      </c>
      <c r="N25" s="2">
        <v>8</v>
      </c>
      <c r="O25" s="2">
        <v>44</v>
      </c>
      <c r="P25" s="168">
        <v>0</v>
      </c>
      <c r="Q25" s="2">
        <v>0</v>
      </c>
      <c r="R25" s="2">
        <v>1</v>
      </c>
      <c r="S25" s="2">
        <v>0</v>
      </c>
      <c r="T25" s="2">
        <v>4</v>
      </c>
      <c r="U25" s="2">
        <v>1</v>
      </c>
      <c r="V25" s="242">
        <v>5944</v>
      </c>
      <c r="W25" s="1058" t="s">
        <v>6188</v>
      </c>
      <c r="X25" s="1058" t="s">
        <v>6079</v>
      </c>
      <c r="Y25" s="1058" t="s">
        <v>6189</v>
      </c>
      <c r="AA25" s="1058" t="s">
        <v>6077</v>
      </c>
      <c r="AB25" s="8" t="s">
        <v>515</v>
      </c>
      <c r="AK25" s="636" t="s">
        <v>5941</v>
      </c>
    </row>
    <row r="26" spans="1:37" ht="15.75" customHeight="1" x14ac:dyDescent="0.3">
      <c r="A26" s="985" t="s">
        <v>6176</v>
      </c>
      <c r="B26" s="2">
        <v>24</v>
      </c>
      <c r="C26" s="2">
        <v>24</v>
      </c>
      <c r="D26" s="4">
        <v>45627</v>
      </c>
      <c r="E26" s="2" t="s">
        <v>328</v>
      </c>
      <c r="F26" s="2" t="s">
        <v>17</v>
      </c>
      <c r="G26" s="1058" t="s">
        <v>6113</v>
      </c>
      <c r="H26" s="1058" t="s">
        <v>16</v>
      </c>
      <c r="I26" s="259">
        <v>3</v>
      </c>
      <c r="J26" s="259">
        <v>2</v>
      </c>
      <c r="K26" s="259">
        <v>3</v>
      </c>
      <c r="L26" s="259">
        <v>2</v>
      </c>
      <c r="M26" s="385">
        <v>2</v>
      </c>
      <c r="N26" s="2">
        <v>8</v>
      </c>
      <c r="O26" s="2">
        <v>47</v>
      </c>
      <c r="P26" s="168">
        <v>0</v>
      </c>
      <c r="Q26" s="2">
        <v>0</v>
      </c>
      <c r="R26" s="2">
        <v>0</v>
      </c>
      <c r="S26" s="2">
        <v>0</v>
      </c>
      <c r="T26" s="2">
        <v>2</v>
      </c>
      <c r="U26" s="2">
        <v>3</v>
      </c>
      <c r="V26" s="242">
        <v>3562</v>
      </c>
      <c r="W26" s="1058" t="s">
        <v>6189</v>
      </c>
      <c r="X26" s="1058" t="s">
        <v>6187</v>
      </c>
      <c r="Y26" s="1058" t="s">
        <v>6089</v>
      </c>
      <c r="AA26" s="1058" t="s">
        <v>3813</v>
      </c>
      <c r="AB26" s="8" t="s">
        <v>5979</v>
      </c>
      <c r="AC26" s="967" t="s">
        <v>5980</v>
      </c>
      <c r="AD26" s="967" t="s">
        <v>5981</v>
      </c>
      <c r="AJ26" s="638"/>
      <c r="AK26" s="8" t="s">
        <v>5943</v>
      </c>
    </row>
    <row r="27" spans="1:37" x14ac:dyDescent="0.3">
      <c r="A27" s="985" t="s">
        <v>6176</v>
      </c>
      <c r="B27" s="2">
        <v>25</v>
      </c>
      <c r="C27" s="2">
        <v>25</v>
      </c>
      <c r="D27" s="4">
        <v>45630</v>
      </c>
      <c r="E27" s="2" t="s">
        <v>6179</v>
      </c>
      <c r="F27" s="2" t="s">
        <v>16</v>
      </c>
      <c r="G27" s="1058" t="s">
        <v>6110</v>
      </c>
      <c r="H27" s="1058" t="s">
        <v>16</v>
      </c>
      <c r="I27" s="259">
        <v>3</v>
      </c>
      <c r="J27" s="259">
        <v>0</v>
      </c>
      <c r="K27" s="259">
        <v>2</v>
      </c>
      <c r="L27" s="259">
        <v>0</v>
      </c>
      <c r="M27" s="385">
        <v>2</v>
      </c>
      <c r="N27" s="2">
        <v>11</v>
      </c>
      <c r="O27" s="2">
        <v>50</v>
      </c>
      <c r="P27" s="168">
        <v>1</v>
      </c>
      <c r="Q27" s="2">
        <v>0</v>
      </c>
      <c r="R27" s="2">
        <v>0</v>
      </c>
      <c r="S27" s="2">
        <v>0</v>
      </c>
      <c r="T27" s="2">
        <v>2</v>
      </c>
      <c r="U27" s="2">
        <v>2</v>
      </c>
      <c r="V27" s="242">
        <v>6046</v>
      </c>
      <c r="W27" s="1058" t="s">
        <v>6120</v>
      </c>
      <c r="X27" s="1058" t="s">
        <v>6120</v>
      </c>
      <c r="Y27" s="1058" t="s">
        <v>6120</v>
      </c>
      <c r="AA27" s="1058" t="s">
        <v>6110</v>
      </c>
      <c r="AB27" s="8" t="s">
        <v>5982</v>
      </c>
      <c r="AC27" t="s">
        <v>5983</v>
      </c>
      <c r="AD27" t="s">
        <v>6399</v>
      </c>
      <c r="AJ27" s="2" t="s">
        <v>5852</v>
      </c>
      <c r="AK27" s="8" t="s">
        <v>5944</v>
      </c>
    </row>
    <row r="28" spans="1:37" s="191" customFormat="1" x14ac:dyDescent="0.3">
      <c r="A28" s="985" t="s">
        <v>6176</v>
      </c>
      <c r="B28" s="170">
        <v>26</v>
      </c>
      <c r="C28" s="170">
        <v>26</v>
      </c>
      <c r="D28" s="4">
        <v>45634</v>
      </c>
      <c r="E28" s="170" t="s">
        <v>334</v>
      </c>
      <c r="F28" s="170" t="s">
        <v>16</v>
      </c>
      <c r="G28" s="1059" t="s">
        <v>6120</v>
      </c>
      <c r="H28" s="1059" t="s">
        <v>16</v>
      </c>
      <c r="I28" s="1091">
        <v>1</v>
      </c>
      <c r="J28" s="1091">
        <v>0</v>
      </c>
      <c r="K28" s="1091">
        <v>1</v>
      </c>
      <c r="L28" s="1091">
        <v>0</v>
      </c>
      <c r="M28" s="269">
        <v>2</v>
      </c>
      <c r="N28" s="269">
        <v>14</v>
      </c>
      <c r="O28" s="269">
        <v>53</v>
      </c>
      <c r="P28" s="169">
        <v>0</v>
      </c>
      <c r="Q28" s="170">
        <v>0</v>
      </c>
      <c r="R28" s="170">
        <v>0</v>
      </c>
      <c r="S28" s="170">
        <v>0</v>
      </c>
      <c r="T28" s="170">
        <v>4</v>
      </c>
      <c r="U28" s="170">
        <v>3</v>
      </c>
      <c r="V28" s="171">
        <v>4549</v>
      </c>
      <c r="W28" s="1059" t="s">
        <v>6120</v>
      </c>
      <c r="X28" s="1059" t="s">
        <v>6188</v>
      </c>
      <c r="Y28" s="1059" t="s">
        <v>6188</v>
      </c>
      <c r="Z28" s="1059"/>
      <c r="AA28" s="1059" t="s">
        <v>6120</v>
      </c>
      <c r="AB28" s="268" t="s">
        <v>5984</v>
      </c>
      <c r="AC28" s="170"/>
      <c r="AD28" s="170"/>
      <c r="AE28" s="170"/>
      <c r="AF28" s="170"/>
      <c r="AG28" s="170"/>
      <c r="AH28" s="170"/>
      <c r="AI28" s="171"/>
      <c r="AJ28" s="268"/>
      <c r="AK28" s="268" t="s">
        <v>5943</v>
      </c>
    </row>
    <row r="29" spans="1:37" x14ac:dyDescent="0.3">
      <c r="A29" s="985" t="s">
        <v>6176</v>
      </c>
      <c r="B29" s="2">
        <v>27</v>
      </c>
      <c r="C29" s="2">
        <v>27</v>
      </c>
      <c r="D29" s="4">
        <v>45646</v>
      </c>
      <c r="E29" s="2" t="s">
        <v>1274</v>
      </c>
      <c r="F29" s="2" t="s">
        <v>17</v>
      </c>
      <c r="G29" s="1058" t="s">
        <v>6203</v>
      </c>
      <c r="H29" s="1058" t="s">
        <v>743</v>
      </c>
      <c r="I29" s="259">
        <v>4</v>
      </c>
      <c r="J29" s="259">
        <v>5</v>
      </c>
      <c r="K29" s="259">
        <v>4</v>
      </c>
      <c r="L29" s="259">
        <v>5</v>
      </c>
      <c r="M29" s="2">
        <v>2</v>
      </c>
      <c r="N29" s="2">
        <v>11</v>
      </c>
      <c r="O29" s="2">
        <v>53</v>
      </c>
      <c r="P29" s="168">
        <v>1</v>
      </c>
      <c r="Q29" s="2">
        <v>1</v>
      </c>
      <c r="R29" s="2">
        <v>0</v>
      </c>
      <c r="S29" s="2">
        <v>0</v>
      </c>
      <c r="T29" s="2">
        <v>5</v>
      </c>
      <c r="U29" s="2">
        <v>3</v>
      </c>
      <c r="V29" s="242">
        <v>4808</v>
      </c>
      <c r="W29" s="1058" t="s">
        <v>6146</v>
      </c>
      <c r="X29" s="1058" t="s">
        <v>6097</v>
      </c>
      <c r="Y29" s="1058" t="s">
        <v>6120</v>
      </c>
      <c r="AA29" s="1058" t="s">
        <v>5978</v>
      </c>
      <c r="AB29" s="8" t="s">
        <v>5985</v>
      </c>
      <c r="AC29" t="s">
        <v>5986</v>
      </c>
      <c r="AD29" t="s">
        <v>5987</v>
      </c>
      <c r="AE29" t="s">
        <v>5988</v>
      </c>
      <c r="AJ29" s="2" t="s">
        <v>5976</v>
      </c>
      <c r="AK29" s="8" t="s">
        <v>5977</v>
      </c>
    </row>
    <row r="30" spans="1:37" x14ac:dyDescent="0.3">
      <c r="A30" s="985" t="s">
        <v>6176</v>
      </c>
      <c r="B30" s="2">
        <v>28</v>
      </c>
      <c r="C30" s="2">
        <v>28</v>
      </c>
      <c r="D30" s="4">
        <v>45648</v>
      </c>
      <c r="E30" s="2" t="s">
        <v>331</v>
      </c>
      <c r="F30" s="2" t="s">
        <v>16</v>
      </c>
      <c r="G30" s="1058" t="s">
        <v>6118</v>
      </c>
      <c r="H30" s="1058" t="s">
        <v>16</v>
      </c>
      <c r="I30" s="259">
        <v>2</v>
      </c>
      <c r="J30" s="259">
        <v>1</v>
      </c>
      <c r="K30" s="259">
        <v>2</v>
      </c>
      <c r="L30" s="259">
        <v>1</v>
      </c>
      <c r="M30" s="2">
        <v>2</v>
      </c>
      <c r="N30" s="2">
        <v>14</v>
      </c>
      <c r="O30" s="2">
        <v>56</v>
      </c>
      <c r="P30" s="168">
        <v>1</v>
      </c>
      <c r="Q30" s="2">
        <v>1</v>
      </c>
      <c r="R30" s="2">
        <v>0</v>
      </c>
      <c r="S30" s="2">
        <v>0</v>
      </c>
      <c r="T30" s="2">
        <v>3.5</v>
      </c>
      <c r="U30" s="2">
        <v>4</v>
      </c>
      <c r="V30" s="242">
        <v>5653</v>
      </c>
      <c r="W30" s="1058" t="s">
        <v>6089</v>
      </c>
      <c r="X30" s="1058" t="s">
        <v>6189</v>
      </c>
      <c r="Y30" s="1058" t="s">
        <v>6188</v>
      </c>
      <c r="AA30" s="1058" t="s">
        <v>3496</v>
      </c>
      <c r="AB30" s="8" t="s">
        <v>5989</v>
      </c>
      <c r="AC30" t="s">
        <v>5990</v>
      </c>
      <c r="AK30" s="8" t="s">
        <v>5992</v>
      </c>
    </row>
    <row r="31" spans="1:37" x14ac:dyDescent="0.3">
      <c r="A31" s="985" t="s">
        <v>6176</v>
      </c>
      <c r="B31" s="2">
        <v>29</v>
      </c>
      <c r="C31" s="2">
        <v>29</v>
      </c>
      <c r="D31" s="4">
        <v>45652</v>
      </c>
      <c r="E31" s="2" t="s">
        <v>332</v>
      </c>
      <c r="F31" s="2" t="s">
        <v>17</v>
      </c>
      <c r="G31" s="1058" t="s">
        <v>6120</v>
      </c>
      <c r="H31" s="1058" t="s">
        <v>16</v>
      </c>
      <c r="I31" s="259">
        <v>1</v>
      </c>
      <c r="J31" s="259">
        <v>0</v>
      </c>
      <c r="K31" s="259">
        <v>1</v>
      </c>
      <c r="L31" s="259">
        <v>0</v>
      </c>
      <c r="M31" s="2">
        <v>2</v>
      </c>
      <c r="N31" s="2">
        <v>14</v>
      </c>
      <c r="O31" s="2">
        <v>59</v>
      </c>
      <c r="P31" s="168">
        <v>0</v>
      </c>
      <c r="Q31" s="2">
        <v>0</v>
      </c>
      <c r="R31" s="2">
        <v>0</v>
      </c>
      <c r="S31" s="2">
        <v>0</v>
      </c>
      <c r="T31" s="2">
        <v>4</v>
      </c>
      <c r="U31" s="2">
        <v>2</v>
      </c>
      <c r="V31" s="242">
        <v>5944</v>
      </c>
      <c r="W31" s="1058" t="s">
        <v>6120</v>
      </c>
      <c r="X31" s="1058" t="s">
        <v>6188</v>
      </c>
      <c r="Y31" s="1058" t="s">
        <v>6188</v>
      </c>
      <c r="AA31" s="1058" t="s">
        <v>6120</v>
      </c>
      <c r="AB31" s="8" t="s">
        <v>6353</v>
      </c>
      <c r="AK31" s="8" t="s">
        <v>5993</v>
      </c>
    </row>
    <row r="32" spans="1:37" ht="13.2" customHeight="1" x14ac:dyDescent="0.3">
      <c r="A32" s="985" t="s">
        <v>6176</v>
      </c>
      <c r="B32" s="2">
        <v>30</v>
      </c>
      <c r="C32" s="2">
        <v>30</v>
      </c>
      <c r="D32" s="4">
        <v>45654</v>
      </c>
      <c r="E32" s="2" t="s">
        <v>610</v>
      </c>
      <c r="F32" s="2" t="s">
        <v>16</v>
      </c>
      <c r="G32" s="1058" t="s">
        <v>6110</v>
      </c>
      <c r="H32" s="1058" t="s">
        <v>16</v>
      </c>
      <c r="I32" s="259">
        <v>3</v>
      </c>
      <c r="J32" s="259">
        <v>0</v>
      </c>
      <c r="K32" s="259">
        <v>3</v>
      </c>
      <c r="L32" s="259">
        <v>0</v>
      </c>
      <c r="M32" s="2">
        <v>2</v>
      </c>
      <c r="N32" s="2">
        <v>17</v>
      </c>
      <c r="O32" s="2">
        <v>62</v>
      </c>
      <c r="P32" s="168">
        <v>0</v>
      </c>
      <c r="Q32" s="2">
        <v>0</v>
      </c>
      <c r="R32" s="2">
        <v>0</v>
      </c>
      <c r="S32" s="2">
        <v>0</v>
      </c>
      <c r="T32" s="2">
        <v>3.5</v>
      </c>
      <c r="U32" s="2">
        <v>3</v>
      </c>
      <c r="V32" s="242">
        <v>7116</v>
      </c>
      <c r="W32" s="1058" t="s">
        <v>6188</v>
      </c>
      <c r="X32" s="1058" t="s">
        <v>6188</v>
      </c>
      <c r="Y32" s="1058" t="s">
        <v>6110</v>
      </c>
      <c r="AA32" s="1058" t="s">
        <v>6110</v>
      </c>
      <c r="AB32" s="8" t="s">
        <v>6354</v>
      </c>
      <c r="AC32" s="967" t="s">
        <v>6355</v>
      </c>
      <c r="AD32" t="s">
        <v>6356</v>
      </c>
      <c r="AK32" s="8" t="s">
        <v>5994</v>
      </c>
    </row>
    <row r="33" spans="1:37" ht="16.2" customHeight="1" x14ac:dyDescent="0.3">
      <c r="A33" s="985" t="s">
        <v>6176</v>
      </c>
      <c r="B33" s="2">
        <v>31</v>
      </c>
      <c r="C33" s="2">
        <v>31</v>
      </c>
      <c r="D33" s="4">
        <v>45656</v>
      </c>
      <c r="E33" s="2" t="s">
        <v>6076</v>
      </c>
      <c r="F33" s="425" t="s">
        <v>17</v>
      </c>
      <c r="G33" s="1058" t="s">
        <v>6148</v>
      </c>
      <c r="H33" s="1058" t="s">
        <v>16</v>
      </c>
      <c r="I33" s="259">
        <v>4</v>
      </c>
      <c r="J33" s="259">
        <v>1</v>
      </c>
      <c r="K33" s="259">
        <v>4</v>
      </c>
      <c r="L33" s="259">
        <v>1</v>
      </c>
      <c r="M33" s="2">
        <v>1</v>
      </c>
      <c r="N33" s="2">
        <v>17</v>
      </c>
      <c r="O33" s="2">
        <v>65</v>
      </c>
      <c r="P33" s="168">
        <v>4</v>
      </c>
      <c r="Q33" s="2">
        <v>0</v>
      </c>
      <c r="R33" s="2">
        <v>0</v>
      </c>
      <c r="S33" s="2">
        <v>0</v>
      </c>
      <c r="T33" s="2">
        <v>6</v>
      </c>
      <c r="U33" s="2">
        <v>4</v>
      </c>
      <c r="V33" s="242">
        <v>5944</v>
      </c>
      <c r="W33" s="1058" t="s">
        <v>6187</v>
      </c>
      <c r="X33" s="1058" t="s">
        <v>6089</v>
      </c>
      <c r="Y33" s="1058" t="s">
        <v>6120</v>
      </c>
      <c r="AA33" s="1058" t="s">
        <v>5912</v>
      </c>
      <c r="AB33" s="8" t="s">
        <v>6357</v>
      </c>
      <c r="AC33" s="967" t="s">
        <v>6358</v>
      </c>
      <c r="AD33" t="s">
        <v>6359</v>
      </c>
      <c r="AE33" t="s">
        <v>6360</v>
      </c>
      <c r="AJ33" s="2" t="s">
        <v>5991</v>
      </c>
      <c r="AK33" s="8" t="s">
        <v>5995</v>
      </c>
    </row>
    <row r="34" spans="1:37" x14ac:dyDescent="0.3">
      <c r="A34" s="985" t="s">
        <v>6176</v>
      </c>
      <c r="B34" s="2">
        <v>32</v>
      </c>
      <c r="C34" s="2">
        <v>32</v>
      </c>
      <c r="D34" s="4">
        <v>45660</v>
      </c>
      <c r="E34" s="2" t="s">
        <v>626</v>
      </c>
      <c r="F34" s="2" t="s">
        <v>16</v>
      </c>
      <c r="G34" s="1058" t="s">
        <v>6102</v>
      </c>
      <c r="H34" s="1058" t="s">
        <v>743</v>
      </c>
      <c r="I34" s="259">
        <v>1</v>
      </c>
      <c r="J34" s="259">
        <v>3</v>
      </c>
      <c r="K34" s="259">
        <v>1</v>
      </c>
      <c r="L34" s="259">
        <v>2</v>
      </c>
      <c r="M34" s="2">
        <v>1</v>
      </c>
      <c r="N34" s="2">
        <v>17</v>
      </c>
      <c r="O34" s="2">
        <v>65</v>
      </c>
      <c r="P34" s="168">
        <v>0</v>
      </c>
      <c r="Q34" s="2">
        <v>0</v>
      </c>
      <c r="R34" s="2">
        <v>0</v>
      </c>
      <c r="S34" s="2">
        <v>0</v>
      </c>
      <c r="T34" s="2">
        <v>2</v>
      </c>
      <c r="U34" s="2">
        <v>2</v>
      </c>
      <c r="V34" s="242">
        <v>4905</v>
      </c>
      <c r="W34" s="1058" t="s">
        <v>6188</v>
      </c>
      <c r="X34" s="1058" t="s">
        <v>6189</v>
      </c>
      <c r="Y34" s="1058" t="s">
        <v>6097</v>
      </c>
      <c r="AA34" s="1058" t="s">
        <v>3307</v>
      </c>
      <c r="AB34" s="8" t="s">
        <v>6361</v>
      </c>
      <c r="AK34" s="8" t="s">
        <v>5996</v>
      </c>
    </row>
    <row r="35" spans="1:37" x14ac:dyDescent="0.3">
      <c r="A35" s="985" t="s">
        <v>6176</v>
      </c>
      <c r="B35" s="2">
        <v>33</v>
      </c>
      <c r="C35" s="2">
        <v>33</v>
      </c>
      <c r="D35" s="4">
        <v>45662</v>
      </c>
      <c r="E35" s="2" t="s">
        <v>6091</v>
      </c>
      <c r="F35" s="2" t="s">
        <v>17</v>
      </c>
      <c r="G35" s="1058" t="s">
        <v>6102</v>
      </c>
      <c r="H35" s="1058" t="s">
        <v>743</v>
      </c>
      <c r="I35" s="259">
        <v>1</v>
      </c>
      <c r="J35" s="259">
        <v>3</v>
      </c>
      <c r="K35" s="259">
        <v>1</v>
      </c>
      <c r="L35" s="259">
        <v>3</v>
      </c>
      <c r="M35" s="2">
        <v>1</v>
      </c>
      <c r="N35" s="2">
        <v>14</v>
      </c>
      <c r="O35" s="2">
        <v>65</v>
      </c>
      <c r="P35" s="168">
        <v>0</v>
      </c>
      <c r="Q35" s="2">
        <v>0</v>
      </c>
      <c r="R35" s="2">
        <v>0</v>
      </c>
      <c r="S35" s="2">
        <v>2</v>
      </c>
      <c r="T35" s="2">
        <v>4</v>
      </c>
      <c r="U35" s="2">
        <v>3</v>
      </c>
      <c r="V35" s="242">
        <v>4033</v>
      </c>
      <c r="W35" s="1058" t="s">
        <v>6188</v>
      </c>
      <c r="X35" s="1058" t="s">
        <v>6120</v>
      </c>
      <c r="Y35" s="1058" t="s">
        <v>6079</v>
      </c>
      <c r="AA35" s="1058" t="s">
        <v>3601</v>
      </c>
      <c r="AB35" s="8" t="s">
        <v>6362</v>
      </c>
      <c r="AK35" s="8" t="s">
        <v>5997</v>
      </c>
    </row>
    <row r="36" spans="1:37" x14ac:dyDescent="0.3">
      <c r="A36" s="985" t="s">
        <v>6176</v>
      </c>
      <c r="B36" s="2">
        <v>34</v>
      </c>
      <c r="C36" s="2">
        <v>35</v>
      </c>
      <c r="D36" s="4">
        <v>45667</v>
      </c>
      <c r="E36" s="2" t="s">
        <v>6086</v>
      </c>
      <c r="F36" s="2" t="s">
        <v>17</v>
      </c>
      <c r="G36" s="1058" t="s">
        <v>6097</v>
      </c>
      <c r="H36" s="1058" t="s">
        <v>743</v>
      </c>
      <c r="I36" s="259">
        <v>1</v>
      </c>
      <c r="J36" s="259">
        <v>2</v>
      </c>
      <c r="K36" s="259">
        <v>1</v>
      </c>
      <c r="L36" s="259">
        <v>2</v>
      </c>
      <c r="M36" s="2">
        <v>2</v>
      </c>
      <c r="N36" s="2">
        <v>11</v>
      </c>
      <c r="O36" s="2">
        <v>65</v>
      </c>
      <c r="P36" s="168">
        <v>1</v>
      </c>
      <c r="Q36" s="2">
        <v>0</v>
      </c>
      <c r="R36" s="2">
        <v>0</v>
      </c>
      <c r="S36" s="2">
        <v>1</v>
      </c>
      <c r="T36" s="2">
        <v>3</v>
      </c>
      <c r="U36" s="2">
        <v>3</v>
      </c>
      <c r="V36" s="242">
        <v>4207</v>
      </c>
      <c r="W36" s="1058" t="s">
        <v>6189</v>
      </c>
      <c r="X36" s="1058" t="s">
        <v>6189</v>
      </c>
      <c r="Y36" s="1058" t="s">
        <v>6120</v>
      </c>
      <c r="AA36" s="1058" t="s">
        <v>4837</v>
      </c>
      <c r="AB36" s="8" t="s">
        <v>6363</v>
      </c>
      <c r="AK36" s="8" t="s">
        <v>6000</v>
      </c>
    </row>
    <row r="37" spans="1:37" ht="14.4" customHeight="1" x14ac:dyDescent="0.3">
      <c r="A37" s="985" t="s">
        <v>6176</v>
      </c>
      <c r="B37" s="2">
        <v>35</v>
      </c>
      <c r="C37" s="2">
        <v>36</v>
      </c>
      <c r="D37" s="4">
        <v>45669</v>
      </c>
      <c r="E37" s="2" t="s">
        <v>325</v>
      </c>
      <c r="F37" s="2" t="s">
        <v>16</v>
      </c>
      <c r="G37" s="1058" t="s">
        <v>6204</v>
      </c>
      <c r="H37" s="1058" t="s">
        <v>743</v>
      </c>
      <c r="I37" s="259">
        <v>3</v>
      </c>
      <c r="J37" s="259">
        <v>5</v>
      </c>
      <c r="K37" s="259">
        <v>3</v>
      </c>
      <c r="L37" s="259">
        <v>5</v>
      </c>
      <c r="M37" s="2">
        <v>2</v>
      </c>
      <c r="N37" s="2">
        <v>11</v>
      </c>
      <c r="O37" s="2">
        <v>65</v>
      </c>
      <c r="P37" s="168">
        <v>1</v>
      </c>
      <c r="Q37" s="2">
        <v>0</v>
      </c>
      <c r="R37" s="2">
        <v>0</v>
      </c>
      <c r="S37" s="2">
        <v>2</v>
      </c>
      <c r="T37" s="2">
        <v>3</v>
      </c>
      <c r="U37" s="2">
        <v>3</v>
      </c>
      <c r="V37" s="242">
        <v>16698</v>
      </c>
      <c r="W37" s="1058" t="s">
        <v>6097</v>
      </c>
      <c r="X37" s="1058" t="s">
        <v>6187</v>
      </c>
      <c r="Y37" s="1058" t="s">
        <v>6097</v>
      </c>
      <c r="AA37" s="1058" t="s">
        <v>6001</v>
      </c>
      <c r="AB37" s="8" t="s">
        <v>6364</v>
      </c>
      <c r="AC37" s="967" t="s">
        <v>6365</v>
      </c>
      <c r="AD37" t="s">
        <v>6366</v>
      </c>
      <c r="AK37" s="8" t="s">
        <v>6002</v>
      </c>
    </row>
    <row r="38" spans="1:37" x14ac:dyDescent="0.3">
      <c r="A38" s="985" t="s">
        <v>6176</v>
      </c>
      <c r="B38" s="2">
        <v>36</v>
      </c>
      <c r="C38" s="2">
        <v>34</v>
      </c>
      <c r="D38" s="4">
        <v>45673</v>
      </c>
      <c r="E38" s="2" t="s">
        <v>327</v>
      </c>
      <c r="F38" s="2" t="s">
        <v>16</v>
      </c>
      <c r="G38" s="1058" t="s">
        <v>6102</v>
      </c>
      <c r="H38" s="1058" t="s">
        <v>743</v>
      </c>
      <c r="I38" s="259">
        <v>1</v>
      </c>
      <c r="J38" s="259">
        <v>3</v>
      </c>
      <c r="K38" s="259">
        <v>1</v>
      </c>
      <c r="L38" s="259">
        <v>3</v>
      </c>
      <c r="M38" s="2">
        <v>3</v>
      </c>
      <c r="N38" s="2">
        <v>11</v>
      </c>
      <c r="O38" s="2">
        <v>65</v>
      </c>
      <c r="P38" s="168">
        <v>0</v>
      </c>
      <c r="Q38" s="2">
        <v>0</v>
      </c>
      <c r="R38" s="2">
        <v>0</v>
      </c>
      <c r="S38" s="2">
        <v>0</v>
      </c>
      <c r="T38" s="2">
        <v>1</v>
      </c>
      <c r="U38" s="2">
        <v>3</v>
      </c>
      <c r="V38" s="242">
        <v>9487</v>
      </c>
      <c r="W38" s="1058" t="s">
        <v>6187</v>
      </c>
      <c r="X38" s="1058" t="s">
        <v>6188</v>
      </c>
      <c r="Y38" s="1058" t="s">
        <v>6171</v>
      </c>
      <c r="AA38" s="1058" t="s">
        <v>5998</v>
      </c>
      <c r="AB38" s="8" t="s">
        <v>6367</v>
      </c>
      <c r="AK38" s="8" t="s">
        <v>5999</v>
      </c>
    </row>
    <row r="39" spans="1:37" ht="14.4" customHeight="1" x14ac:dyDescent="0.3">
      <c r="A39" s="985" t="s">
        <v>6176</v>
      </c>
      <c r="B39" s="2">
        <v>37</v>
      </c>
      <c r="C39" s="2">
        <v>37</v>
      </c>
      <c r="D39" s="4">
        <v>45674</v>
      </c>
      <c r="E39" s="2" t="s">
        <v>328</v>
      </c>
      <c r="F39" s="2" t="s">
        <v>16</v>
      </c>
      <c r="G39" s="1058" t="s">
        <v>6113</v>
      </c>
      <c r="H39" s="1058" t="s">
        <v>16</v>
      </c>
      <c r="I39" s="259">
        <v>3</v>
      </c>
      <c r="J39" s="259">
        <v>2</v>
      </c>
      <c r="K39" s="259">
        <v>3</v>
      </c>
      <c r="L39" s="259">
        <v>2</v>
      </c>
      <c r="M39" s="2">
        <v>2</v>
      </c>
      <c r="N39" s="2">
        <v>14</v>
      </c>
      <c r="O39" s="2">
        <v>68</v>
      </c>
      <c r="P39" s="168">
        <v>0</v>
      </c>
      <c r="Q39" s="2">
        <v>0</v>
      </c>
      <c r="R39" s="2">
        <v>0</v>
      </c>
      <c r="S39" s="2">
        <v>1</v>
      </c>
      <c r="T39" s="2">
        <v>0</v>
      </c>
      <c r="U39" s="2">
        <v>4</v>
      </c>
      <c r="V39" s="242">
        <v>5509</v>
      </c>
      <c r="W39" s="1058" t="s">
        <v>6118</v>
      </c>
      <c r="X39" s="1058" t="s">
        <v>6187</v>
      </c>
      <c r="Y39" s="1058" t="s">
        <v>6188</v>
      </c>
      <c r="AA39" s="1058" t="s">
        <v>3815</v>
      </c>
      <c r="AB39" s="8" t="s">
        <v>6368</v>
      </c>
      <c r="AC39" t="s">
        <v>6369</v>
      </c>
      <c r="AD39" s="967" t="s">
        <v>6370</v>
      </c>
      <c r="AK39" s="8" t="s">
        <v>6003</v>
      </c>
    </row>
    <row r="40" spans="1:37" ht="13.95" customHeight="1" x14ac:dyDescent="0.3">
      <c r="A40" s="985" t="s">
        <v>6176</v>
      </c>
      <c r="B40" s="2">
        <v>38</v>
      </c>
      <c r="C40" s="2">
        <v>38</v>
      </c>
      <c r="D40" s="4">
        <v>45676</v>
      </c>
      <c r="E40" s="2" t="s">
        <v>6179</v>
      </c>
      <c r="F40" s="2" t="s">
        <v>17</v>
      </c>
      <c r="G40" s="1058" t="s">
        <v>6113</v>
      </c>
      <c r="H40" s="1058" t="s">
        <v>16</v>
      </c>
      <c r="I40" s="259">
        <v>3</v>
      </c>
      <c r="J40" s="259">
        <v>2</v>
      </c>
      <c r="K40" s="259">
        <v>3</v>
      </c>
      <c r="L40" s="259">
        <v>2</v>
      </c>
      <c r="M40" s="2">
        <v>2</v>
      </c>
      <c r="N40" s="2">
        <v>14</v>
      </c>
      <c r="O40" s="2">
        <v>71</v>
      </c>
      <c r="P40" s="168">
        <v>1</v>
      </c>
      <c r="Q40" s="2">
        <v>0</v>
      </c>
      <c r="R40" s="2">
        <v>2</v>
      </c>
      <c r="S40" s="2">
        <v>0</v>
      </c>
      <c r="T40" s="2">
        <v>7</v>
      </c>
      <c r="U40" s="2">
        <v>3</v>
      </c>
      <c r="V40" s="242">
        <v>5070</v>
      </c>
      <c r="W40" s="1058" t="s">
        <v>6100</v>
      </c>
      <c r="X40" s="1058" t="s">
        <v>6189</v>
      </c>
      <c r="Y40" s="1058" t="s">
        <v>6188</v>
      </c>
      <c r="AA40" s="1058" t="s">
        <v>4210</v>
      </c>
      <c r="AB40" s="8" t="s">
        <v>6371</v>
      </c>
      <c r="AC40" s="967" t="s">
        <v>6372</v>
      </c>
      <c r="AD40" s="967" t="s">
        <v>6373</v>
      </c>
      <c r="AK40" s="8" t="s">
        <v>6004</v>
      </c>
    </row>
    <row r="41" spans="1:37" s="191" customFormat="1" x14ac:dyDescent="0.3">
      <c r="A41" s="1025" t="s">
        <v>6176</v>
      </c>
      <c r="B41" s="170">
        <v>39</v>
      </c>
      <c r="C41" s="170">
        <v>39</v>
      </c>
      <c r="D41" s="189">
        <v>45681</v>
      </c>
      <c r="E41" s="170" t="s">
        <v>334</v>
      </c>
      <c r="F41" s="170" t="s">
        <v>17</v>
      </c>
      <c r="G41" s="1059" t="s">
        <v>6102</v>
      </c>
      <c r="H41" s="1059" t="s">
        <v>743</v>
      </c>
      <c r="I41" s="1091">
        <v>1</v>
      </c>
      <c r="J41" s="1091">
        <v>3</v>
      </c>
      <c r="K41" s="1091">
        <v>1</v>
      </c>
      <c r="L41" s="1091">
        <v>2</v>
      </c>
      <c r="M41" s="269">
        <v>3</v>
      </c>
      <c r="N41" s="269">
        <v>11</v>
      </c>
      <c r="O41" s="269">
        <v>71</v>
      </c>
      <c r="P41" s="169">
        <v>0</v>
      </c>
      <c r="Q41" s="170">
        <v>0</v>
      </c>
      <c r="R41" s="170">
        <v>0</v>
      </c>
      <c r="S41" s="170">
        <v>0</v>
      </c>
      <c r="T41" s="170">
        <v>3</v>
      </c>
      <c r="U41" s="170">
        <v>2</v>
      </c>
      <c r="V41" s="171">
        <v>4520</v>
      </c>
      <c r="W41" s="1059" t="s">
        <v>6188</v>
      </c>
      <c r="X41" s="1059" t="s">
        <v>6171</v>
      </c>
      <c r="Y41" s="1059" t="s">
        <v>6187</v>
      </c>
      <c r="Z41" s="1059"/>
      <c r="AA41" s="1059" t="s">
        <v>3377</v>
      </c>
      <c r="AB41" s="268" t="s">
        <v>6374</v>
      </c>
      <c r="AC41" s="170"/>
      <c r="AD41" s="170"/>
      <c r="AE41" s="170"/>
      <c r="AF41" s="170"/>
      <c r="AG41" s="170"/>
      <c r="AH41" s="170"/>
      <c r="AI41" s="171"/>
      <c r="AJ41" s="268"/>
      <c r="AK41" s="191" t="s">
        <v>6005</v>
      </c>
    </row>
    <row r="42" spans="1:37" ht="17.399999999999999" customHeight="1" x14ac:dyDescent="0.3">
      <c r="A42" s="1101" t="s">
        <v>6176</v>
      </c>
      <c r="B42" s="2">
        <v>40</v>
      </c>
      <c r="C42" s="2">
        <v>40</v>
      </c>
      <c r="D42" s="4">
        <v>45683</v>
      </c>
      <c r="E42" s="2" t="s">
        <v>1274</v>
      </c>
      <c r="F42" s="2" t="s">
        <v>16</v>
      </c>
      <c r="G42" s="1058" t="s">
        <v>171</v>
      </c>
      <c r="H42" s="1058" t="s">
        <v>794</v>
      </c>
      <c r="I42" s="259">
        <v>2</v>
      </c>
      <c r="J42" s="259">
        <v>3</v>
      </c>
      <c r="K42" s="259">
        <v>2</v>
      </c>
      <c r="L42" s="259">
        <v>2</v>
      </c>
      <c r="M42" s="2">
        <v>3</v>
      </c>
      <c r="N42" s="2">
        <v>12</v>
      </c>
      <c r="O42" s="2">
        <v>72</v>
      </c>
      <c r="P42" s="168">
        <v>0</v>
      </c>
      <c r="Q42" s="2">
        <v>0</v>
      </c>
      <c r="R42" s="2">
        <v>0</v>
      </c>
      <c r="S42" s="2">
        <v>0</v>
      </c>
      <c r="T42" s="2">
        <v>4</v>
      </c>
      <c r="U42" s="2">
        <v>5</v>
      </c>
      <c r="V42" s="242">
        <v>4617</v>
      </c>
      <c r="W42" s="1058" t="s">
        <v>6187</v>
      </c>
      <c r="X42" s="1058" t="s">
        <v>6120</v>
      </c>
      <c r="Y42" s="1058" t="s">
        <v>6189</v>
      </c>
      <c r="Z42" s="1058" t="s">
        <v>3213</v>
      </c>
      <c r="AA42" s="1058" t="s">
        <v>5867</v>
      </c>
      <c r="AB42" s="8" t="s">
        <v>6375</v>
      </c>
      <c r="AC42" s="967" t="s">
        <v>6376</v>
      </c>
      <c r="AK42" s="636" t="s">
        <v>6008</v>
      </c>
    </row>
    <row r="43" spans="1:37" ht="16.2" customHeight="1" x14ac:dyDescent="0.3">
      <c r="A43" s="985" t="s">
        <v>6176</v>
      </c>
      <c r="B43" s="2">
        <v>41</v>
      </c>
      <c r="C43" s="2">
        <v>41</v>
      </c>
      <c r="D43" s="4">
        <v>45685</v>
      </c>
      <c r="E43" s="2" t="s">
        <v>331</v>
      </c>
      <c r="F43" s="2" t="s">
        <v>17</v>
      </c>
      <c r="G43" s="1058" t="s">
        <v>6104</v>
      </c>
      <c r="H43" s="1058" t="s">
        <v>743</v>
      </c>
      <c r="I43" s="259">
        <v>2</v>
      </c>
      <c r="J43" s="259">
        <v>5</v>
      </c>
      <c r="K43" s="259">
        <v>2</v>
      </c>
      <c r="L43" s="259">
        <v>5</v>
      </c>
      <c r="M43" s="2">
        <v>3</v>
      </c>
      <c r="N43" s="2">
        <v>9</v>
      </c>
      <c r="O43" s="2">
        <v>72</v>
      </c>
      <c r="P43" s="168">
        <v>1</v>
      </c>
      <c r="Q43" s="2">
        <v>0</v>
      </c>
      <c r="R43" s="2">
        <v>2</v>
      </c>
      <c r="S43" s="2">
        <v>0</v>
      </c>
      <c r="T43" s="2">
        <v>8.5</v>
      </c>
      <c r="U43" s="2">
        <v>4</v>
      </c>
      <c r="V43" s="242">
        <v>3725</v>
      </c>
      <c r="W43" s="1058" t="s">
        <v>6187</v>
      </c>
      <c r="X43" s="1058" t="s">
        <v>6171</v>
      </c>
      <c r="Y43" s="1058" t="s">
        <v>6097</v>
      </c>
      <c r="AA43" s="1058" t="s">
        <v>5723</v>
      </c>
      <c r="AB43" s="8" t="s">
        <v>6377</v>
      </c>
      <c r="AC43" s="967" t="s">
        <v>6378</v>
      </c>
      <c r="AK43" s="8" t="s">
        <v>6009</v>
      </c>
    </row>
    <row r="44" spans="1:37" x14ac:dyDescent="0.3">
      <c r="A44" s="985" t="s">
        <v>6176</v>
      </c>
      <c r="B44" s="2">
        <v>42</v>
      </c>
      <c r="C44" s="2">
        <v>42</v>
      </c>
      <c r="D44" s="4">
        <v>45688</v>
      </c>
      <c r="E44" s="2" t="s">
        <v>332</v>
      </c>
      <c r="F44" s="2" t="s">
        <v>16</v>
      </c>
      <c r="G44" s="1058" t="s">
        <v>6079</v>
      </c>
      <c r="H44" s="1058" t="s">
        <v>743</v>
      </c>
      <c r="I44" s="259">
        <v>0</v>
      </c>
      <c r="J44" s="259">
        <v>3</v>
      </c>
      <c r="K44" s="259">
        <v>0</v>
      </c>
      <c r="L44" s="259">
        <v>3</v>
      </c>
      <c r="M44" s="2">
        <v>3</v>
      </c>
      <c r="N44" s="2">
        <v>9</v>
      </c>
      <c r="O44" s="2">
        <v>72</v>
      </c>
      <c r="P44" s="168">
        <v>0</v>
      </c>
      <c r="Q44" s="2">
        <v>0</v>
      </c>
      <c r="R44" s="2">
        <v>0</v>
      </c>
      <c r="S44" s="2">
        <v>1</v>
      </c>
      <c r="T44" s="2">
        <v>3</v>
      </c>
      <c r="U44" s="2">
        <v>3</v>
      </c>
      <c r="V44" s="242">
        <v>3696</v>
      </c>
      <c r="W44" s="1058" t="s">
        <v>6188</v>
      </c>
      <c r="X44" s="1058" t="s">
        <v>6171</v>
      </c>
      <c r="Y44" s="1058" t="s">
        <v>6189</v>
      </c>
      <c r="AA44" s="1058" t="s">
        <v>6079</v>
      </c>
      <c r="AB44" s="8" t="s">
        <v>515</v>
      </c>
      <c r="AK44" s="8" t="s">
        <v>6010</v>
      </c>
    </row>
    <row r="45" spans="1:37" ht="15.6" customHeight="1" x14ac:dyDescent="0.3">
      <c r="A45" s="985" t="s">
        <v>6176</v>
      </c>
      <c r="B45" s="2">
        <v>43</v>
      </c>
      <c r="C45" s="2">
        <v>43</v>
      </c>
      <c r="D45" s="4">
        <v>45690</v>
      </c>
      <c r="E45" s="2" t="s">
        <v>610</v>
      </c>
      <c r="F45" s="2" t="s">
        <v>17</v>
      </c>
      <c r="G45" s="1058" t="s">
        <v>6192</v>
      </c>
      <c r="H45" s="1058" t="s">
        <v>16</v>
      </c>
      <c r="I45" s="259">
        <v>4</v>
      </c>
      <c r="J45" s="259">
        <v>3</v>
      </c>
      <c r="K45" s="259">
        <v>4</v>
      </c>
      <c r="L45" s="259">
        <v>3</v>
      </c>
      <c r="M45" s="2">
        <v>3</v>
      </c>
      <c r="N45" s="2">
        <v>9</v>
      </c>
      <c r="O45" s="2">
        <v>75</v>
      </c>
      <c r="P45" s="168">
        <v>0</v>
      </c>
      <c r="Q45" s="2">
        <v>0</v>
      </c>
      <c r="R45" s="2">
        <v>0</v>
      </c>
      <c r="S45" s="2">
        <v>1</v>
      </c>
      <c r="T45" s="2">
        <v>2</v>
      </c>
      <c r="U45" s="2">
        <v>3</v>
      </c>
      <c r="V45" s="242">
        <v>4242</v>
      </c>
      <c r="W45" s="1058" t="s">
        <v>6188</v>
      </c>
      <c r="X45" s="1058" t="s">
        <v>6118</v>
      </c>
      <c r="Y45" s="1058" t="s">
        <v>6194</v>
      </c>
      <c r="AA45" s="1058" t="s">
        <v>6007</v>
      </c>
      <c r="AB45" s="8" t="s">
        <v>6379</v>
      </c>
      <c r="AC45" t="s">
        <v>6380</v>
      </c>
      <c r="AD45" s="967" t="s">
        <v>6381</v>
      </c>
      <c r="AE45" s="967" t="s">
        <v>6382</v>
      </c>
      <c r="AK45" s="8" t="s">
        <v>6011</v>
      </c>
    </row>
    <row r="46" spans="1:37" x14ac:dyDescent="0.3">
      <c r="A46" s="985" t="s">
        <v>6176</v>
      </c>
      <c r="B46" s="2">
        <v>44</v>
      </c>
      <c r="C46" s="2">
        <v>44</v>
      </c>
      <c r="D46" s="4">
        <v>45700</v>
      </c>
      <c r="E46" s="2" t="s">
        <v>6076</v>
      </c>
      <c r="F46" s="2" t="s">
        <v>16</v>
      </c>
      <c r="G46" s="1058" t="s">
        <v>6205</v>
      </c>
      <c r="H46" s="1058" t="s">
        <v>743</v>
      </c>
      <c r="I46" s="259">
        <v>4</v>
      </c>
      <c r="J46" s="259">
        <v>6</v>
      </c>
      <c r="K46" s="259">
        <v>4</v>
      </c>
      <c r="L46" s="259">
        <v>5</v>
      </c>
      <c r="M46" s="2">
        <v>3</v>
      </c>
      <c r="N46" s="2">
        <v>9</v>
      </c>
      <c r="O46" s="2">
        <v>75</v>
      </c>
      <c r="P46" s="168">
        <v>2</v>
      </c>
      <c r="Q46" s="2">
        <v>0</v>
      </c>
      <c r="R46" s="2">
        <v>0</v>
      </c>
      <c r="S46" s="2">
        <v>2</v>
      </c>
      <c r="T46" s="2">
        <v>3</v>
      </c>
      <c r="U46" s="2">
        <v>4</v>
      </c>
      <c r="V46" s="242">
        <v>3512</v>
      </c>
      <c r="W46" s="1058" t="s">
        <v>6171</v>
      </c>
      <c r="X46" s="1058" t="s">
        <v>6194</v>
      </c>
      <c r="Y46" s="1058" t="s">
        <v>6194</v>
      </c>
      <c r="AA46" s="1058" t="s">
        <v>6012</v>
      </c>
      <c r="AB46" s="8" t="s">
        <v>6383</v>
      </c>
      <c r="AC46" t="s">
        <v>6384</v>
      </c>
      <c r="AD46" t="s">
        <v>6385</v>
      </c>
      <c r="AE46" t="s">
        <v>6386</v>
      </c>
      <c r="AK46" s="8" t="s">
        <v>6013</v>
      </c>
    </row>
    <row r="47" spans="1:37" x14ac:dyDescent="0.3">
      <c r="A47" s="985" t="s">
        <v>6176</v>
      </c>
      <c r="B47" s="2">
        <v>45</v>
      </c>
      <c r="C47" s="2">
        <v>45</v>
      </c>
      <c r="D47" s="4">
        <v>45702</v>
      </c>
      <c r="E47" s="2" t="s">
        <v>626</v>
      </c>
      <c r="F47" s="2" t="s">
        <v>17</v>
      </c>
      <c r="G47" s="1058" t="s">
        <v>6171</v>
      </c>
      <c r="H47" s="1058" t="s">
        <v>743</v>
      </c>
      <c r="I47" s="259">
        <v>0</v>
      </c>
      <c r="J47" s="259">
        <v>2</v>
      </c>
      <c r="K47" s="259">
        <v>0</v>
      </c>
      <c r="L47" s="259">
        <v>2</v>
      </c>
      <c r="M47" s="2">
        <v>3</v>
      </c>
      <c r="N47" s="2">
        <v>6</v>
      </c>
      <c r="O47" s="2">
        <v>75</v>
      </c>
      <c r="P47" s="168">
        <v>0</v>
      </c>
      <c r="Q47" s="2">
        <v>0</v>
      </c>
      <c r="R47" s="2">
        <v>0</v>
      </c>
      <c r="S47" s="2">
        <v>2</v>
      </c>
      <c r="T47" s="2">
        <v>4</v>
      </c>
      <c r="U47" s="2">
        <v>5</v>
      </c>
      <c r="V47" s="242">
        <v>3834</v>
      </c>
      <c r="W47" s="1058" t="s">
        <v>6188</v>
      </c>
      <c r="X47" s="1058" t="s">
        <v>6189</v>
      </c>
      <c r="Y47" s="1058" t="s">
        <v>6189</v>
      </c>
      <c r="AA47" s="1058" t="s">
        <v>6171</v>
      </c>
      <c r="AB47" s="8" t="s">
        <v>515</v>
      </c>
      <c r="AK47" s="8" t="s">
        <v>6014</v>
      </c>
    </row>
    <row r="48" spans="1:37" x14ac:dyDescent="0.3">
      <c r="A48" s="985" t="s">
        <v>6176</v>
      </c>
      <c r="B48" s="2">
        <v>46</v>
      </c>
      <c r="C48" s="2">
        <v>46</v>
      </c>
      <c r="D48" s="4">
        <v>45704</v>
      </c>
      <c r="E48" s="2" t="s">
        <v>6091</v>
      </c>
      <c r="F48" s="2" t="s">
        <v>16</v>
      </c>
      <c r="G48" s="1058" t="s">
        <v>6084</v>
      </c>
      <c r="H48" s="1058" t="s">
        <v>743</v>
      </c>
      <c r="I48" s="259">
        <v>1</v>
      </c>
      <c r="J48" s="259">
        <v>5</v>
      </c>
      <c r="K48" s="259">
        <v>1</v>
      </c>
      <c r="L48" s="259">
        <v>5</v>
      </c>
      <c r="M48" s="2">
        <v>3</v>
      </c>
      <c r="N48" s="2">
        <v>6</v>
      </c>
      <c r="O48" s="2">
        <v>75</v>
      </c>
      <c r="P48" s="168">
        <v>0</v>
      </c>
      <c r="Q48" s="2">
        <v>0</v>
      </c>
      <c r="R48" s="2">
        <v>0</v>
      </c>
      <c r="S48" s="2">
        <v>0</v>
      </c>
      <c r="T48" s="2">
        <v>3</v>
      </c>
      <c r="U48" s="2">
        <v>2</v>
      </c>
      <c r="V48" s="242">
        <v>6295</v>
      </c>
      <c r="W48" s="1058" t="s">
        <v>6189</v>
      </c>
      <c r="X48" s="1058" t="s">
        <v>6171</v>
      </c>
      <c r="Y48" s="1058" t="s">
        <v>6097</v>
      </c>
      <c r="AA48" s="1058" t="s">
        <v>4449</v>
      </c>
      <c r="AB48" s="8" t="s">
        <v>6387</v>
      </c>
      <c r="AK48" s="8" t="s">
        <v>6016</v>
      </c>
    </row>
    <row r="49" spans="1:37" ht="14.4" customHeight="1" x14ac:dyDescent="0.3">
      <c r="A49" s="985" t="s">
        <v>6176</v>
      </c>
      <c r="B49" s="2">
        <v>47</v>
      </c>
      <c r="C49" s="2">
        <v>47</v>
      </c>
      <c r="D49" s="4">
        <v>45709</v>
      </c>
      <c r="E49" s="2" t="s">
        <v>327</v>
      </c>
      <c r="F49" s="2" t="s">
        <v>17</v>
      </c>
      <c r="G49" s="1058" t="s">
        <v>6104</v>
      </c>
      <c r="H49" s="1058" t="s">
        <v>743</v>
      </c>
      <c r="I49" s="259">
        <v>2</v>
      </c>
      <c r="J49" s="259">
        <v>5</v>
      </c>
      <c r="K49" s="259">
        <v>2</v>
      </c>
      <c r="L49" s="259">
        <v>4</v>
      </c>
      <c r="M49" s="2">
        <v>5</v>
      </c>
      <c r="N49" s="2">
        <v>3</v>
      </c>
      <c r="O49" s="2">
        <v>75</v>
      </c>
      <c r="P49" s="168">
        <v>1</v>
      </c>
      <c r="Q49" s="2">
        <v>0</v>
      </c>
      <c r="R49" s="2">
        <v>0</v>
      </c>
      <c r="S49" s="2">
        <v>1</v>
      </c>
      <c r="T49" s="2">
        <v>2</v>
      </c>
      <c r="U49" s="2">
        <v>1</v>
      </c>
      <c r="V49" s="242">
        <v>5225</v>
      </c>
      <c r="W49" s="1058" t="s">
        <v>6089</v>
      </c>
      <c r="X49" s="1058" t="s">
        <v>6171</v>
      </c>
      <c r="Y49" s="1058" t="s">
        <v>6079</v>
      </c>
      <c r="AA49" s="1058" t="s">
        <v>6015</v>
      </c>
      <c r="AB49" s="8" t="s">
        <v>6388</v>
      </c>
      <c r="AC49" s="967" t="s">
        <v>6389</v>
      </c>
      <c r="AK49" s="8" t="s">
        <v>6017</v>
      </c>
    </row>
    <row r="50" spans="1:37" x14ac:dyDescent="0.3">
      <c r="A50" s="985" t="s">
        <v>6176</v>
      </c>
      <c r="B50" s="2">
        <v>48</v>
      </c>
      <c r="C50" s="2">
        <v>48</v>
      </c>
      <c r="D50" s="4">
        <v>45711</v>
      </c>
      <c r="E50" s="2" t="s">
        <v>6086</v>
      </c>
      <c r="F50" s="2" t="s">
        <v>17</v>
      </c>
      <c r="G50" s="1058" t="s">
        <v>6120</v>
      </c>
      <c r="H50" s="1058" t="s">
        <v>16</v>
      </c>
      <c r="I50" s="259">
        <v>1</v>
      </c>
      <c r="J50" s="259">
        <v>0</v>
      </c>
      <c r="K50" s="259">
        <v>1</v>
      </c>
      <c r="L50" s="259">
        <v>0</v>
      </c>
      <c r="M50" s="2">
        <v>4</v>
      </c>
      <c r="N50" s="2">
        <v>3</v>
      </c>
      <c r="O50" s="2">
        <v>78</v>
      </c>
      <c r="P50" s="168">
        <v>0</v>
      </c>
      <c r="Q50" s="2">
        <v>0</v>
      </c>
      <c r="R50" s="2">
        <v>0</v>
      </c>
      <c r="S50" s="2">
        <v>0</v>
      </c>
      <c r="T50" s="2">
        <v>2</v>
      </c>
      <c r="U50" s="2">
        <v>1</v>
      </c>
      <c r="V50" s="242">
        <v>3950</v>
      </c>
      <c r="W50" s="1058" t="s">
        <v>6188</v>
      </c>
      <c r="X50" s="1058" t="s">
        <v>6188</v>
      </c>
      <c r="Y50" s="1058" t="s">
        <v>6120</v>
      </c>
      <c r="AA50" s="1058" t="s">
        <v>6120</v>
      </c>
      <c r="AB50" s="8" t="s">
        <v>6390</v>
      </c>
      <c r="AK50" s="8" t="s">
        <v>6019</v>
      </c>
    </row>
    <row r="51" spans="1:37" x14ac:dyDescent="0.3">
      <c r="A51" s="985" t="s">
        <v>6176</v>
      </c>
      <c r="B51" s="2">
        <v>49</v>
      </c>
      <c r="C51" s="2">
        <v>49</v>
      </c>
      <c r="D51" s="4">
        <v>45713</v>
      </c>
      <c r="E51" s="2" t="s">
        <v>325</v>
      </c>
      <c r="F51" s="2" t="s">
        <v>16</v>
      </c>
      <c r="G51" s="1058" t="s">
        <v>6084</v>
      </c>
      <c r="H51" s="1058" t="s">
        <v>743</v>
      </c>
      <c r="I51" s="259">
        <v>1</v>
      </c>
      <c r="J51" s="259">
        <v>5</v>
      </c>
      <c r="K51" s="259">
        <v>1</v>
      </c>
      <c r="L51" s="259">
        <v>5</v>
      </c>
      <c r="M51" s="2">
        <v>5</v>
      </c>
      <c r="N51" s="2">
        <v>3</v>
      </c>
      <c r="O51" s="2">
        <v>78</v>
      </c>
      <c r="P51" s="168">
        <v>1</v>
      </c>
      <c r="Q51" s="2">
        <v>0</v>
      </c>
      <c r="R51" s="2">
        <v>0</v>
      </c>
      <c r="S51" s="2">
        <v>0</v>
      </c>
      <c r="T51" s="2">
        <v>3</v>
      </c>
      <c r="U51" s="2">
        <v>5</v>
      </c>
      <c r="V51" s="242">
        <v>16095</v>
      </c>
      <c r="W51" s="1058" t="s">
        <v>6189</v>
      </c>
      <c r="X51" s="1058" t="s">
        <v>6097</v>
      </c>
      <c r="Y51" s="1058" t="s">
        <v>6171</v>
      </c>
      <c r="AA51" s="1058" t="s">
        <v>4449</v>
      </c>
      <c r="AB51" s="8" t="s">
        <v>6391</v>
      </c>
      <c r="AK51" s="8" t="s">
        <v>6020</v>
      </c>
    </row>
    <row r="52" spans="1:37" ht="16.95" customHeight="1" x14ac:dyDescent="0.3">
      <c r="A52" s="985" t="s">
        <v>6176</v>
      </c>
      <c r="B52" s="2">
        <v>50</v>
      </c>
      <c r="C52" s="2">
        <v>50</v>
      </c>
      <c r="D52" s="4">
        <v>45716</v>
      </c>
      <c r="E52" s="2" t="s">
        <v>328</v>
      </c>
      <c r="F52" s="2" t="s">
        <v>16</v>
      </c>
      <c r="G52" s="1058" t="s">
        <v>352</v>
      </c>
      <c r="H52" s="1058" t="s">
        <v>793</v>
      </c>
      <c r="I52" s="259">
        <v>3</v>
      </c>
      <c r="J52" s="259">
        <v>2</v>
      </c>
      <c r="K52" s="259">
        <v>2</v>
      </c>
      <c r="L52" s="259">
        <v>2</v>
      </c>
      <c r="M52" s="2">
        <v>5</v>
      </c>
      <c r="N52" s="2">
        <v>5</v>
      </c>
      <c r="O52" s="2">
        <v>80</v>
      </c>
      <c r="P52" s="168">
        <v>0</v>
      </c>
      <c r="Q52" s="2">
        <v>0</v>
      </c>
      <c r="R52" s="2">
        <v>0</v>
      </c>
      <c r="S52" s="2">
        <v>1</v>
      </c>
      <c r="T52" s="2">
        <v>1</v>
      </c>
      <c r="U52" s="2">
        <v>4</v>
      </c>
      <c r="V52" s="242">
        <v>5672</v>
      </c>
      <c r="W52" s="1058" t="s">
        <v>6120</v>
      </c>
      <c r="X52" s="1058" t="s">
        <v>6189</v>
      </c>
      <c r="Y52" s="1058" t="s">
        <v>6187</v>
      </c>
      <c r="Z52" s="1058" t="s">
        <v>355</v>
      </c>
      <c r="AA52" s="1058" t="s">
        <v>6021</v>
      </c>
      <c r="AB52" s="8" t="s">
        <v>6392</v>
      </c>
      <c r="AC52" s="967" t="s">
        <v>6393</v>
      </c>
      <c r="AJ52" s="8" t="s">
        <v>6394</v>
      </c>
      <c r="AK52" s="8" t="s">
        <v>6022</v>
      </c>
    </row>
    <row r="53" spans="1:37" x14ac:dyDescent="0.3">
      <c r="A53" s="985" t="s">
        <v>6176</v>
      </c>
      <c r="B53" s="2">
        <v>51</v>
      </c>
      <c r="C53" s="2">
        <v>51</v>
      </c>
      <c r="D53" s="4">
        <v>45718</v>
      </c>
      <c r="E53" s="2" t="s">
        <v>6179</v>
      </c>
      <c r="F53" s="2" t="s">
        <v>16</v>
      </c>
      <c r="G53" s="1058" t="s">
        <v>6128</v>
      </c>
      <c r="H53" s="1058" t="s">
        <v>743</v>
      </c>
      <c r="I53" s="259">
        <v>1</v>
      </c>
      <c r="J53" s="259">
        <v>4</v>
      </c>
      <c r="K53" s="259">
        <v>1</v>
      </c>
      <c r="L53" s="259">
        <v>3</v>
      </c>
      <c r="M53" s="2">
        <v>6</v>
      </c>
      <c r="N53" s="2">
        <v>5</v>
      </c>
      <c r="O53" s="2">
        <v>80</v>
      </c>
      <c r="P53" s="168">
        <v>0</v>
      </c>
      <c r="Q53" s="2">
        <v>1</v>
      </c>
      <c r="R53" s="2">
        <v>0</v>
      </c>
      <c r="S53" s="2">
        <v>1</v>
      </c>
      <c r="T53" s="2">
        <v>3</v>
      </c>
      <c r="U53" s="2">
        <v>4</v>
      </c>
      <c r="V53" s="242">
        <v>7700</v>
      </c>
      <c r="W53" s="1058" t="s">
        <v>6171</v>
      </c>
      <c r="X53" s="1058" t="s">
        <v>6187</v>
      </c>
      <c r="Y53" s="1058" t="s">
        <v>6189</v>
      </c>
      <c r="AA53" s="1058" t="s">
        <v>4444</v>
      </c>
      <c r="AB53" s="8" t="s">
        <v>6395</v>
      </c>
      <c r="AK53" s="8" t="s">
        <v>6023</v>
      </c>
    </row>
    <row r="54" spans="1:37" s="191" customFormat="1" x14ac:dyDescent="0.3">
      <c r="A54" s="985" t="s">
        <v>6176</v>
      </c>
      <c r="B54" s="170">
        <v>52</v>
      </c>
      <c r="C54" s="170">
        <v>52</v>
      </c>
      <c r="D54" s="189">
        <v>45720</v>
      </c>
      <c r="E54" s="170" t="s">
        <v>334</v>
      </c>
      <c r="F54" s="170" t="s">
        <v>17</v>
      </c>
      <c r="G54" s="1059" t="s">
        <v>6102</v>
      </c>
      <c r="H54" s="1059" t="s">
        <v>743</v>
      </c>
      <c r="I54" s="1091">
        <v>1</v>
      </c>
      <c r="J54" s="1091">
        <v>3</v>
      </c>
      <c r="K54" s="1091">
        <v>1</v>
      </c>
      <c r="L54" s="1091">
        <v>2</v>
      </c>
      <c r="M54" s="269">
        <v>7</v>
      </c>
      <c r="N54" s="269">
        <v>2</v>
      </c>
      <c r="O54" s="269">
        <v>80</v>
      </c>
      <c r="P54" s="169">
        <v>1</v>
      </c>
      <c r="Q54" s="170">
        <v>0</v>
      </c>
      <c r="R54" s="170">
        <v>0</v>
      </c>
      <c r="S54" s="170">
        <v>0</v>
      </c>
      <c r="T54" s="170">
        <v>4</v>
      </c>
      <c r="U54" s="170">
        <v>1</v>
      </c>
      <c r="V54" s="171">
        <v>3642</v>
      </c>
      <c r="W54" s="1059" t="s">
        <v>6189</v>
      </c>
      <c r="X54" s="1059" t="s">
        <v>6187</v>
      </c>
      <c r="Y54" s="1059" t="s">
        <v>6189</v>
      </c>
      <c r="Z54" s="1059"/>
      <c r="AA54" s="1059" t="s">
        <v>3307</v>
      </c>
      <c r="AB54" s="8" t="s">
        <v>6396</v>
      </c>
      <c r="AC54" s="170"/>
      <c r="AD54" s="170"/>
      <c r="AE54" s="170"/>
      <c r="AF54" s="170"/>
      <c r="AG54" s="170"/>
      <c r="AH54" s="170"/>
      <c r="AI54" s="171"/>
      <c r="AJ54" s="268"/>
      <c r="AK54" s="268" t="s">
        <v>6024</v>
      </c>
    </row>
    <row r="55" spans="1:37" ht="16.2" customHeight="1" x14ac:dyDescent="0.3">
      <c r="A55" s="985" t="s">
        <v>6176</v>
      </c>
      <c r="B55" s="2">
        <v>53</v>
      </c>
      <c r="C55" s="2" t="s">
        <v>336</v>
      </c>
      <c r="D55" s="4">
        <v>45723</v>
      </c>
      <c r="E55" s="2" t="s">
        <v>334</v>
      </c>
      <c r="F55" s="2" t="s">
        <v>17</v>
      </c>
      <c r="G55" s="1058" t="s">
        <v>160</v>
      </c>
      <c r="H55" s="1058" t="s">
        <v>793</v>
      </c>
      <c r="I55" s="2">
        <v>2</v>
      </c>
      <c r="J55" s="2">
        <v>1</v>
      </c>
      <c r="K55" s="2">
        <v>1</v>
      </c>
      <c r="L55" s="2">
        <v>1</v>
      </c>
      <c r="M55" s="2" t="s">
        <v>5870</v>
      </c>
      <c r="O55" s="60"/>
      <c r="P55" s="168">
        <v>1</v>
      </c>
      <c r="Q55" s="2">
        <v>0</v>
      </c>
      <c r="R55" s="2">
        <v>0</v>
      </c>
      <c r="S55" s="2">
        <v>0</v>
      </c>
      <c r="T55" s="2">
        <v>7</v>
      </c>
      <c r="U55" s="2">
        <v>6</v>
      </c>
      <c r="V55" s="242">
        <v>4310</v>
      </c>
      <c r="W55" s="1058" t="s">
        <v>6189</v>
      </c>
      <c r="X55" s="1058" t="s">
        <v>6120</v>
      </c>
      <c r="Y55" s="1058" t="s">
        <v>6188</v>
      </c>
      <c r="Z55" s="1058" t="s">
        <v>756</v>
      </c>
      <c r="AA55" s="1058" t="s">
        <v>6025</v>
      </c>
      <c r="AB55" s="8" t="s">
        <v>6346</v>
      </c>
      <c r="AC55" t="s">
        <v>6347</v>
      </c>
      <c r="AK55" s="8" t="s">
        <v>6026</v>
      </c>
    </row>
    <row r="56" spans="1:37" x14ac:dyDescent="0.3">
      <c r="A56" s="985" t="s">
        <v>6176</v>
      </c>
      <c r="B56" s="2">
        <v>54</v>
      </c>
      <c r="C56" s="2" t="s">
        <v>336</v>
      </c>
      <c r="D56" s="4">
        <v>45724</v>
      </c>
      <c r="E56" s="2" t="s">
        <v>334</v>
      </c>
      <c r="F56" s="2" t="s">
        <v>17</v>
      </c>
      <c r="G56" s="1058" t="s">
        <v>6082</v>
      </c>
      <c r="H56" s="1058" t="s">
        <v>743</v>
      </c>
      <c r="I56" s="2">
        <v>2</v>
      </c>
      <c r="J56" s="2">
        <v>4</v>
      </c>
      <c r="K56" s="2">
        <v>2</v>
      </c>
      <c r="L56" s="2">
        <v>3</v>
      </c>
      <c r="M56" s="2" t="s">
        <v>6546</v>
      </c>
      <c r="O56" s="60"/>
      <c r="P56" s="168">
        <v>0</v>
      </c>
      <c r="Q56" s="2">
        <v>0</v>
      </c>
      <c r="R56" s="2">
        <v>0</v>
      </c>
      <c r="S56" s="2">
        <v>1</v>
      </c>
      <c r="T56" s="2">
        <v>3</v>
      </c>
      <c r="U56" s="2">
        <v>3</v>
      </c>
      <c r="V56" s="242">
        <v>4603</v>
      </c>
      <c r="W56" s="1058" t="s">
        <v>6120</v>
      </c>
      <c r="X56" s="1058" t="s">
        <v>6102</v>
      </c>
      <c r="Y56" s="1058" t="s">
        <v>6189</v>
      </c>
      <c r="AA56" s="1058" t="s">
        <v>4209</v>
      </c>
      <c r="AB56" s="8" t="s">
        <v>6348</v>
      </c>
      <c r="AC56" t="s">
        <v>6349</v>
      </c>
      <c r="AD56" s="967"/>
      <c r="AE56"/>
      <c r="AK56" s="8" t="s">
        <v>6226</v>
      </c>
    </row>
    <row r="57" spans="1:37" x14ac:dyDescent="0.3">
      <c r="A57" s="985" t="s">
        <v>6176</v>
      </c>
      <c r="B57" s="170">
        <v>55</v>
      </c>
      <c r="C57" s="170" t="s">
        <v>336</v>
      </c>
      <c r="D57" s="4">
        <v>45726</v>
      </c>
      <c r="E57" s="2" t="s">
        <v>334</v>
      </c>
      <c r="F57" s="2" t="s">
        <v>16</v>
      </c>
      <c r="G57" s="1058" t="s">
        <v>6146</v>
      </c>
      <c r="H57" s="1058" t="s">
        <v>743</v>
      </c>
      <c r="I57" s="2">
        <v>2</v>
      </c>
      <c r="J57" s="2">
        <v>3</v>
      </c>
      <c r="K57" s="2">
        <v>2</v>
      </c>
      <c r="L57" s="2">
        <v>3</v>
      </c>
      <c r="M57" s="2" t="s">
        <v>6547</v>
      </c>
      <c r="O57" s="60"/>
      <c r="P57" s="168">
        <v>1</v>
      </c>
      <c r="Q57" s="2">
        <v>0</v>
      </c>
      <c r="R57" s="2">
        <v>0</v>
      </c>
      <c r="S57" s="2">
        <v>1</v>
      </c>
      <c r="T57" s="2">
        <v>3</v>
      </c>
      <c r="U57" s="2">
        <v>3</v>
      </c>
      <c r="V57" s="242">
        <v>5365</v>
      </c>
      <c r="W57" s="1058" t="s">
        <v>6189</v>
      </c>
      <c r="X57" s="1058" t="s">
        <v>6194</v>
      </c>
      <c r="Y57" s="1058" t="s">
        <v>6171</v>
      </c>
      <c r="AA57" s="1058" t="s">
        <v>3061</v>
      </c>
      <c r="AB57" s="8" t="s">
        <v>6350</v>
      </c>
      <c r="AC57" t="s">
        <v>6351</v>
      </c>
      <c r="AK57" t="s">
        <v>6227</v>
      </c>
    </row>
    <row r="58" spans="1:37" x14ac:dyDescent="0.3">
      <c r="A58" s="985" t="s">
        <v>6176</v>
      </c>
      <c r="B58" s="170">
        <v>56</v>
      </c>
      <c r="C58" s="170" t="s">
        <v>336</v>
      </c>
      <c r="D58" s="4">
        <v>45727</v>
      </c>
      <c r="E58" s="2" t="s">
        <v>334</v>
      </c>
      <c r="F58" s="2" t="s">
        <v>16</v>
      </c>
      <c r="G58" s="1058" t="s">
        <v>6128</v>
      </c>
      <c r="H58" s="1058" t="s">
        <v>743</v>
      </c>
      <c r="I58" s="2">
        <v>1</v>
      </c>
      <c r="J58" s="2">
        <v>4</v>
      </c>
      <c r="K58" s="2">
        <v>1</v>
      </c>
      <c r="L58" s="2">
        <v>3</v>
      </c>
      <c r="M58" s="2" t="s">
        <v>6548</v>
      </c>
      <c r="O58" s="60"/>
      <c r="P58" s="168">
        <v>0</v>
      </c>
      <c r="Q58" s="2">
        <v>0</v>
      </c>
      <c r="R58" s="2">
        <v>1</v>
      </c>
      <c r="S58" s="2">
        <v>1</v>
      </c>
      <c r="T58" s="2">
        <v>2</v>
      </c>
      <c r="U58" s="2">
        <v>2</v>
      </c>
      <c r="V58" s="242">
        <v>5400</v>
      </c>
      <c r="W58" s="1058" t="s">
        <v>6188</v>
      </c>
      <c r="X58" s="1058" t="s">
        <v>6097</v>
      </c>
      <c r="Y58" s="1058" t="s">
        <v>6171</v>
      </c>
      <c r="AA58" s="1058" t="s">
        <v>4444</v>
      </c>
      <c r="AB58" s="8" t="s">
        <v>6352</v>
      </c>
      <c r="AK58" t="s">
        <v>6228</v>
      </c>
    </row>
    <row r="59" spans="1:37" s="168" customFormat="1" x14ac:dyDescent="0.3">
      <c r="A59" s="1087" t="s">
        <v>817</v>
      </c>
      <c r="B59" s="2"/>
      <c r="C59"/>
      <c r="D59" s="2"/>
      <c r="E59" s="2"/>
      <c r="F59" s="2"/>
      <c r="G59" s="2"/>
      <c r="H59" s="2"/>
      <c r="I59" s="2">
        <f>SUBTOTAL(109,Zapasy20242025[Góly LIT])</f>
        <v>130</v>
      </c>
      <c r="J59" s="2">
        <f>SUBTOTAL(109,Zapasy20242025[Góly soupeř])</f>
        <v>140</v>
      </c>
      <c r="K59" s="2">
        <f>SUBTOTAL(109,Zapasy20242025[G LIT 60(BEZ EN)])</f>
        <v>121</v>
      </c>
      <c r="L59" s="2">
        <f>SUBTOTAL(109,Zapasy20242025[G Soupeř 60(BEZ EN)])</f>
        <v>126</v>
      </c>
      <c r="M59" s="241">
        <f>SUBTOTAL(101,Zapasy20242025[Umístění LIT])</f>
        <v>2.3846153846153846</v>
      </c>
      <c r="N59" s="259"/>
      <c r="O59" s="259">
        <f>SUBTOTAL(104,Zapasy20242025[Bodů celkově])</f>
        <v>80</v>
      </c>
      <c r="P59" s="168">
        <f>SUBTOTAL(109,Zapasy20242025[Góly v přesilovce])</f>
        <v>38</v>
      </c>
      <c r="Q59" s="2">
        <f>SUBTOTAL(109,Zapasy20242025[Góly v oslabení])</f>
        <v>6</v>
      </c>
      <c r="R59" s="2">
        <f>SUBTOTAL(109,Zapasy20242025[Góly inkas. v přesilovce])</f>
        <v>8</v>
      </c>
      <c r="S59" s="2">
        <f>SUBTOTAL(109,Zapasy20242025[Góly inkas. v oslabení])</f>
        <v>28</v>
      </c>
      <c r="T59" s="2">
        <f>SUBTOTAL(109,Zapasy20242025[Počet přesilovek])</f>
        <v>199.5</v>
      </c>
      <c r="U59" s="2">
        <f>SUBTOTAL(109,Zapasy20242025[Počet oslabení])</f>
        <v>190</v>
      </c>
      <c r="V59" s="1088">
        <f>SUBTOTAL(101,Zapasy20242025[Počet diváků])</f>
        <v>5459.7857142857147</v>
      </c>
      <c r="W59" s="2" t="s">
        <v>6342</v>
      </c>
      <c r="X59" s="2" t="s">
        <v>6343</v>
      </c>
      <c r="Y59" s="2" t="s">
        <v>6344</v>
      </c>
      <c r="Z59" s="2" t="s">
        <v>6345</v>
      </c>
      <c r="AA59" s="2"/>
      <c r="AB59" s="8"/>
      <c r="AC59" s="2"/>
      <c r="AD59" s="2"/>
      <c r="AE59" s="2"/>
      <c r="AF59" s="2"/>
      <c r="AG59" s="2"/>
      <c r="AH59" s="2"/>
      <c r="AI59" s="242"/>
      <c r="AJ59" s="8"/>
      <c r="AK59">
        <f>SUBTOTAL(103,Zapasy20242025[Sestava])</f>
        <v>56</v>
      </c>
    </row>
    <row r="60" spans="1:37" s="168" customFormat="1" x14ac:dyDescent="0.3">
      <c r="A60" s="2"/>
      <c r="B60" s="1153"/>
      <c r="C60" s="1153"/>
      <c r="D60" s="2"/>
      <c r="E60" s="2"/>
      <c r="F60" s="2"/>
      <c r="G60" s="60"/>
      <c r="H60" s="60"/>
      <c r="I60" s="259"/>
      <c r="J60" s="259"/>
      <c r="K60" s="259"/>
      <c r="L60" s="259"/>
      <c r="N60" s="60"/>
      <c r="O60" s="60"/>
      <c r="Q60" s="2"/>
      <c r="R60" s="2"/>
      <c r="S60" s="2"/>
      <c r="T60" s="2"/>
      <c r="U60" s="2"/>
      <c r="V60" s="242"/>
      <c r="W60" s="1058"/>
      <c r="X60" s="1058"/>
      <c r="Y60" s="1058"/>
      <c r="Z60" s="1058"/>
      <c r="AA60" s="1061"/>
      <c r="AB60" s="8"/>
      <c r="AC60" s="967"/>
      <c r="AD60" s="967"/>
      <c r="AE60" s="967"/>
      <c r="AF60" s="967"/>
      <c r="AG60" s="2"/>
      <c r="AH60" s="2"/>
      <c r="AI60" s="242"/>
      <c r="AJ60" s="8"/>
      <c r="AK60" s="2"/>
    </row>
    <row r="61" spans="1:37" x14ac:dyDescent="0.3">
      <c r="A61" s="2"/>
      <c r="B61" s="1153"/>
      <c r="C61" s="1153"/>
      <c r="G61" s="60"/>
      <c r="H61" s="60"/>
      <c r="M61" s="60"/>
      <c r="N61" s="60"/>
      <c r="O61" s="60"/>
      <c r="AC61"/>
      <c r="AD61" s="967"/>
      <c r="AK61" s="2"/>
    </row>
    <row r="62" spans="1:37" s="168" customFormat="1" x14ac:dyDescent="0.3">
      <c r="A62"/>
      <c r="B62" s="1153"/>
      <c r="C62" s="1153"/>
      <c r="D62" s="2"/>
      <c r="E62" s="2"/>
      <c r="F62" s="2"/>
      <c r="G62" s="2"/>
      <c r="H62" s="2"/>
      <c r="I62" s="259"/>
      <c r="J62" s="259"/>
      <c r="K62" s="259"/>
      <c r="L62" s="259"/>
      <c r="M62" s="2"/>
      <c r="N62" s="2"/>
      <c r="O62" s="2"/>
      <c r="Q62" s="2"/>
      <c r="R62" s="2"/>
      <c r="S62" s="2"/>
      <c r="T62" s="2"/>
      <c r="U62" s="2"/>
      <c r="V62" s="242"/>
      <c r="W62" s="1058"/>
      <c r="X62" s="1058"/>
      <c r="Y62" s="1058"/>
      <c r="Z62" s="1058"/>
      <c r="AA62" s="1061"/>
      <c r="AB62" s="8"/>
      <c r="AC62" s="2"/>
      <c r="AD62" s="2"/>
      <c r="AE62" s="2"/>
      <c r="AF62" s="2"/>
      <c r="AG62" s="2"/>
      <c r="AH62" s="2"/>
      <c r="AI62" s="242"/>
      <c r="AJ62" s="8"/>
      <c r="AK62"/>
    </row>
    <row r="63" spans="1:37" s="168" customFormat="1" x14ac:dyDescent="0.3">
      <c r="A63" s="2"/>
      <c r="B63" s="1153"/>
      <c r="C63" s="1153"/>
      <c r="D63" s="2"/>
      <c r="E63" s="2"/>
      <c r="F63" s="2"/>
      <c r="G63" s="60"/>
      <c r="H63" s="60"/>
      <c r="I63" s="259"/>
      <c r="J63" s="259"/>
      <c r="K63" s="259"/>
      <c r="L63" s="259"/>
      <c r="M63" s="60"/>
      <c r="N63" s="60"/>
      <c r="O63" s="60"/>
      <c r="Q63" s="2"/>
      <c r="R63" s="2"/>
      <c r="S63" s="2"/>
      <c r="T63" s="2"/>
      <c r="U63" s="2"/>
      <c r="V63" s="242"/>
      <c r="W63" s="1058"/>
      <c r="X63" s="1058"/>
      <c r="Y63" s="1058"/>
      <c r="Z63" s="1058"/>
      <c r="AA63" s="1061"/>
      <c r="AB63" s="8"/>
      <c r="AC63" s="967"/>
      <c r="AD63" s="2"/>
      <c r="AE63" s="2"/>
      <c r="AF63" s="2"/>
      <c r="AG63" s="2"/>
      <c r="AH63" s="2"/>
      <c r="AI63" s="242"/>
      <c r="AJ63" s="8"/>
      <c r="AK63" s="2"/>
    </row>
    <row r="64" spans="1:37" s="168" customFormat="1" x14ac:dyDescent="0.3">
      <c r="A64" s="2"/>
      <c r="B64" s="1153"/>
      <c r="C64" s="1153"/>
      <c r="D64" s="2"/>
      <c r="E64" s="2"/>
      <c r="F64" s="2"/>
      <c r="G64" s="60"/>
      <c r="H64" s="60"/>
      <c r="I64" s="259"/>
      <c r="J64" s="259"/>
      <c r="K64" s="259"/>
      <c r="L64" s="259"/>
      <c r="M64" s="60"/>
      <c r="N64" s="60"/>
      <c r="O64" s="60"/>
      <c r="Q64" s="2"/>
      <c r="R64" s="2"/>
      <c r="S64" s="2"/>
      <c r="T64" s="2"/>
      <c r="U64" s="2"/>
      <c r="V64" s="242"/>
      <c r="W64" s="1058"/>
      <c r="X64" s="1058"/>
      <c r="Y64" s="1058"/>
      <c r="Z64" s="1058"/>
      <c r="AA64" s="1061"/>
      <c r="AB64" s="8"/>
      <c r="AC64" s="967"/>
      <c r="AD64"/>
      <c r="AE64" s="967"/>
      <c r="AF64" s="2"/>
      <c r="AG64" s="2"/>
      <c r="AH64" s="2"/>
      <c r="AI64" s="242"/>
      <c r="AJ64" s="8"/>
      <c r="AK64" s="2"/>
    </row>
    <row r="65" spans="1:37" x14ac:dyDescent="0.3">
      <c r="A65" s="2"/>
      <c r="B65" s="1153"/>
      <c r="C65" s="1153"/>
      <c r="G65" s="60"/>
      <c r="H65" s="60"/>
      <c r="M65" s="60"/>
      <c r="N65" s="60"/>
      <c r="O65" s="60"/>
      <c r="AK65" s="2"/>
    </row>
    <row r="66" spans="1:37" s="168" customFormat="1" x14ac:dyDescent="0.3">
      <c r="A66"/>
      <c r="B66" s="1153"/>
      <c r="C66" s="1153"/>
      <c r="D66" s="2"/>
      <c r="E66" s="2"/>
      <c r="F66" s="2"/>
      <c r="G66" s="2"/>
      <c r="H66" s="2"/>
      <c r="I66" s="259"/>
      <c r="J66" s="259"/>
      <c r="K66" s="259"/>
      <c r="L66" s="259"/>
      <c r="M66" s="2"/>
      <c r="N66" s="2"/>
      <c r="O66" s="2"/>
      <c r="Q66" s="2"/>
      <c r="R66" s="2"/>
      <c r="S66" s="2"/>
      <c r="T66" s="2"/>
      <c r="U66" s="2"/>
      <c r="V66" s="242"/>
      <c r="W66" s="1058"/>
      <c r="X66" s="1058"/>
      <c r="Y66" s="1058"/>
      <c r="Z66" s="1058"/>
      <c r="AA66" s="1061"/>
      <c r="AB66" s="8"/>
      <c r="AC66" s="2"/>
      <c r="AD66" s="2"/>
      <c r="AE66" s="2"/>
      <c r="AF66" s="2"/>
      <c r="AG66" s="2"/>
      <c r="AH66" s="2"/>
      <c r="AI66" s="242"/>
      <c r="AJ66" s="8"/>
      <c r="AK66"/>
    </row>
    <row r="67" spans="1:37" x14ac:dyDescent="0.3">
      <c r="A67" s="2"/>
      <c r="B67" s="1153"/>
      <c r="C67" s="1153"/>
      <c r="G67" s="60"/>
      <c r="H67" s="60"/>
      <c r="M67" s="60"/>
      <c r="N67" s="60"/>
      <c r="O67" s="60"/>
      <c r="AC67" s="967"/>
      <c r="AK67" s="2"/>
    </row>
    <row r="68" spans="1:37" s="168" customFormat="1" x14ac:dyDescent="0.3">
      <c r="A68"/>
      <c r="B68" s="1153"/>
      <c r="C68" s="1153"/>
      <c r="D68" s="2"/>
      <c r="E68" s="2"/>
      <c r="F68" s="2"/>
      <c r="G68" s="2"/>
      <c r="H68" s="2"/>
      <c r="I68" s="259"/>
      <c r="J68" s="259"/>
      <c r="K68" s="259"/>
      <c r="L68" s="259"/>
      <c r="M68" s="2"/>
      <c r="N68" s="2"/>
      <c r="O68" s="2"/>
      <c r="Q68" s="2"/>
      <c r="R68" s="2"/>
      <c r="S68" s="2"/>
      <c r="T68" s="2"/>
      <c r="U68" s="2"/>
      <c r="V68" s="242"/>
      <c r="W68" s="1058"/>
      <c r="X68" s="1058"/>
      <c r="Y68" s="1058"/>
      <c r="Z68" s="1058"/>
      <c r="AA68" s="1061"/>
      <c r="AB68" s="8"/>
      <c r="AC68" s="967"/>
      <c r="AD68"/>
      <c r="AE68"/>
      <c r="AF68" s="967"/>
      <c r="AG68" s="2"/>
      <c r="AH68" s="2"/>
      <c r="AI68" s="242"/>
      <c r="AJ68" s="8"/>
      <c r="AK68"/>
    </row>
    <row r="69" spans="1:37" x14ac:dyDescent="0.3">
      <c r="A69" s="2"/>
      <c r="G69" s="60"/>
      <c r="H69" s="60"/>
      <c r="M69" s="60"/>
      <c r="N69" s="60"/>
      <c r="O69" s="60"/>
      <c r="AK69" s="2"/>
    </row>
    <row r="100" spans="1:36" ht="15" thickBot="1" x14ac:dyDescent="0.35">
      <c r="C100"/>
      <c r="D100"/>
      <c r="E100"/>
      <c r="F100"/>
      <c r="G100"/>
      <c r="H100"/>
      <c r="I100" s="1041"/>
      <c r="J100" s="1041"/>
      <c r="K100" s="1041"/>
      <c r="L100" s="1041"/>
      <c r="M100"/>
    </row>
    <row r="101" spans="1:36" ht="15" thickBot="1" x14ac:dyDescent="0.35">
      <c r="A101" s="1146" t="s">
        <v>6057</v>
      </c>
      <c r="B101" s="1147"/>
      <c r="C101" s="1147"/>
      <c r="D101" s="1147"/>
      <c r="E101" s="1147"/>
      <c r="F101" s="1147"/>
      <c r="G101" s="1148"/>
      <c r="H101" s="191"/>
      <c r="M101"/>
    </row>
    <row r="102" spans="1:36" ht="15" thickBot="1" x14ac:dyDescent="0.35">
      <c r="A102" s="1084"/>
      <c r="B102" s="1085" t="s">
        <v>16</v>
      </c>
      <c r="C102" s="1085" t="s">
        <v>793</v>
      </c>
      <c r="D102" s="1085" t="s">
        <v>794</v>
      </c>
      <c r="E102" s="1085" t="s">
        <v>743</v>
      </c>
      <c r="F102" s="1085" t="s">
        <v>796</v>
      </c>
      <c r="G102" s="1086" t="s">
        <v>795</v>
      </c>
      <c r="L102" s="1041"/>
      <c r="O102" s="168"/>
      <c r="P102" s="2"/>
      <c r="U102" s="242"/>
      <c r="V102" s="1058"/>
      <c r="Z102" s="1061"/>
      <c r="AA102" s="2"/>
      <c r="AH102" s="242"/>
      <c r="AI102" s="8"/>
      <c r="AJ102"/>
    </row>
    <row r="103" spans="1:36" x14ac:dyDescent="0.3">
      <c r="A103" s="204" t="s">
        <v>792</v>
      </c>
      <c r="B103" s="205">
        <f>B104+B105</f>
        <v>8</v>
      </c>
      <c r="C103" s="205">
        <f t="shared" ref="C103:E103" si="0">C104+C105</f>
        <v>0</v>
      </c>
      <c r="D103" s="205">
        <f t="shared" si="0"/>
        <v>2</v>
      </c>
      <c r="E103" s="205">
        <f t="shared" si="0"/>
        <v>3</v>
      </c>
      <c r="F103" s="589">
        <f>F104+F105</f>
        <v>26</v>
      </c>
      <c r="G103" s="274" t="str">
        <f>CONCATENATE(SUM(I3:I15),":",SUM(J3:J15))</f>
        <v>39:30</v>
      </c>
      <c r="H103" s="273"/>
      <c r="I103" s="1092"/>
      <c r="J103" s="1092"/>
      <c r="K103" s="1092"/>
      <c r="L103" s="1041"/>
      <c r="O103" s="168"/>
      <c r="P103" s="2"/>
      <c r="U103" s="242"/>
      <c r="V103" s="1058"/>
      <c r="Z103" s="1061"/>
      <c r="AA103" s="2"/>
      <c r="AH103" s="242"/>
      <c r="AI103" s="8"/>
      <c r="AJ103"/>
    </row>
    <row r="104" spans="1:36" x14ac:dyDescent="0.3">
      <c r="A104" s="198" t="s">
        <v>797</v>
      </c>
      <c r="B104" s="183">
        <v>5</v>
      </c>
      <c r="C104" s="183">
        <v>0</v>
      </c>
      <c r="D104" s="183">
        <v>0</v>
      </c>
      <c r="E104" s="183">
        <v>2</v>
      </c>
      <c r="F104" s="383">
        <f>B104*3+C104*2+D104</f>
        <v>15</v>
      </c>
      <c r="G104" s="400"/>
      <c r="H104" s="385"/>
      <c r="I104" s="1093"/>
      <c r="J104" s="1093"/>
      <c r="K104" s="1093"/>
      <c r="L104" s="1041"/>
      <c r="O104" s="168"/>
      <c r="P104" s="2"/>
      <c r="U104" s="242"/>
      <c r="V104" s="1058"/>
      <c r="Z104" s="1061"/>
      <c r="AA104" s="2"/>
      <c r="AH104" s="242"/>
      <c r="AI104" s="8"/>
      <c r="AJ104"/>
    </row>
    <row r="105" spans="1:36" ht="15" thickBot="1" x14ac:dyDescent="0.35">
      <c r="A105" s="199" t="s">
        <v>798</v>
      </c>
      <c r="B105" s="200">
        <v>3</v>
      </c>
      <c r="C105" s="200">
        <v>0</v>
      </c>
      <c r="D105" s="200">
        <v>2</v>
      </c>
      <c r="E105" s="200">
        <v>1</v>
      </c>
      <c r="F105" s="384">
        <f>B105*3+C105*2+D105</f>
        <v>11</v>
      </c>
      <c r="G105" s="249"/>
      <c r="H105" s="385"/>
      <c r="I105" s="1093"/>
      <c r="J105" s="1093"/>
      <c r="K105" s="1093"/>
      <c r="L105" s="1041"/>
      <c r="O105" s="168"/>
      <c r="P105" s="2"/>
      <c r="U105" s="242"/>
      <c r="V105" s="1058"/>
      <c r="Z105" s="1061"/>
      <c r="AA105" s="2"/>
      <c r="AH105" s="242"/>
      <c r="AI105" s="8"/>
      <c r="AJ105"/>
    </row>
    <row r="106" spans="1:36" x14ac:dyDescent="0.3">
      <c r="A106" s="594" t="s">
        <v>799</v>
      </c>
      <c r="B106" s="595">
        <f>B107+B108</f>
        <v>9</v>
      </c>
      <c r="C106" s="595">
        <f t="shared" ref="C106:E106" si="1">C107+C108</f>
        <v>0</v>
      </c>
      <c r="D106" s="595">
        <f t="shared" si="1"/>
        <v>0</v>
      </c>
      <c r="E106" s="595">
        <f t="shared" si="1"/>
        <v>4</v>
      </c>
      <c r="F106" s="910">
        <f>F107+F108</f>
        <v>27</v>
      </c>
      <c r="G106" s="591" t="str">
        <f>CONCATENATE(SUM(I16:I28),":",SUM(J16:J28))</f>
        <v>34:22</v>
      </c>
      <c r="H106" s="273"/>
      <c r="I106" s="1092"/>
      <c r="J106" s="1092"/>
      <c r="K106" s="1092"/>
      <c r="L106" s="1041"/>
      <c r="O106" s="168"/>
      <c r="P106" s="2"/>
      <c r="U106" s="242"/>
      <c r="V106" s="1058"/>
      <c r="Z106" s="1061"/>
      <c r="AA106" s="2"/>
      <c r="AH106" s="242"/>
      <c r="AI106" s="8"/>
      <c r="AJ106"/>
    </row>
    <row r="107" spans="1:36" x14ac:dyDescent="0.3">
      <c r="A107" s="198" t="s">
        <v>797</v>
      </c>
      <c r="B107" s="183">
        <v>5</v>
      </c>
      <c r="C107" s="183">
        <v>0</v>
      </c>
      <c r="D107" s="183">
        <v>0</v>
      </c>
      <c r="E107" s="183">
        <v>1</v>
      </c>
      <c r="F107" s="383">
        <f>B107*3+C107*2+D107</f>
        <v>15</v>
      </c>
      <c r="G107" s="400"/>
      <c r="H107" s="385"/>
      <c r="I107" s="1093"/>
      <c r="J107" s="1093"/>
      <c r="K107" s="1093"/>
      <c r="L107" s="1041"/>
      <c r="O107" s="168"/>
      <c r="P107" s="2"/>
      <c r="U107" s="242"/>
      <c r="V107" s="1058"/>
      <c r="Z107" s="1061"/>
      <c r="AA107" s="2"/>
      <c r="AH107" s="242"/>
      <c r="AI107" s="8"/>
      <c r="AJ107"/>
    </row>
    <row r="108" spans="1:36" ht="15" thickBot="1" x14ac:dyDescent="0.35">
      <c r="A108" s="199" t="s">
        <v>798</v>
      </c>
      <c r="B108" s="200">
        <v>4</v>
      </c>
      <c r="C108" s="200">
        <v>0</v>
      </c>
      <c r="D108" s="200">
        <v>0</v>
      </c>
      <c r="E108" s="200">
        <v>3</v>
      </c>
      <c r="F108" s="384">
        <f>B108*3+C108*2+D108</f>
        <v>12</v>
      </c>
      <c r="G108" s="249"/>
      <c r="H108" s="385"/>
      <c r="I108" s="1093"/>
      <c r="J108" s="1093"/>
      <c r="K108" s="1093"/>
      <c r="L108" s="1041"/>
      <c r="O108" s="168"/>
      <c r="P108" s="2"/>
      <c r="U108" s="242"/>
      <c r="V108" s="1058"/>
      <c r="Z108" s="1061"/>
      <c r="AA108" s="2"/>
      <c r="AH108" s="242"/>
      <c r="AI108" s="8"/>
      <c r="AJ108"/>
    </row>
    <row r="109" spans="1:36" x14ac:dyDescent="0.3">
      <c r="A109" s="594" t="s">
        <v>800</v>
      </c>
      <c r="B109" s="595">
        <f>B110+B111</f>
        <v>6</v>
      </c>
      <c r="C109" s="595">
        <f t="shared" ref="C109:E109" si="2">C110+C111</f>
        <v>0</v>
      </c>
      <c r="D109" s="595">
        <f t="shared" si="2"/>
        <v>0</v>
      </c>
      <c r="E109" s="595">
        <f t="shared" si="2"/>
        <v>7</v>
      </c>
      <c r="F109" s="595">
        <f>F110+F111</f>
        <v>18</v>
      </c>
      <c r="G109" s="591" t="str">
        <f>CONCATENATE(SUM(I29:I41),":",SUM(J29:J41))</f>
        <v>28:30</v>
      </c>
      <c r="H109" s="273"/>
      <c r="I109" s="1092"/>
      <c r="J109" s="1092"/>
      <c r="K109" s="1092"/>
      <c r="L109" s="1041"/>
      <c r="O109" s="168"/>
      <c r="P109" s="2"/>
      <c r="U109" s="242"/>
      <c r="V109" s="1058"/>
      <c r="Z109" s="1061"/>
      <c r="AA109" s="2"/>
      <c r="AH109" s="242"/>
      <c r="AI109" s="8"/>
      <c r="AJ109"/>
    </row>
    <row r="110" spans="1:36" x14ac:dyDescent="0.3">
      <c r="A110" s="198" t="s">
        <v>797</v>
      </c>
      <c r="B110" s="183">
        <v>3</v>
      </c>
      <c r="C110" s="183">
        <v>0</v>
      </c>
      <c r="D110" s="183">
        <v>0</v>
      </c>
      <c r="E110" s="183">
        <v>4</v>
      </c>
      <c r="F110" s="383">
        <f>B110*3+C110*2+D110</f>
        <v>9</v>
      </c>
      <c r="G110" s="400"/>
      <c r="H110" s="385"/>
      <c r="I110" s="1093"/>
      <c r="J110" s="1093"/>
      <c r="K110" s="1093"/>
      <c r="L110" s="1041"/>
      <c r="O110" s="168"/>
      <c r="P110" s="2"/>
      <c r="U110" s="242"/>
      <c r="V110" s="1058"/>
      <c r="Z110" s="1061"/>
      <c r="AA110" s="2"/>
      <c r="AH110" s="242"/>
      <c r="AI110" s="8"/>
      <c r="AJ110"/>
    </row>
    <row r="111" spans="1:36" ht="15" thickBot="1" x14ac:dyDescent="0.35">
      <c r="A111" s="199" t="s">
        <v>798</v>
      </c>
      <c r="B111" s="200">
        <v>3</v>
      </c>
      <c r="C111" s="200">
        <v>0</v>
      </c>
      <c r="D111" s="200">
        <v>0</v>
      </c>
      <c r="E111" s="200">
        <v>3</v>
      </c>
      <c r="F111" s="384">
        <f>B111*3+C111*2+D111</f>
        <v>9</v>
      </c>
      <c r="G111" s="249"/>
      <c r="H111" s="385"/>
      <c r="I111" s="1093"/>
      <c r="J111" s="1093"/>
      <c r="K111" s="1093"/>
      <c r="L111" s="1041"/>
      <c r="O111" s="168"/>
      <c r="P111" s="2"/>
      <c r="U111" s="242"/>
      <c r="V111" s="1058"/>
      <c r="Z111" s="1061"/>
      <c r="AA111" s="2"/>
      <c r="AH111" s="242"/>
      <c r="AI111" s="8"/>
      <c r="AJ111"/>
    </row>
    <row r="112" spans="1:36" x14ac:dyDescent="0.3">
      <c r="A112" s="204" t="s">
        <v>801</v>
      </c>
      <c r="B112" s="205">
        <f>B113+B114</f>
        <v>2</v>
      </c>
      <c r="C112" s="205">
        <f>C113+C114</f>
        <v>1</v>
      </c>
      <c r="D112" s="205">
        <f t="shared" ref="D112:E112" si="3">D113+D114</f>
        <v>1</v>
      </c>
      <c r="E112" s="205">
        <f t="shared" si="3"/>
        <v>9</v>
      </c>
      <c r="F112" s="205">
        <f>F113+F114</f>
        <v>9</v>
      </c>
      <c r="G112" s="274" t="str">
        <f>CONCATENATE(SUM(I42:I54),":",SUM(J42:J54))</f>
        <v>22:46</v>
      </c>
      <c r="H112" s="273"/>
      <c r="I112" s="1092"/>
      <c r="J112" s="1092"/>
      <c r="K112" s="1092"/>
      <c r="L112" s="1041"/>
      <c r="O112" s="168"/>
      <c r="P112" s="2"/>
      <c r="U112" s="242"/>
      <c r="V112" s="1058"/>
      <c r="Z112" s="1061"/>
      <c r="AA112" s="2"/>
      <c r="AH112" s="242"/>
      <c r="AI112" s="8"/>
      <c r="AJ112"/>
    </row>
    <row r="113" spans="1:36" x14ac:dyDescent="0.3">
      <c r="A113" s="198" t="s">
        <v>797</v>
      </c>
      <c r="B113" s="183">
        <v>2</v>
      </c>
      <c r="C113" s="183">
        <v>0</v>
      </c>
      <c r="D113" s="183">
        <v>0</v>
      </c>
      <c r="E113" s="183">
        <v>4</v>
      </c>
      <c r="F113" s="383">
        <f>B113*3+C113*2+D113</f>
        <v>6</v>
      </c>
      <c r="G113" s="229"/>
      <c r="H113" s="385"/>
      <c r="I113" s="1093"/>
      <c r="J113" s="1093"/>
      <c r="K113" s="1093"/>
      <c r="L113" s="1041"/>
      <c r="O113" s="168"/>
      <c r="P113" s="2"/>
      <c r="U113" s="242"/>
      <c r="V113" s="1058"/>
      <c r="Z113" s="1061"/>
      <c r="AA113" s="2"/>
      <c r="AH113" s="242"/>
      <c r="AI113" s="8"/>
      <c r="AJ113"/>
    </row>
    <row r="114" spans="1:36" ht="15" thickBot="1" x14ac:dyDescent="0.35">
      <c r="A114" s="592" t="s">
        <v>798</v>
      </c>
      <c r="B114" s="202">
        <v>0</v>
      </c>
      <c r="C114" s="202">
        <v>1</v>
      </c>
      <c r="D114" s="202">
        <v>1</v>
      </c>
      <c r="E114" s="202">
        <v>5</v>
      </c>
      <c r="F114" s="593">
        <f>B114*3+C114*2+D114</f>
        <v>3</v>
      </c>
      <c r="G114" s="590"/>
      <c r="H114" s="385"/>
      <c r="I114" s="1093"/>
      <c r="J114" s="1093"/>
      <c r="K114" s="1093"/>
      <c r="L114" s="1041"/>
      <c r="O114" s="168"/>
      <c r="P114" s="2"/>
      <c r="U114" s="242"/>
      <c r="V114" s="1058"/>
      <c r="Z114" s="1061"/>
      <c r="AA114" s="2"/>
      <c r="AH114" s="242"/>
      <c r="AI114" s="8"/>
      <c r="AJ114"/>
    </row>
    <row r="115" spans="1:36" x14ac:dyDescent="0.3">
      <c r="A115" s="220" t="s">
        <v>804</v>
      </c>
      <c r="B115" s="221">
        <f>B103+B106+B109+B112</f>
        <v>25</v>
      </c>
      <c r="C115" s="221">
        <f t="shared" ref="C115:D117" si="4">C103+C106+C109+C112</f>
        <v>1</v>
      </c>
      <c r="D115" s="221">
        <f t="shared" si="4"/>
        <v>3</v>
      </c>
      <c r="E115" s="221">
        <f>E103+E106+E109+E112</f>
        <v>23</v>
      </c>
      <c r="F115" s="563">
        <f>B115*3+C115*2+D115</f>
        <v>80</v>
      </c>
      <c r="G115" s="274" t="str">
        <f>CONCATENATE(SUM(I3:I54),":",SUM(J3:J54))</f>
        <v>123:128</v>
      </c>
      <c r="H115" s="262"/>
      <c r="I115" s="1094"/>
      <c r="J115" s="1094"/>
      <c r="K115" s="1094"/>
      <c r="L115" s="1041"/>
      <c r="O115" s="168"/>
      <c r="P115" s="2"/>
      <c r="U115" s="242"/>
      <c r="V115" s="1058"/>
      <c r="Z115" s="1061"/>
      <c r="AA115" s="2"/>
      <c r="AH115" s="242"/>
      <c r="AI115" s="8"/>
      <c r="AJ115"/>
    </row>
    <row r="116" spans="1:36" x14ac:dyDescent="0.3">
      <c r="A116" s="223" t="s">
        <v>797</v>
      </c>
      <c r="B116" s="224">
        <f>B104+B107+B110+B113</f>
        <v>15</v>
      </c>
      <c r="C116" s="224">
        <f t="shared" si="4"/>
        <v>0</v>
      </c>
      <c r="D116" s="224">
        <f t="shared" si="4"/>
        <v>0</v>
      </c>
      <c r="E116" s="224">
        <f>E104+E107+E110+E113</f>
        <v>11</v>
      </c>
      <c r="F116" s="256">
        <f>B116*3+C116*2+D116</f>
        <v>45</v>
      </c>
      <c r="G116" s="400"/>
      <c r="H116" s="263"/>
      <c r="I116" s="1095"/>
      <c r="J116" s="1095"/>
      <c r="K116" s="1095"/>
      <c r="L116" s="1041"/>
      <c r="O116" s="168"/>
      <c r="P116" s="2"/>
      <c r="U116" s="242"/>
      <c r="V116" s="1058"/>
      <c r="Z116" s="1061"/>
      <c r="AA116" s="2"/>
      <c r="AH116" s="242"/>
      <c r="AI116" s="8"/>
      <c r="AJ116"/>
    </row>
    <row r="117" spans="1:36" ht="15" thickBot="1" x14ac:dyDescent="0.35">
      <c r="A117" s="226" t="s">
        <v>798</v>
      </c>
      <c r="B117" s="227">
        <f>B105+B108+B111+B114</f>
        <v>10</v>
      </c>
      <c r="C117" s="227">
        <f t="shared" si="4"/>
        <v>1</v>
      </c>
      <c r="D117" s="227">
        <f t="shared" si="4"/>
        <v>3</v>
      </c>
      <c r="E117" s="227">
        <f>E105+E108+E111+E114</f>
        <v>12</v>
      </c>
      <c r="F117" s="258">
        <f>B117*3+C117*2+D117</f>
        <v>35</v>
      </c>
      <c r="G117" s="400"/>
      <c r="H117" s="263"/>
      <c r="I117" s="1095"/>
      <c r="J117" s="1095"/>
      <c r="K117" s="1095"/>
      <c r="L117" s="1041"/>
      <c r="O117" s="168"/>
      <c r="P117" s="2"/>
      <c r="U117" s="242"/>
      <c r="V117" s="1058"/>
      <c r="Z117" s="1061"/>
      <c r="AA117" s="2"/>
      <c r="AH117" s="242"/>
      <c r="AI117" s="8"/>
      <c r="AJ117"/>
    </row>
    <row r="118" spans="1:36" x14ac:dyDescent="0.3">
      <c r="M118"/>
    </row>
    <row r="119" spans="1:36" ht="15" thickBot="1" x14ac:dyDescent="0.35"/>
    <row r="120" spans="1:36" ht="15" thickBot="1" x14ac:dyDescent="0.35">
      <c r="C120" s="382" t="s">
        <v>6174</v>
      </c>
      <c r="D120" s="380"/>
      <c r="E120" s="398" t="s">
        <v>5588</v>
      </c>
    </row>
    <row r="121" spans="1:36" x14ac:dyDescent="0.3">
      <c r="C121" s="1048" t="str" cm="1">
        <f t="array" ref="C121:C148">_xlfn.UNIQUE(Zapasy20242025[Výsledek pro LIT])</f>
        <v>4:2</v>
      </c>
      <c r="D121" s="1048"/>
      <c r="E121" s="2">
        <f>COUNTIF(Zapasy20242025[Výsledek pro LIT], C121)</f>
        <v>2</v>
      </c>
    </row>
    <row r="122" spans="1:36" x14ac:dyDescent="0.3">
      <c r="C122" s="2" t="str">
        <v>3:1</v>
      </c>
      <c r="E122" s="2">
        <f>COUNTIF(Zapasy20242025[Výsledek pro LIT], C122)</f>
        <v>1</v>
      </c>
    </row>
    <row r="123" spans="1:36" x14ac:dyDescent="0.3">
      <c r="C123" s="2" t="str">
        <v>3:2</v>
      </c>
      <c r="E123" s="2">
        <f>COUNTIF(Zapasy20242025[Výsledek pro LIT], C123)</f>
        <v>4</v>
      </c>
    </row>
    <row r="124" spans="1:36" x14ac:dyDescent="0.3">
      <c r="C124" s="2" t="str">
        <v>5:2</v>
      </c>
      <c r="E124" s="2">
        <f>COUNTIF(Zapasy20242025[Výsledek pro LIT], C124)</f>
        <v>2</v>
      </c>
    </row>
    <row r="125" spans="1:36" x14ac:dyDescent="0.3">
      <c r="C125" s="2" t="str">
        <v>2:1</v>
      </c>
      <c r="E125" s="2">
        <f>COUNTIF(Zapasy20242025[Výsledek pro LIT], C125)</f>
        <v>2</v>
      </c>
    </row>
    <row r="126" spans="1:36" x14ac:dyDescent="0.3">
      <c r="C126" s="2" t="str">
        <v>5:1</v>
      </c>
      <c r="E126" s="2">
        <f>COUNTIF(Zapasy20242025[Výsledek pro LIT], C126)</f>
        <v>1</v>
      </c>
    </row>
    <row r="127" spans="1:36" x14ac:dyDescent="0.3">
      <c r="C127" s="2" t="str">
        <v>1:3</v>
      </c>
      <c r="E127" s="2">
        <f>COUNTIF(Zapasy20242025[Výsledek pro LIT], C127)</f>
        <v>6</v>
      </c>
      <c r="G127" s="1049" t="s">
        <v>6151</v>
      </c>
      <c r="H127" s="1060"/>
      <c r="I127" s="1037"/>
      <c r="J127" s="1037"/>
      <c r="K127" s="1037"/>
      <c r="L127" s="1037"/>
    </row>
    <row r="128" spans="1:36" x14ac:dyDescent="0.3">
      <c r="C128" s="2" t="str">
        <v>2:3pp</v>
      </c>
      <c r="E128" s="2">
        <f>COUNTIF(Zapasy20242025[Výsledek pro LIT], C128)</f>
        <v>3</v>
      </c>
      <c r="G128" s="1050" t="s">
        <v>161</v>
      </c>
      <c r="H128" s="1058"/>
    </row>
    <row r="129" spans="3:7" x14ac:dyDescent="0.3">
      <c r="C129" s="2" t="str">
        <v>2:4</v>
      </c>
      <c r="E129" s="2">
        <f>COUNTIF(Zapasy20242025[Výsledek pro LIT], C129)</f>
        <v>2</v>
      </c>
      <c r="G129" s="2" t="str">
        <f>MID(G128,3,1)</f>
        <v>3</v>
      </c>
    </row>
    <row r="130" spans="3:7" x14ac:dyDescent="0.3">
      <c r="C130" s="2" t="str">
        <v>1:4</v>
      </c>
      <c r="E130" s="2">
        <f>COUNTIF(Zapasy20242025[Výsledek pro LIT], C130)</f>
        <v>4</v>
      </c>
    </row>
    <row r="131" spans="3:7" x14ac:dyDescent="0.3">
      <c r="C131" s="2" t="str">
        <v>0:2</v>
      </c>
      <c r="E131" s="2">
        <f>COUNTIF(Zapasy20242025[Výsledek pro LIT], C131)</f>
        <v>3</v>
      </c>
    </row>
    <row r="132" spans="3:7" x14ac:dyDescent="0.3">
      <c r="C132" s="2" t="str">
        <v>6:0</v>
      </c>
      <c r="E132" s="2">
        <f>COUNTIF(Zapasy20242025[Výsledek pro LIT], C132)</f>
        <v>1</v>
      </c>
    </row>
    <row r="133" spans="3:7" x14ac:dyDescent="0.3">
      <c r="C133" s="2" t="str">
        <v>4:3</v>
      </c>
      <c r="E133" s="2">
        <f>COUNTIF(Zapasy20242025[Výsledek pro LIT], C133)</f>
        <v>3</v>
      </c>
    </row>
    <row r="134" spans="3:7" x14ac:dyDescent="0.3">
      <c r="C134" s="2" t="str">
        <v>4:1</v>
      </c>
      <c r="E134" s="2">
        <f>COUNTIF(Zapasy20242025[Výsledek pro LIT], C134)</f>
        <v>3</v>
      </c>
    </row>
    <row r="135" spans="3:7" x14ac:dyDescent="0.3">
      <c r="C135" s="2" t="str">
        <v>4:0</v>
      </c>
      <c r="E135" s="2">
        <f>COUNTIF(Zapasy20242025[Výsledek pro LIT], C135)</f>
        <v>1</v>
      </c>
    </row>
    <row r="136" spans="3:7" x14ac:dyDescent="0.3">
      <c r="C136" s="2" t="str">
        <v>0:4</v>
      </c>
      <c r="E136" s="2">
        <f>COUNTIF(Zapasy20242025[Výsledek pro LIT], C136)</f>
        <v>1</v>
      </c>
    </row>
    <row r="137" spans="3:7" x14ac:dyDescent="0.3">
      <c r="C137" s="2" t="str">
        <v>3:0</v>
      </c>
      <c r="E137" s="2">
        <f>COUNTIF(Zapasy20242025[Výsledek pro LIT], C137)</f>
        <v>2</v>
      </c>
    </row>
    <row r="138" spans="3:7" x14ac:dyDescent="0.3">
      <c r="C138" s="2" t="str">
        <v>1:0</v>
      </c>
      <c r="E138" s="2">
        <f>COUNTIF(Zapasy20242025[Výsledek pro LIT], C138)</f>
        <v>3</v>
      </c>
    </row>
    <row r="139" spans="3:7" x14ac:dyDescent="0.3">
      <c r="C139" s="2" t="str">
        <v>4:5</v>
      </c>
      <c r="E139" s="2">
        <f>COUNTIF(Zapasy20242025[Výsledek pro LIT], C139)</f>
        <v>1</v>
      </c>
    </row>
    <row r="140" spans="3:7" x14ac:dyDescent="0.3">
      <c r="C140" s="2" t="str">
        <v>1:2</v>
      </c>
      <c r="E140" s="2">
        <f>COUNTIF(Zapasy20242025[Výsledek pro LIT], C140)</f>
        <v>1</v>
      </c>
    </row>
    <row r="141" spans="3:7" x14ac:dyDescent="0.3">
      <c r="C141" s="2" t="str">
        <v>3:5</v>
      </c>
      <c r="E141" s="2">
        <f>COUNTIF(Zapasy20242025[Výsledek pro LIT], C141)</f>
        <v>1</v>
      </c>
    </row>
    <row r="142" spans="3:7" x14ac:dyDescent="0.3">
      <c r="C142" s="2" t="str">
        <v>2:5</v>
      </c>
      <c r="E142" s="2">
        <f>COUNTIF(Zapasy20242025[Výsledek pro LIT], C142)</f>
        <v>2</v>
      </c>
    </row>
    <row r="143" spans="3:7" x14ac:dyDescent="0.3">
      <c r="C143" s="2" t="str">
        <v>0:3</v>
      </c>
      <c r="E143" s="2">
        <f>COUNTIF(Zapasy20242025[Výsledek pro LIT], C143)</f>
        <v>1</v>
      </c>
    </row>
    <row r="144" spans="3:7" x14ac:dyDescent="0.3">
      <c r="C144" s="2" t="str">
        <v>4:6</v>
      </c>
      <c r="E144" s="2">
        <f>COUNTIF(Zapasy20242025[Výsledek pro LIT], C144)</f>
        <v>1</v>
      </c>
    </row>
    <row r="145" spans="3:5" x14ac:dyDescent="0.3">
      <c r="C145" s="2" t="str">
        <v>1:5</v>
      </c>
      <c r="E145" s="2">
        <f>COUNTIF(Zapasy20242025[Výsledek pro LIT], C145)</f>
        <v>2</v>
      </c>
    </row>
    <row r="146" spans="3:5" x14ac:dyDescent="0.3">
      <c r="C146" s="2" t="str">
        <v>3:2sn</v>
      </c>
      <c r="E146" s="2">
        <f>COUNTIF(Zapasy20242025[Výsledek pro LIT], C146)</f>
        <v>1</v>
      </c>
    </row>
    <row r="147" spans="3:5" x14ac:dyDescent="0.3">
      <c r="C147" s="2" t="str">
        <v>2:1pp</v>
      </c>
      <c r="E147" s="2">
        <f>COUNTIF(Zapasy20242025[Výsledek pro LIT], C147)</f>
        <v>1</v>
      </c>
    </row>
    <row r="148" spans="3:5" x14ac:dyDescent="0.3">
      <c r="C148" s="2" t="str">
        <v>2:3</v>
      </c>
      <c r="E148" s="2">
        <f>COUNTIF(Zapasy20242025[Výsledek pro LIT], C148)</f>
        <v>1</v>
      </c>
    </row>
  </sheetData>
  <mergeCells count="15">
    <mergeCell ref="AB1:AI1"/>
    <mergeCell ref="P1:Q1"/>
    <mergeCell ref="R1:S1"/>
    <mergeCell ref="T1:V1"/>
    <mergeCell ref="W1:AA1"/>
    <mergeCell ref="A101:G101"/>
    <mergeCell ref="B68:C68"/>
    <mergeCell ref="B60:C60"/>
    <mergeCell ref="B61:C61"/>
    <mergeCell ref="B62:C62"/>
    <mergeCell ref="B63:C63"/>
    <mergeCell ref="B64:C64"/>
    <mergeCell ref="B65:C65"/>
    <mergeCell ref="B66:C66"/>
    <mergeCell ref="B67:C67"/>
  </mergeCells>
  <phoneticPr fontId="79" type="noConversion"/>
  <conditionalFormatting sqref="D102">
    <cfRule type="cellIs" dxfId="98" priority="5" operator="equal">
      <formula>"ne"</formula>
    </cfRule>
    <cfRule type="cellIs" dxfId="97" priority="6" operator="equal">
      <formula>"pá"</formula>
    </cfRule>
  </conditionalFormatting>
  <conditionalFormatting sqref="E102">
    <cfRule type="cellIs" dxfId="96" priority="7" operator="equal">
      <formula>"D"</formula>
    </cfRule>
  </conditionalFormatting>
  <conditionalFormatting sqref="E104:E105 E107:E108 E110:E111 E113:E114">
    <cfRule type="cellIs" dxfId="95" priority="1" operator="equal">
      <formula>"ne"</formula>
    </cfRule>
    <cfRule type="cellIs" dxfId="94" priority="2" operator="equal">
      <formula>"pá"</formula>
    </cfRule>
  </conditionalFormatting>
  <conditionalFormatting sqref="F3:F58 D53:D54 D56:D58 F60:F99">
    <cfRule type="cellIs" dxfId="93" priority="3" operator="equal">
      <formula>"D"</formula>
    </cfRule>
  </conditionalFormatting>
  <conditionalFormatting sqref="F104:F105 H104:K105 F107:F108 H107:K108 F110:F111 H110:K111 F113:F117 H113:K117 G118:L126">
    <cfRule type="cellIs" dxfId="92" priority="4" operator="equal">
      <formula>"D"</formula>
    </cfRule>
  </conditionalFormatting>
  <conditionalFormatting sqref="F149:F204">
    <cfRule type="cellIs" dxfId="91" priority="13" operator="equal">
      <formula>"D"</formula>
    </cfRule>
  </conditionalFormatting>
  <conditionalFormatting sqref="G16:L16 G20:L21">
    <cfRule type="cellIs" dxfId="90" priority="16" operator="equal">
      <formula>"D"</formula>
    </cfRule>
  </conditionalFormatting>
  <conditionalFormatting sqref="G129:L148">
    <cfRule type="cellIs" dxfId="89" priority="8" operator="equal">
      <formula>"D"</formula>
    </cfRule>
  </conditionalFormatting>
  <pageMargins left="0.7" right="0.7" top="0.78740157499999996" bottom="0.78740157499999996" header="0.3" footer="0.3"/>
  <pageSetup orientation="portrait" r:id="rId1"/>
  <drawing r:id="rId2"/>
  <legacyDrawing r:id="rId3"/>
  <tableParts count="1">
    <tablePart r:id="rId4"/>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1B460-8260-4AFB-8547-167333E0CABA}">
  <dimension ref="A1:AK84"/>
  <sheetViews>
    <sheetView workbookViewId="0">
      <selection activeCell="L12" sqref="L12"/>
    </sheetView>
  </sheetViews>
  <sheetFormatPr defaultRowHeight="14.4" x14ac:dyDescent="0.3"/>
  <cols>
    <col min="2" max="2" width="28.33203125" customWidth="1"/>
    <col min="14" max="14" width="17" customWidth="1"/>
    <col min="15" max="15" width="18.109375" customWidth="1"/>
    <col min="16" max="16" width="12" customWidth="1"/>
    <col min="19" max="19" width="2.6640625" style="980" customWidth="1"/>
    <col min="21" max="21" width="19.6640625" customWidth="1"/>
    <col min="25" max="25" width="13.88671875" customWidth="1"/>
  </cols>
  <sheetData>
    <row r="1" spans="1:37" x14ac:dyDescent="0.3">
      <c r="A1" s="1153" t="s">
        <v>5975</v>
      </c>
      <c r="B1" s="1153"/>
      <c r="C1" s="1153"/>
      <c r="D1" s="1153"/>
      <c r="E1" s="1153"/>
      <c r="F1" s="1153"/>
      <c r="G1" s="1153"/>
      <c r="H1" s="1153"/>
      <c r="I1" s="1153"/>
      <c r="J1" s="1153"/>
      <c r="K1" s="1153"/>
      <c r="L1" s="1153"/>
      <c r="M1" s="1153"/>
      <c r="N1" s="1153"/>
      <c r="O1" s="1153"/>
      <c r="P1" s="1153"/>
      <c r="Q1" s="1153"/>
      <c r="R1" s="1153"/>
    </row>
    <row r="2" spans="1:37" ht="15" thickBot="1" x14ac:dyDescent="0.35">
      <c r="A2" s="968" t="s">
        <v>4169</v>
      </c>
      <c r="B2" s="969" t="s">
        <v>141</v>
      </c>
      <c r="C2" s="969" t="s">
        <v>140</v>
      </c>
      <c r="D2" s="968" t="s">
        <v>139</v>
      </c>
      <c r="E2" s="968" t="s">
        <v>213</v>
      </c>
      <c r="F2" s="579" t="s">
        <v>4482</v>
      </c>
      <c r="G2" s="579" t="s">
        <v>4051</v>
      </c>
      <c r="H2" s="579" t="s">
        <v>4052</v>
      </c>
      <c r="I2" s="970" t="s">
        <v>743</v>
      </c>
      <c r="J2" s="579" t="s">
        <v>4483</v>
      </c>
      <c r="K2" s="579" t="s">
        <v>4484</v>
      </c>
      <c r="L2" s="579" t="s">
        <v>4485</v>
      </c>
      <c r="M2" s="579" t="s">
        <v>4486</v>
      </c>
      <c r="N2" s="579" t="s">
        <v>4487</v>
      </c>
      <c r="O2" s="579" t="s">
        <v>4488</v>
      </c>
      <c r="P2" s="579" t="s">
        <v>4489</v>
      </c>
      <c r="Q2" s="579" t="s">
        <v>4054</v>
      </c>
      <c r="R2" s="579" t="s">
        <v>4490</v>
      </c>
      <c r="T2" s="968" t="s">
        <v>4169</v>
      </c>
      <c r="U2" s="969" t="s">
        <v>141</v>
      </c>
      <c r="V2" s="969" t="s">
        <v>140</v>
      </c>
      <c r="W2" s="968" t="s">
        <v>139</v>
      </c>
      <c r="X2" s="968" t="s">
        <v>213</v>
      </c>
      <c r="Y2" s="579" t="s">
        <v>4482</v>
      </c>
      <c r="Z2" s="579" t="s">
        <v>4051</v>
      </c>
      <c r="AA2" s="579" t="s">
        <v>4052</v>
      </c>
      <c r="AB2" s="970" t="s">
        <v>743</v>
      </c>
      <c r="AC2" s="579" t="s">
        <v>4483</v>
      </c>
      <c r="AD2" s="579" t="s">
        <v>4484</v>
      </c>
      <c r="AE2" s="579" t="s">
        <v>4485</v>
      </c>
      <c r="AF2" s="579" t="s">
        <v>4486</v>
      </c>
      <c r="AG2" s="579" t="s">
        <v>4487</v>
      </c>
      <c r="AH2" s="579" t="s">
        <v>4488</v>
      </c>
      <c r="AI2" s="579" t="s">
        <v>4489</v>
      </c>
      <c r="AJ2" s="579" t="s">
        <v>4054</v>
      </c>
      <c r="AK2" s="579" t="s">
        <v>4490</v>
      </c>
    </row>
    <row r="3" spans="1:37" ht="40.799999999999997" thickTop="1" thickBot="1" x14ac:dyDescent="0.35">
      <c r="A3" s="971">
        <v>15</v>
      </c>
      <c r="B3" s="835" t="s">
        <v>5963</v>
      </c>
      <c r="C3" s="972" t="s">
        <v>80</v>
      </c>
      <c r="D3" s="971" t="s">
        <v>88</v>
      </c>
      <c r="E3" s="971">
        <v>26</v>
      </c>
      <c r="F3" s="973">
        <v>19.773611111111112</v>
      </c>
      <c r="G3" s="971">
        <v>0</v>
      </c>
      <c r="H3" s="971">
        <v>3</v>
      </c>
      <c r="I3" s="974">
        <v>3</v>
      </c>
      <c r="J3" s="971">
        <v>26</v>
      </c>
      <c r="K3" s="971" t="s">
        <v>78</v>
      </c>
      <c r="L3" s="971">
        <v>0</v>
      </c>
      <c r="M3" s="971">
        <v>0</v>
      </c>
      <c r="N3" s="971">
        <v>0</v>
      </c>
      <c r="O3" s="971">
        <v>0</v>
      </c>
      <c r="P3" s="971">
        <v>11</v>
      </c>
      <c r="Q3" s="971">
        <v>6</v>
      </c>
      <c r="R3" s="975">
        <v>0.76041666666666663</v>
      </c>
      <c r="T3" s="806">
        <v>14</v>
      </c>
      <c r="U3" s="614" t="s">
        <v>5963</v>
      </c>
      <c r="V3" s="807" t="s">
        <v>80</v>
      </c>
      <c r="W3" s="806" t="s">
        <v>88</v>
      </c>
      <c r="X3" s="806">
        <v>43</v>
      </c>
      <c r="Y3" s="808">
        <v>33.048611111111114</v>
      </c>
      <c r="Z3" s="806">
        <v>2</v>
      </c>
      <c r="AA3" s="806">
        <v>5</v>
      </c>
      <c r="AB3" s="809">
        <v>7</v>
      </c>
      <c r="AC3" s="806">
        <v>43</v>
      </c>
      <c r="AD3" s="956">
        <v>23833</v>
      </c>
      <c r="AE3" s="806">
        <v>0</v>
      </c>
      <c r="AF3" s="806">
        <v>0</v>
      </c>
      <c r="AG3" s="806">
        <v>1</v>
      </c>
      <c r="AH3" s="806">
        <v>0</v>
      </c>
      <c r="AI3" s="806">
        <v>11</v>
      </c>
      <c r="AJ3" s="806">
        <v>16</v>
      </c>
      <c r="AK3" s="810">
        <v>0.7680555555555556</v>
      </c>
    </row>
    <row r="4" spans="1:37" ht="40.200000000000003" thickBot="1" x14ac:dyDescent="0.35">
      <c r="A4" s="619">
        <v>1</v>
      </c>
      <c r="B4" s="620" t="s">
        <v>5368</v>
      </c>
      <c r="C4" s="621" t="s">
        <v>80</v>
      </c>
      <c r="D4" s="619" t="s">
        <v>79</v>
      </c>
      <c r="E4" s="619">
        <v>26</v>
      </c>
      <c r="F4" s="622">
        <v>24.006944444444443</v>
      </c>
      <c r="G4" s="619">
        <v>10</v>
      </c>
      <c r="H4" s="619">
        <v>15</v>
      </c>
      <c r="I4" s="623">
        <v>25</v>
      </c>
      <c r="J4" s="619">
        <v>70</v>
      </c>
      <c r="K4" s="619" t="s">
        <v>215</v>
      </c>
      <c r="L4" s="619">
        <v>4</v>
      </c>
      <c r="M4" s="619">
        <v>9</v>
      </c>
      <c r="N4" s="619">
        <v>1</v>
      </c>
      <c r="O4" s="619">
        <v>3</v>
      </c>
      <c r="P4" s="619">
        <v>7</v>
      </c>
      <c r="Q4" s="619">
        <v>14</v>
      </c>
      <c r="R4" s="624">
        <v>0.92291666666666672</v>
      </c>
      <c r="T4" s="811">
        <v>2</v>
      </c>
      <c r="U4" s="620" t="s">
        <v>5368</v>
      </c>
      <c r="V4" s="812" t="s">
        <v>80</v>
      </c>
      <c r="W4" s="811" t="s">
        <v>79</v>
      </c>
      <c r="X4" s="811">
        <v>44</v>
      </c>
      <c r="Y4" s="813">
        <v>38.848611111111111</v>
      </c>
      <c r="Z4" s="811">
        <v>13</v>
      </c>
      <c r="AA4" s="811">
        <v>26</v>
      </c>
      <c r="AB4" s="814">
        <v>39</v>
      </c>
      <c r="AC4" s="811">
        <v>129</v>
      </c>
      <c r="AD4" s="840">
        <v>45879</v>
      </c>
      <c r="AE4" s="811">
        <v>4</v>
      </c>
      <c r="AF4" s="811">
        <v>16</v>
      </c>
      <c r="AG4" s="811">
        <v>2</v>
      </c>
      <c r="AH4" s="811">
        <v>4</v>
      </c>
      <c r="AI4" s="811">
        <v>-11</v>
      </c>
      <c r="AJ4" s="811">
        <v>20</v>
      </c>
      <c r="AK4" s="816">
        <v>0.88263888888888886</v>
      </c>
    </row>
    <row r="5" spans="1:37" ht="40.200000000000003" thickBot="1" x14ac:dyDescent="0.35">
      <c r="A5" s="619">
        <v>13</v>
      </c>
      <c r="B5" s="620" t="s">
        <v>4039</v>
      </c>
      <c r="C5" s="621" t="s">
        <v>80</v>
      </c>
      <c r="D5" s="619" t="s">
        <v>88</v>
      </c>
      <c r="E5" s="619">
        <v>26</v>
      </c>
      <c r="F5" s="622">
        <v>17.647916666666667</v>
      </c>
      <c r="G5" s="619">
        <v>2</v>
      </c>
      <c r="H5" s="619">
        <v>3</v>
      </c>
      <c r="I5" s="623">
        <v>5</v>
      </c>
      <c r="J5" s="619">
        <v>19</v>
      </c>
      <c r="K5" s="625">
        <v>19633</v>
      </c>
      <c r="L5" s="619">
        <v>0</v>
      </c>
      <c r="M5" s="619">
        <v>0</v>
      </c>
      <c r="N5" s="619">
        <v>0</v>
      </c>
      <c r="O5" s="619">
        <v>0</v>
      </c>
      <c r="P5" s="619">
        <v>8</v>
      </c>
      <c r="Q5" s="619">
        <v>14</v>
      </c>
      <c r="R5" s="624">
        <v>0.67847222222222225</v>
      </c>
      <c r="T5" s="811">
        <v>13</v>
      </c>
      <c r="U5" s="620" t="s">
        <v>4039</v>
      </c>
      <c r="V5" s="812" t="s">
        <v>80</v>
      </c>
      <c r="W5" s="811" t="s">
        <v>88</v>
      </c>
      <c r="X5" s="811">
        <v>52</v>
      </c>
      <c r="Y5" s="813">
        <v>35.266666666666666</v>
      </c>
      <c r="Z5" s="811">
        <v>4</v>
      </c>
      <c r="AA5" s="811">
        <v>3</v>
      </c>
      <c r="AB5" s="814">
        <v>7</v>
      </c>
      <c r="AC5" s="811">
        <v>50</v>
      </c>
      <c r="AD5" s="811" t="s">
        <v>2651</v>
      </c>
      <c r="AE5" s="811">
        <v>0</v>
      </c>
      <c r="AF5" s="811">
        <v>0</v>
      </c>
      <c r="AG5" s="811">
        <v>1</v>
      </c>
      <c r="AH5" s="811">
        <v>0</v>
      </c>
      <c r="AI5" s="811">
        <v>3</v>
      </c>
      <c r="AJ5" s="811">
        <v>26</v>
      </c>
      <c r="AK5" s="816">
        <v>0.67777777777777781</v>
      </c>
    </row>
    <row r="6" spans="1:37" ht="40.200000000000003" thickBot="1" x14ac:dyDescent="0.35">
      <c r="A6" s="619">
        <v>28</v>
      </c>
      <c r="B6" s="620" t="s">
        <v>5971</v>
      </c>
      <c r="C6" s="621" t="s">
        <v>80</v>
      </c>
      <c r="D6" s="619" t="s">
        <v>79</v>
      </c>
      <c r="E6" s="619">
        <v>3</v>
      </c>
      <c r="F6" s="624">
        <v>0.35555555555555557</v>
      </c>
      <c r="G6" s="619">
        <v>0</v>
      </c>
      <c r="H6" s="619">
        <v>0</v>
      </c>
      <c r="I6" s="623">
        <v>0</v>
      </c>
      <c r="J6" s="619">
        <v>0</v>
      </c>
      <c r="K6" s="619" t="s">
        <v>78</v>
      </c>
      <c r="L6" s="619">
        <v>0</v>
      </c>
      <c r="M6" s="619">
        <v>0</v>
      </c>
      <c r="N6" s="619">
        <v>0</v>
      </c>
      <c r="O6" s="619">
        <v>0</v>
      </c>
      <c r="P6" s="619">
        <v>1</v>
      </c>
      <c r="Q6" s="619">
        <v>2</v>
      </c>
      <c r="R6" s="624">
        <v>0.11805555555555555</v>
      </c>
      <c r="T6" s="811">
        <v>35</v>
      </c>
      <c r="U6" s="620" t="s">
        <v>5971</v>
      </c>
      <c r="V6" s="812" t="s">
        <v>80</v>
      </c>
      <c r="W6" s="811" t="s">
        <v>79</v>
      </c>
      <c r="X6" s="811">
        <v>6</v>
      </c>
      <c r="Y6" s="816">
        <v>0.9145833333333333</v>
      </c>
      <c r="Z6" s="811">
        <v>0</v>
      </c>
      <c r="AA6" s="811">
        <v>0</v>
      </c>
      <c r="AB6" s="814">
        <v>0</v>
      </c>
      <c r="AC6" s="811">
        <v>0</v>
      </c>
      <c r="AD6" s="811" t="s">
        <v>78</v>
      </c>
      <c r="AE6" s="811">
        <v>0</v>
      </c>
      <c r="AF6" s="811">
        <v>0</v>
      </c>
      <c r="AG6" s="811">
        <v>0</v>
      </c>
      <c r="AH6" s="811">
        <v>0</v>
      </c>
      <c r="AI6" s="811">
        <v>1</v>
      </c>
      <c r="AJ6" s="811">
        <v>2</v>
      </c>
      <c r="AK6" s="816">
        <v>0.15208333333333332</v>
      </c>
    </row>
    <row r="7" spans="1:37" ht="40.200000000000003" thickBot="1" x14ac:dyDescent="0.35">
      <c r="A7" s="619">
        <v>5</v>
      </c>
      <c r="B7" s="620" t="s">
        <v>5958</v>
      </c>
      <c r="C7" s="621" t="s">
        <v>80</v>
      </c>
      <c r="D7" s="619" t="s">
        <v>79</v>
      </c>
      <c r="E7" s="619">
        <v>26</v>
      </c>
      <c r="F7" s="622">
        <v>21.740972222222222</v>
      </c>
      <c r="G7" s="619">
        <v>5</v>
      </c>
      <c r="H7" s="619">
        <v>12</v>
      </c>
      <c r="I7" s="623">
        <v>17</v>
      </c>
      <c r="J7" s="619">
        <v>56</v>
      </c>
      <c r="K7" s="625">
        <v>34182</v>
      </c>
      <c r="L7" s="619">
        <v>2</v>
      </c>
      <c r="M7" s="619">
        <v>4</v>
      </c>
      <c r="N7" s="619">
        <v>0</v>
      </c>
      <c r="O7" s="619">
        <v>1</v>
      </c>
      <c r="P7" s="619">
        <v>7</v>
      </c>
      <c r="Q7" s="619">
        <v>8</v>
      </c>
      <c r="R7" s="624">
        <v>0.83611111111111114</v>
      </c>
      <c r="T7" s="811">
        <v>4</v>
      </c>
      <c r="U7" s="620" t="s">
        <v>5958</v>
      </c>
      <c r="V7" s="812" t="s">
        <v>80</v>
      </c>
      <c r="W7" s="811" t="s">
        <v>79</v>
      </c>
      <c r="X7" s="811">
        <v>52</v>
      </c>
      <c r="Y7" s="813">
        <v>43.552083333333336</v>
      </c>
      <c r="Z7" s="811">
        <v>9</v>
      </c>
      <c r="AA7" s="811">
        <v>21</v>
      </c>
      <c r="AB7" s="814">
        <v>30</v>
      </c>
      <c r="AC7" s="811">
        <v>117</v>
      </c>
      <c r="AD7" s="815">
        <v>25385</v>
      </c>
      <c r="AE7" s="811">
        <v>3</v>
      </c>
      <c r="AF7" s="811">
        <v>8</v>
      </c>
      <c r="AG7" s="811">
        <v>0</v>
      </c>
      <c r="AH7" s="811">
        <v>3</v>
      </c>
      <c r="AI7" s="811">
        <v>-2</v>
      </c>
      <c r="AJ7" s="811">
        <v>14</v>
      </c>
      <c r="AK7" s="816">
        <v>0.83750000000000002</v>
      </c>
    </row>
    <row r="8" spans="1:37" ht="40.200000000000003" thickBot="1" x14ac:dyDescent="0.35">
      <c r="A8" s="619">
        <v>33</v>
      </c>
      <c r="B8" s="620" t="s">
        <v>5974</v>
      </c>
      <c r="C8" s="621" t="s">
        <v>80</v>
      </c>
      <c r="D8" s="619" t="s">
        <v>88</v>
      </c>
      <c r="E8" s="619">
        <v>19</v>
      </c>
      <c r="F8" s="622">
        <v>8.3027777777777771</v>
      </c>
      <c r="G8" s="619">
        <v>0</v>
      </c>
      <c r="H8" s="619">
        <v>0</v>
      </c>
      <c r="I8" s="623">
        <v>0</v>
      </c>
      <c r="J8" s="619">
        <v>13</v>
      </c>
      <c r="K8" s="619" t="s">
        <v>78</v>
      </c>
      <c r="L8" s="619">
        <v>0</v>
      </c>
      <c r="M8" s="619">
        <v>0</v>
      </c>
      <c r="N8" s="619">
        <v>0</v>
      </c>
      <c r="O8" s="619">
        <v>0</v>
      </c>
      <c r="P8" s="619">
        <v>-3</v>
      </c>
      <c r="Q8" s="619">
        <v>4</v>
      </c>
      <c r="R8" s="624">
        <v>0.43680555555555556</v>
      </c>
      <c r="T8" s="811">
        <v>16</v>
      </c>
      <c r="U8" s="620" t="s">
        <v>5974</v>
      </c>
      <c r="V8" s="812" t="s">
        <v>80</v>
      </c>
      <c r="W8" s="811" t="s">
        <v>88</v>
      </c>
      <c r="X8" s="811">
        <v>45</v>
      </c>
      <c r="Y8" s="813">
        <v>24.502777777777776</v>
      </c>
      <c r="Z8" s="811">
        <v>2</v>
      </c>
      <c r="AA8" s="811">
        <v>3</v>
      </c>
      <c r="AB8" s="814">
        <v>5</v>
      </c>
      <c r="AC8" s="811">
        <v>47</v>
      </c>
      <c r="AD8" s="815">
        <v>46113</v>
      </c>
      <c r="AE8" s="811">
        <v>0</v>
      </c>
      <c r="AF8" s="811">
        <v>0</v>
      </c>
      <c r="AG8" s="811">
        <v>0</v>
      </c>
      <c r="AH8" s="811">
        <v>0</v>
      </c>
      <c r="AI8" s="811">
        <v>-9</v>
      </c>
      <c r="AJ8" s="811">
        <v>18</v>
      </c>
      <c r="AK8" s="816">
        <v>0.5444444444444444</v>
      </c>
    </row>
    <row r="9" spans="1:37" ht="40.200000000000003" thickBot="1" x14ac:dyDescent="0.35">
      <c r="A9" s="619">
        <v>6</v>
      </c>
      <c r="B9" s="620" t="s">
        <v>5959</v>
      </c>
      <c r="C9" s="621" t="s">
        <v>80</v>
      </c>
      <c r="D9" s="619" t="s">
        <v>88</v>
      </c>
      <c r="E9" s="619">
        <v>26</v>
      </c>
      <c r="F9" s="622">
        <v>20.215277777777779</v>
      </c>
      <c r="G9" s="619">
        <v>4</v>
      </c>
      <c r="H9" s="619">
        <v>11</v>
      </c>
      <c r="I9" s="623">
        <v>15</v>
      </c>
      <c r="J9" s="619">
        <v>37</v>
      </c>
      <c r="K9" s="625">
        <v>29860</v>
      </c>
      <c r="L9" s="619">
        <v>2</v>
      </c>
      <c r="M9" s="619">
        <v>8</v>
      </c>
      <c r="N9" s="619">
        <v>0</v>
      </c>
      <c r="O9" s="619">
        <v>1</v>
      </c>
      <c r="P9" s="619">
        <v>8</v>
      </c>
      <c r="Q9" s="619">
        <v>22</v>
      </c>
      <c r="R9" s="624">
        <v>0.77708333333333335</v>
      </c>
      <c r="T9" s="811">
        <v>7</v>
      </c>
      <c r="U9" s="620" t="s">
        <v>5959</v>
      </c>
      <c r="V9" s="812" t="s">
        <v>80</v>
      </c>
      <c r="W9" s="811" t="s">
        <v>88</v>
      </c>
      <c r="X9" s="811">
        <v>43</v>
      </c>
      <c r="Y9" s="813">
        <v>32.168750000000003</v>
      </c>
      <c r="Z9" s="811">
        <v>5</v>
      </c>
      <c r="AA9" s="811">
        <v>14</v>
      </c>
      <c r="AB9" s="814">
        <v>19</v>
      </c>
      <c r="AC9" s="811">
        <v>57</v>
      </c>
      <c r="AD9" s="815">
        <v>28338</v>
      </c>
      <c r="AE9" s="811">
        <v>2</v>
      </c>
      <c r="AF9" s="811">
        <v>10</v>
      </c>
      <c r="AG9" s="811">
        <v>0</v>
      </c>
      <c r="AH9" s="811">
        <v>1</v>
      </c>
      <c r="AI9" s="811">
        <v>-2</v>
      </c>
      <c r="AJ9" s="811">
        <v>30</v>
      </c>
      <c r="AK9" s="816">
        <v>0.74791666666666667</v>
      </c>
    </row>
    <row r="10" spans="1:37" ht="40.200000000000003" thickBot="1" x14ac:dyDescent="0.35">
      <c r="A10" s="619">
        <v>20</v>
      </c>
      <c r="B10" s="620" t="s">
        <v>5966</v>
      </c>
      <c r="C10" s="621" t="s">
        <v>80</v>
      </c>
      <c r="D10" s="619" t="s">
        <v>79</v>
      </c>
      <c r="E10" s="619">
        <v>4</v>
      </c>
      <c r="F10" s="622">
        <v>1.4819444444444445</v>
      </c>
      <c r="G10" s="619">
        <v>0</v>
      </c>
      <c r="H10" s="619">
        <v>1</v>
      </c>
      <c r="I10" s="623">
        <v>1</v>
      </c>
      <c r="J10" s="619">
        <v>3</v>
      </c>
      <c r="K10" s="619" t="s">
        <v>78</v>
      </c>
      <c r="L10" s="619">
        <v>0</v>
      </c>
      <c r="M10" s="619">
        <v>0</v>
      </c>
      <c r="N10" s="619">
        <v>0</v>
      </c>
      <c r="O10" s="619">
        <v>0</v>
      </c>
      <c r="P10" s="619">
        <v>2</v>
      </c>
      <c r="Q10" s="619">
        <v>2</v>
      </c>
      <c r="R10" s="624">
        <v>0.37013888888888891</v>
      </c>
      <c r="T10" s="619">
        <v>20</v>
      </c>
      <c r="U10" s="620" t="s">
        <v>5966</v>
      </c>
      <c r="V10" s="621" t="s">
        <v>80</v>
      </c>
      <c r="W10" s="619" t="s">
        <v>79</v>
      </c>
      <c r="X10" s="619">
        <v>4</v>
      </c>
      <c r="Y10" s="622">
        <v>1.4819444444444445</v>
      </c>
      <c r="Z10" s="619">
        <v>0</v>
      </c>
      <c r="AA10" s="619">
        <v>1</v>
      </c>
      <c r="AB10" s="623">
        <v>1</v>
      </c>
      <c r="AC10" s="619">
        <v>3</v>
      </c>
      <c r="AD10" s="619" t="s">
        <v>78</v>
      </c>
      <c r="AE10" s="619">
        <v>0</v>
      </c>
      <c r="AF10" s="619">
        <v>0</v>
      </c>
      <c r="AG10" s="619">
        <v>0</v>
      </c>
      <c r="AH10" s="619">
        <v>0</v>
      </c>
      <c r="AI10" s="619">
        <v>2</v>
      </c>
      <c r="AJ10" s="619">
        <v>2</v>
      </c>
      <c r="AK10" s="624">
        <v>0.37013888888888891</v>
      </c>
    </row>
    <row r="11" spans="1:37" ht="40.200000000000003" thickBot="1" x14ac:dyDescent="0.35">
      <c r="A11" s="619">
        <v>12</v>
      </c>
      <c r="B11" s="620" t="s">
        <v>82</v>
      </c>
      <c r="C11" s="621" t="s">
        <v>80</v>
      </c>
      <c r="D11" s="619" t="s">
        <v>79</v>
      </c>
      <c r="E11" s="619">
        <v>25</v>
      </c>
      <c r="F11" s="622">
        <v>12.036111111111111</v>
      </c>
      <c r="G11" s="619">
        <v>2</v>
      </c>
      <c r="H11" s="619">
        <v>3</v>
      </c>
      <c r="I11" s="623">
        <v>5</v>
      </c>
      <c r="J11" s="619">
        <v>20</v>
      </c>
      <c r="K11" s="619" t="s">
        <v>121</v>
      </c>
      <c r="L11" s="619">
        <v>0</v>
      </c>
      <c r="M11" s="619">
        <v>0</v>
      </c>
      <c r="N11" s="619">
        <v>0</v>
      </c>
      <c r="O11" s="619">
        <v>0</v>
      </c>
      <c r="P11" s="619">
        <v>-1</v>
      </c>
      <c r="Q11" s="619">
        <v>2</v>
      </c>
      <c r="R11" s="624">
        <v>0.48125000000000001</v>
      </c>
      <c r="T11" s="811">
        <v>11</v>
      </c>
      <c r="U11" s="620" t="s">
        <v>82</v>
      </c>
      <c r="V11" s="812" t="s">
        <v>80</v>
      </c>
      <c r="W11" s="811" t="s">
        <v>79</v>
      </c>
      <c r="X11" s="811">
        <v>51</v>
      </c>
      <c r="Y11" s="813">
        <v>25.897222222222222</v>
      </c>
      <c r="Z11" s="811">
        <v>5</v>
      </c>
      <c r="AA11" s="811">
        <v>5</v>
      </c>
      <c r="AB11" s="814">
        <v>10</v>
      </c>
      <c r="AC11" s="811">
        <v>43</v>
      </c>
      <c r="AD11" s="815">
        <v>23316</v>
      </c>
      <c r="AE11" s="811">
        <v>0</v>
      </c>
      <c r="AF11" s="811">
        <v>0</v>
      </c>
      <c r="AG11" s="811">
        <v>0</v>
      </c>
      <c r="AH11" s="811">
        <v>0</v>
      </c>
      <c r="AI11" s="811">
        <v>-5</v>
      </c>
      <c r="AJ11" s="811">
        <v>4</v>
      </c>
      <c r="AK11" s="816">
        <v>0.50763888888888886</v>
      </c>
    </row>
    <row r="12" spans="1:37" ht="40.200000000000003" thickBot="1" x14ac:dyDescent="0.35">
      <c r="A12" s="619">
        <v>11</v>
      </c>
      <c r="B12" s="620" t="s">
        <v>5373</v>
      </c>
      <c r="C12" s="621" t="s">
        <v>80</v>
      </c>
      <c r="D12" s="619" t="s">
        <v>88</v>
      </c>
      <c r="E12" s="619">
        <v>23</v>
      </c>
      <c r="F12" s="622">
        <v>16.201388888888889</v>
      </c>
      <c r="G12" s="619">
        <v>3</v>
      </c>
      <c r="H12" s="619">
        <v>5</v>
      </c>
      <c r="I12" s="623">
        <v>8</v>
      </c>
      <c r="J12" s="619">
        <v>27</v>
      </c>
      <c r="K12" s="639">
        <v>45607</v>
      </c>
      <c r="L12" s="619">
        <v>0</v>
      </c>
      <c r="M12" s="619">
        <v>0</v>
      </c>
      <c r="N12" s="619">
        <v>0</v>
      </c>
      <c r="O12" s="619">
        <v>1</v>
      </c>
      <c r="P12" s="619">
        <v>5</v>
      </c>
      <c r="Q12" s="619">
        <v>10</v>
      </c>
      <c r="R12" s="624">
        <v>0.70416666666666672</v>
      </c>
      <c r="T12" s="811">
        <v>12</v>
      </c>
      <c r="U12" s="620" t="s">
        <v>5373</v>
      </c>
      <c r="V12" s="812" t="s">
        <v>80</v>
      </c>
      <c r="W12" s="811" t="s">
        <v>88</v>
      </c>
      <c r="X12" s="811">
        <v>43</v>
      </c>
      <c r="Y12" s="813">
        <v>31.00138888888889</v>
      </c>
      <c r="Z12" s="811">
        <v>3</v>
      </c>
      <c r="AA12" s="811">
        <v>5</v>
      </c>
      <c r="AB12" s="814">
        <v>8</v>
      </c>
      <c r="AC12" s="811">
        <v>48</v>
      </c>
      <c r="AD12" s="815">
        <v>45809</v>
      </c>
      <c r="AE12" s="811">
        <v>0</v>
      </c>
      <c r="AF12" s="811">
        <v>0</v>
      </c>
      <c r="AG12" s="811">
        <v>0</v>
      </c>
      <c r="AH12" s="811">
        <v>1</v>
      </c>
      <c r="AI12" s="811">
        <v>1</v>
      </c>
      <c r="AJ12" s="811">
        <v>18</v>
      </c>
      <c r="AK12" s="816">
        <v>0.72083333333333333</v>
      </c>
    </row>
    <row r="13" spans="1:37" ht="40.200000000000003" thickBot="1" x14ac:dyDescent="0.35">
      <c r="A13" s="619">
        <v>8</v>
      </c>
      <c r="B13" s="620" t="s">
        <v>5074</v>
      </c>
      <c r="C13" s="621" t="s">
        <v>80</v>
      </c>
      <c r="D13" s="619" t="s">
        <v>88</v>
      </c>
      <c r="E13" s="619">
        <v>26</v>
      </c>
      <c r="F13" s="622">
        <v>21.884027777777778</v>
      </c>
      <c r="G13" s="619">
        <v>1</v>
      </c>
      <c r="H13" s="619">
        <v>9</v>
      </c>
      <c r="I13" s="623">
        <v>10</v>
      </c>
      <c r="J13" s="619">
        <v>33</v>
      </c>
      <c r="K13" s="639">
        <v>45354</v>
      </c>
      <c r="L13" s="619">
        <v>0</v>
      </c>
      <c r="M13" s="619">
        <v>3</v>
      </c>
      <c r="N13" s="619">
        <v>0</v>
      </c>
      <c r="O13" s="619">
        <v>0</v>
      </c>
      <c r="P13" s="619">
        <v>1</v>
      </c>
      <c r="Q13" s="619">
        <v>8</v>
      </c>
      <c r="R13" s="624">
        <v>0.84166666666666667</v>
      </c>
      <c r="T13" s="811">
        <v>8</v>
      </c>
      <c r="U13" s="620" t="s">
        <v>5074</v>
      </c>
      <c r="V13" s="812" t="s">
        <v>80</v>
      </c>
      <c r="W13" s="811" t="s">
        <v>88</v>
      </c>
      <c r="X13" s="811">
        <v>50</v>
      </c>
      <c r="Y13" s="813">
        <v>41.84375</v>
      </c>
      <c r="Z13" s="811">
        <v>3</v>
      </c>
      <c r="AA13" s="811">
        <v>13</v>
      </c>
      <c r="AB13" s="814">
        <v>16</v>
      </c>
      <c r="AC13" s="811">
        <v>68</v>
      </c>
      <c r="AD13" s="815">
        <v>15067</v>
      </c>
      <c r="AE13" s="811">
        <v>0</v>
      </c>
      <c r="AF13" s="811">
        <v>4</v>
      </c>
      <c r="AG13" s="811">
        <v>0</v>
      </c>
      <c r="AH13" s="811">
        <v>0</v>
      </c>
      <c r="AI13" s="811">
        <v>-6</v>
      </c>
      <c r="AJ13" s="811">
        <v>45</v>
      </c>
      <c r="AK13" s="816">
        <v>0.83680555555555558</v>
      </c>
    </row>
    <row r="14" spans="1:37" ht="40.200000000000003" thickBot="1" x14ac:dyDescent="0.35">
      <c r="A14" s="619">
        <v>32</v>
      </c>
      <c r="B14" s="620" t="s">
        <v>5973</v>
      </c>
      <c r="C14" s="621" t="s">
        <v>80</v>
      </c>
      <c r="D14" s="619" t="s">
        <v>79</v>
      </c>
      <c r="E14" s="619">
        <v>7</v>
      </c>
      <c r="F14" s="622">
        <v>1.8326388888888889</v>
      </c>
      <c r="G14" s="619">
        <v>0</v>
      </c>
      <c r="H14" s="619">
        <v>0</v>
      </c>
      <c r="I14" s="623">
        <v>0</v>
      </c>
      <c r="J14" s="619">
        <v>4</v>
      </c>
      <c r="K14" s="619" t="s">
        <v>78</v>
      </c>
      <c r="L14" s="619">
        <v>0</v>
      </c>
      <c r="M14" s="619">
        <v>0</v>
      </c>
      <c r="N14" s="619">
        <v>0</v>
      </c>
      <c r="O14" s="619">
        <v>0</v>
      </c>
      <c r="P14" s="619">
        <v>-2</v>
      </c>
      <c r="Q14" s="619">
        <v>2</v>
      </c>
      <c r="R14" s="624">
        <v>0.26180555555555557</v>
      </c>
      <c r="T14" s="811">
        <v>36</v>
      </c>
      <c r="U14" s="620" t="s">
        <v>5973</v>
      </c>
      <c r="V14" s="812" t="s">
        <v>80</v>
      </c>
      <c r="W14" s="811" t="s">
        <v>79</v>
      </c>
      <c r="X14" s="811">
        <v>7</v>
      </c>
      <c r="Y14" s="813">
        <v>1.8326388888888889</v>
      </c>
      <c r="Z14" s="811">
        <v>0</v>
      </c>
      <c r="AA14" s="811">
        <v>0</v>
      </c>
      <c r="AB14" s="814">
        <v>0</v>
      </c>
      <c r="AC14" s="811">
        <v>4</v>
      </c>
      <c r="AD14" s="811" t="s">
        <v>78</v>
      </c>
      <c r="AE14" s="811">
        <v>0</v>
      </c>
      <c r="AF14" s="811">
        <v>0</v>
      </c>
      <c r="AG14" s="811">
        <v>0</v>
      </c>
      <c r="AH14" s="811">
        <v>0</v>
      </c>
      <c r="AI14" s="811">
        <v>-2</v>
      </c>
      <c r="AJ14" s="811">
        <v>2</v>
      </c>
      <c r="AK14" s="816">
        <v>0.26180555555555557</v>
      </c>
    </row>
    <row r="15" spans="1:37" ht="40.200000000000003" thickBot="1" x14ac:dyDescent="0.35">
      <c r="A15" s="619">
        <v>17</v>
      </c>
      <c r="B15" s="620" t="s">
        <v>105</v>
      </c>
      <c r="C15" s="621" t="s">
        <v>80</v>
      </c>
      <c r="D15" s="619" t="s">
        <v>88</v>
      </c>
      <c r="E15" s="619">
        <v>19</v>
      </c>
      <c r="F15" s="622">
        <v>12.329861111111111</v>
      </c>
      <c r="G15" s="619">
        <v>0</v>
      </c>
      <c r="H15" s="619">
        <v>2</v>
      </c>
      <c r="I15" s="623">
        <v>2</v>
      </c>
      <c r="J15" s="619">
        <v>28</v>
      </c>
      <c r="K15" s="619" t="s">
        <v>78</v>
      </c>
      <c r="L15" s="619">
        <v>0</v>
      </c>
      <c r="M15" s="619">
        <v>1</v>
      </c>
      <c r="N15" s="619">
        <v>0</v>
      </c>
      <c r="O15" s="619">
        <v>0</v>
      </c>
      <c r="P15" s="619">
        <v>-2</v>
      </c>
      <c r="Q15" s="619">
        <v>13</v>
      </c>
      <c r="R15" s="624">
        <v>0.64861111111111114</v>
      </c>
      <c r="T15" s="811">
        <v>19</v>
      </c>
      <c r="U15" s="620" t="s">
        <v>105</v>
      </c>
      <c r="V15" s="812" t="s">
        <v>80</v>
      </c>
      <c r="W15" s="811" t="s">
        <v>88</v>
      </c>
      <c r="X15" s="811">
        <v>41</v>
      </c>
      <c r="Y15" s="813">
        <v>29.576388888888889</v>
      </c>
      <c r="Z15" s="811">
        <v>1</v>
      </c>
      <c r="AA15" s="811">
        <v>2</v>
      </c>
      <c r="AB15" s="814">
        <v>3</v>
      </c>
      <c r="AC15" s="811">
        <v>59</v>
      </c>
      <c r="AD15" s="815">
        <v>25204</v>
      </c>
      <c r="AE15" s="811">
        <v>0</v>
      </c>
      <c r="AF15" s="811">
        <v>1</v>
      </c>
      <c r="AG15" s="811">
        <v>0</v>
      </c>
      <c r="AH15" s="811">
        <v>0</v>
      </c>
      <c r="AI15" s="811">
        <v>-7</v>
      </c>
      <c r="AJ15" s="811">
        <v>37</v>
      </c>
      <c r="AK15" s="816">
        <v>0.72083333333333333</v>
      </c>
    </row>
    <row r="16" spans="1:37" ht="40.200000000000003" thickBot="1" x14ac:dyDescent="0.35">
      <c r="A16" s="619">
        <v>29</v>
      </c>
      <c r="B16" s="620" t="s">
        <v>1227</v>
      </c>
      <c r="C16" s="621" t="s">
        <v>80</v>
      </c>
      <c r="D16" s="619" t="s">
        <v>79</v>
      </c>
      <c r="E16" s="619">
        <v>3</v>
      </c>
      <c r="F16" s="624">
        <v>0.58402777777777781</v>
      </c>
      <c r="G16" s="619">
        <v>0</v>
      </c>
      <c r="H16" s="619">
        <v>0</v>
      </c>
      <c r="I16" s="623">
        <v>0</v>
      </c>
      <c r="J16" s="619">
        <v>1</v>
      </c>
      <c r="K16" s="619" t="s">
        <v>78</v>
      </c>
      <c r="L16" s="619">
        <v>0</v>
      </c>
      <c r="M16" s="619">
        <v>0</v>
      </c>
      <c r="N16" s="619">
        <v>0</v>
      </c>
      <c r="O16" s="619">
        <v>0</v>
      </c>
      <c r="P16" s="619">
        <v>-1</v>
      </c>
      <c r="Q16" s="619">
        <v>2</v>
      </c>
      <c r="R16" s="624">
        <v>0.19444444444444445</v>
      </c>
      <c r="T16" s="811">
        <v>34</v>
      </c>
      <c r="U16" s="620" t="s">
        <v>1227</v>
      </c>
      <c r="V16" s="812" t="s">
        <v>80</v>
      </c>
      <c r="W16" s="811" t="s">
        <v>79</v>
      </c>
      <c r="X16" s="811">
        <v>3</v>
      </c>
      <c r="Y16" s="816">
        <v>0.58402777777777781</v>
      </c>
      <c r="Z16" s="811">
        <v>0</v>
      </c>
      <c r="AA16" s="811">
        <v>0</v>
      </c>
      <c r="AB16" s="814">
        <v>0</v>
      </c>
      <c r="AC16" s="811">
        <v>1</v>
      </c>
      <c r="AD16" s="811" t="s">
        <v>78</v>
      </c>
      <c r="AE16" s="811">
        <v>0</v>
      </c>
      <c r="AF16" s="811">
        <v>0</v>
      </c>
      <c r="AG16" s="811">
        <v>0</v>
      </c>
      <c r="AH16" s="811">
        <v>0</v>
      </c>
      <c r="AI16" s="811">
        <v>-1</v>
      </c>
      <c r="AJ16" s="811">
        <v>2</v>
      </c>
      <c r="AK16" s="816">
        <v>0.19444444444444445</v>
      </c>
    </row>
    <row r="17" spans="1:37" ht="40.200000000000003" thickBot="1" x14ac:dyDescent="0.35">
      <c r="A17" s="619">
        <v>24</v>
      </c>
      <c r="B17" s="620" t="s">
        <v>4040</v>
      </c>
      <c r="C17" s="621" t="s">
        <v>80</v>
      </c>
      <c r="D17" s="619" t="s">
        <v>79</v>
      </c>
      <c r="E17" s="619">
        <v>1</v>
      </c>
      <c r="F17" s="624">
        <v>5.1388888888888887E-2</v>
      </c>
      <c r="G17" s="619">
        <v>0</v>
      </c>
      <c r="H17" s="619">
        <v>0</v>
      </c>
      <c r="I17" s="623">
        <v>0</v>
      </c>
      <c r="J17" s="619">
        <v>0</v>
      </c>
      <c r="K17" s="619" t="s">
        <v>78</v>
      </c>
      <c r="L17" s="619">
        <v>0</v>
      </c>
      <c r="M17" s="619">
        <v>0</v>
      </c>
      <c r="N17" s="619">
        <v>0</v>
      </c>
      <c r="O17" s="619">
        <v>0</v>
      </c>
      <c r="P17" s="619">
        <v>0</v>
      </c>
      <c r="Q17" s="619">
        <v>0</v>
      </c>
      <c r="R17" s="624">
        <v>5.1388888888888887E-2</v>
      </c>
      <c r="T17" s="811">
        <v>31</v>
      </c>
      <c r="U17" s="620" t="s">
        <v>4040</v>
      </c>
      <c r="V17" s="812" t="s">
        <v>80</v>
      </c>
      <c r="W17" s="811" t="s">
        <v>79</v>
      </c>
      <c r="X17" s="811">
        <v>2</v>
      </c>
      <c r="Y17" s="816">
        <v>0.35069444444444442</v>
      </c>
      <c r="Z17" s="811">
        <v>0</v>
      </c>
      <c r="AA17" s="811">
        <v>0</v>
      </c>
      <c r="AB17" s="814">
        <v>0</v>
      </c>
      <c r="AC17" s="811">
        <v>0</v>
      </c>
      <c r="AD17" s="811" t="s">
        <v>78</v>
      </c>
      <c r="AE17" s="811">
        <v>0</v>
      </c>
      <c r="AF17" s="811">
        <v>0</v>
      </c>
      <c r="AG17" s="811">
        <v>0</v>
      </c>
      <c r="AH17" s="811">
        <v>0</v>
      </c>
      <c r="AI17" s="811">
        <v>0</v>
      </c>
      <c r="AJ17" s="811">
        <v>0</v>
      </c>
      <c r="AK17" s="816">
        <v>0.17499999999999999</v>
      </c>
    </row>
    <row r="18" spans="1:37" ht="40.200000000000003" thickBot="1" x14ac:dyDescent="0.35">
      <c r="A18" s="619">
        <v>18</v>
      </c>
      <c r="B18" s="620" t="s">
        <v>83</v>
      </c>
      <c r="C18" s="621" t="s">
        <v>80</v>
      </c>
      <c r="D18" s="619" t="s">
        <v>79</v>
      </c>
      <c r="E18" s="619">
        <v>26</v>
      </c>
      <c r="F18" s="622">
        <v>8.4263888888888889</v>
      </c>
      <c r="G18" s="619">
        <v>0</v>
      </c>
      <c r="H18" s="619">
        <v>2</v>
      </c>
      <c r="I18" s="623">
        <v>2</v>
      </c>
      <c r="J18" s="619">
        <v>10</v>
      </c>
      <c r="K18" s="619" t="s">
        <v>78</v>
      </c>
      <c r="L18" s="619">
        <v>0</v>
      </c>
      <c r="M18" s="619">
        <v>0</v>
      </c>
      <c r="N18" s="619">
        <v>0</v>
      </c>
      <c r="O18" s="619">
        <v>0</v>
      </c>
      <c r="P18" s="619">
        <v>1</v>
      </c>
      <c r="Q18" s="619">
        <v>13</v>
      </c>
      <c r="R18" s="624">
        <v>0.32361111111111113</v>
      </c>
      <c r="T18" s="811">
        <v>17</v>
      </c>
      <c r="U18" s="620" t="s">
        <v>83</v>
      </c>
      <c r="V18" s="812" t="s">
        <v>80</v>
      </c>
      <c r="W18" s="811" t="s">
        <v>79</v>
      </c>
      <c r="X18" s="811">
        <v>52</v>
      </c>
      <c r="Y18" s="813">
        <v>17.822222222222223</v>
      </c>
      <c r="Z18" s="811">
        <v>0</v>
      </c>
      <c r="AA18" s="811">
        <v>4</v>
      </c>
      <c r="AB18" s="814">
        <v>4</v>
      </c>
      <c r="AC18" s="811">
        <v>21</v>
      </c>
      <c r="AD18" s="811" t="s">
        <v>78</v>
      </c>
      <c r="AE18" s="811">
        <v>0</v>
      </c>
      <c r="AF18" s="811">
        <v>0</v>
      </c>
      <c r="AG18" s="811">
        <v>0</v>
      </c>
      <c r="AH18" s="811">
        <v>0</v>
      </c>
      <c r="AI18" s="811">
        <v>3</v>
      </c>
      <c r="AJ18" s="811">
        <v>34</v>
      </c>
      <c r="AK18" s="816">
        <v>0.34236111111111112</v>
      </c>
    </row>
    <row r="19" spans="1:37" ht="40.200000000000003" thickBot="1" x14ac:dyDescent="0.35">
      <c r="A19" s="619">
        <v>22</v>
      </c>
      <c r="B19" s="620" t="s">
        <v>5375</v>
      </c>
      <c r="C19" s="621" t="s">
        <v>80</v>
      </c>
      <c r="D19" s="619" t="s">
        <v>79</v>
      </c>
      <c r="E19" s="619">
        <v>22</v>
      </c>
      <c r="F19" s="622">
        <v>8.9222222222222225</v>
      </c>
      <c r="G19" s="619">
        <v>0</v>
      </c>
      <c r="H19" s="619">
        <v>1</v>
      </c>
      <c r="I19" s="623">
        <v>1</v>
      </c>
      <c r="J19" s="619">
        <v>13</v>
      </c>
      <c r="K19" s="619" t="s">
        <v>78</v>
      </c>
      <c r="L19" s="619">
        <v>0</v>
      </c>
      <c r="M19" s="619">
        <v>0</v>
      </c>
      <c r="N19" s="619">
        <v>0</v>
      </c>
      <c r="O19" s="619">
        <v>0</v>
      </c>
      <c r="P19" s="619">
        <v>-3</v>
      </c>
      <c r="Q19" s="619">
        <v>0</v>
      </c>
      <c r="R19" s="624">
        <v>0.40555555555555556</v>
      </c>
      <c r="T19" s="811">
        <v>22</v>
      </c>
      <c r="U19" s="620" t="s">
        <v>5375</v>
      </c>
      <c r="V19" s="812" t="s">
        <v>80</v>
      </c>
      <c r="W19" s="811" t="s">
        <v>79</v>
      </c>
      <c r="X19" s="811">
        <v>32</v>
      </c>
      <c r="Y19" s="813">
        <v>12.724305555555556</v>
      </c>
      <c r="Z19" s="811">
        <v>0</v>
      </c>
      <c r="AA19" s="811">
        <v>2</v>
      </c>
      <c r="AB19" s="814">
        <v>2</v>
      </c>
      <c r="AC19" s="811">
        <v>19</v>
      </c>
      <c r="AD19" s="811" t="s">
        <v>78</v>
      </c>
      <c r="AE19" s="811">
        <v>0</v>
      </c>
      <c r="AF19" s="811">
        <v>0</v>
      </c>
      <c r="AG19" s="811">
        <v>0</v>
      </c>
      <c r="AH19" s="811">
        <v>0</v>
      </c>
      <c r="AI19" s="811">
        <v>-3</v>
      </c>
      <c r="AJ19" s="811">
        <v>0</v>
      </c>
      <c r="AK19" s="816">
        <v>0.3972222222222222</v>
      </c>
    </row>
    <row r="20" spans="1:37" ht="40.200000000000003" thickBot="1" x14ac:dyDescent="0.35">
      <c r="A20" s="619">
        <v>14</v>
      </c>
      <c r="B20" s="620" t="s">
        <v>5962</v>
      </c>
      <c r="C20" s="621" t="s">
        <v>80</v>
      </c>
      <c r="D20" s="619" t="s">
        <v>79</v>
      </c>
      <c r="E20" s="619">
        <v>19</v>
      </c>
      <c r="F20" s="622">
        <v>9.6583333333333332</v>
      </c>
      <c r="G20" s="619">
        <v>3</v>
      </c>
      <c r="H20" s="619">
        <v>1</v>
      </c>
      <c r="I20" s="623">
        <v>4</v>
      </c>
      <c r="J20" s="619">
        <v>30</v>
      </c>
      <c r="K20" s="619" t="s">
        <v>121</v>
      </c>
      <c r="L20" s="619">
        <v>0</v>
      </c>
      <c r="M20" s="619">
        <v>0</v>
      </c>
      <c r="N20" s="619">
        <v>0</v>
      </c>
      <c r="O20" s="619">
        <v>1</v>
      </c>
      <c r="P20" s="619">
        <v>-6</v>
      </c>
      <c r="Q20" s="619">
        <v>14</v>
      </c>
      <c r="R20" s="624">
        <v>0.5083333333333333</v>
      </c>
      <c r="T20" s="811">
        <v>15</v>
      </c>
      <c r="U20" s="620" t="s">
        <v>5962</v>
      </c>
      <c r="V20" s="812" t="s">
        <v>80</v>
      </c>
      <c r="W20" s="811" t="s">
        <v>79</v>
      </c>
      <c r="X20" s="811">
        <v>43</v>
      </c>
      <c r="Y20" s="813">
        <v>21.307638888888889</v>
      </c>
      <c r="Z20" s="811">
        <v>4</v>
      </c>
      <c r="AA20" s="811">
        <v>2</v>
      </c>
      <c r="AB20" s="814">
        <v>6</v>
      </c>
      <c r="AC20" s="811">
        <v>71</v>
      </c>
      <c r="AD20" s="815">
        <v>23132</v>
      </c>
      <c r="AE20" s="811">
        <v>0</v>
      </c>
      <c r="AF20" s="811">
        <v>0</v>
      </c>
      <c r="AG20" s="811">
        <v>0</v>
      </c>
      <c r="AH20" s="811">
        <v>1</v>
      </c>
      <c r="AI20" s="811">
        <v>-14</v>
      </c>
      <c r="AJ20" s="811">
        <v>37</v>
      </c>
      <c r="AK20" s="816">
        <v>0.49513888888888891</v>
      </c>
    </row>
    <row r="21" spans="1:37" ht="40.200000000000003" thickBot="1" x14ac:dyDescent="0.35">
      <c r="A21" s="619">
        <v>3</v>
      </c>
      <c r="B21" s="620" t="s">
        <v>4173</v>
      </c>
      <c r="C21" s="621" t="s">
        <v>80</v>
      </c>
      <c r="D21" s="619" t="s">
        <v>79</v>
      </c>
      <c r="E21" s="619">
        <v>26</v>
      </c>
      <c r="F21" s="622">
        <v>21.46736111111111</v>
      </c>
      <c r="G21" s="619">
        <v>9</v>
      </c>
      <c r="H21" s="619">
        <v>10</v>
      </c>
      <c r="I21" s="623">
        <v>19</v>
      </c>
      <c r="J21" s="619">
        <v>44</v>
      </c>
      <c r="K21" s="619" t="s">
        <v>1730</v>
      </c>
      <c r="L21" s="619">
        <v>3</v>
      </c>
      <c r="M21" s="619">
        <v>6</v>
      </c>
      <c r="N21" s="619">
        <v>0</v>
      </c>
      <c r="O21" s="619">
        <v>2</v>
      </c>
      <c r="P21" s="619">
        <v>3</v>
      </c>
      <c r="Q21" s="619">
        <v>20</v>
      </c>
      <c r="R21" s="624">
        <v>0.82499999999999996</v>
      </c>
      <c r="T21" s="811">
        <v>3</v>
      </c>
      <c r="U21" s="620" t="s">
        <v>4173</v>
      </c>
      <c r="V21" s="812" t="s">
        <v>80</v>
      </c>
      <c r="W21" s="811" t="s">
        <v>79</v>
      </c>
      <c r="X21" s="811">
        <v>52</v>
      </c>
      <c r="Y21" s="813">
        <v>44.947916666666664</v>
      </c>
      <c r="Z21" s="811">
        <v>18</v>
      </c>
      <c r="AA21" s="811">
        <v>17</v>
      </c>
      <c r="AB21" s="814">
        <v>35</v>
      </c>
      <c r="AC21" s="811">
        <v>106</v>
      </c>
      <c r="AD21" s="811" t="s">
        <v>1725</v>
      </c>
      <c r="AE21" s="811">
        <v>6</v>
      </c>
      <c r="AF21" s="811">
        <v>12</v>
      </c>
      <c r="AG21" s="811">
        <v>0</v>
      </c>
      <c r="AH21" s="811">
        <v>3</v>
      </c>
      <c r="AI21" s="811">
        <v>-4</v>
      </c>
      <c r="AJ21" s="811">
        <v>38</v>
      </c>
      <c r="AK21" s="816">
        <v>0.86388888888888893</v>
      </c>
    </row>
    <row r="22" spans="1:37" ht="40.200000000000003" thickBot="1" x14ac:dyDescent="0.35">
      <c r="A22" s="619">
        <v>10</v>
      </c>
      <c r="B22" s="620" t="s">
        <v>5960</v>
      </c>
      <c r="C22" s="621" t="s">
        <v>80</v>
      </c>
      <c r="D22" s="619" t="s">
        <v>79</v>
      </c>
      <c r="E22" s="619">
        <v>10</v>
      </c>
      <c r="F22" s="622">
        <v>6.5888888888888886</v>
      </c>
      <c r="G22" s="619">
        <v>5</v>
      </c>
      <c r="H22" s="619">
        <v>3</v>
      </c>
      <c r="I22" s="623">
        <v>8</v>
      </c>
      <c r="J22" s="619">
        <v>21</v>
      </c>
      <c r="K22" s="619" t="s">
        <v>5961</v>
      </c>
      <c r="L22" s="619">
        <v>1</v>
      </c>
      <c r="M22" s="619">
        <v>3</v>
      </c>
      <c r="N22" s="619">
        <v>0</v>
      </c>
      <c r="O22" s="619">
        <v>3</v>
      </c>
      <c r="P22" s="619">
        <v>3</v>
      </c>
      <c r="Q22" s="619">
        <v>4</v>
      </c>
      <c r="R22" s="624">
        <v>0.65833333333333333</v>
      </c>
      <c r="T22" s="811">
        <v>10</v>
      </c>
      <c r="U22" s="620" t="s">
        <v>5960</v>
      </c>
      <c r="V22" s="812" t="s">
        <v>80</v>
      </c>
      <c r="W22" s="811" t="s">
        <v>79</v>
      </c>
      <c r="X22" s="811">
        <v>34</v>
      </c>
      <c r="Y22" s="813">
        <v>21.039583333333333</v>
      </c>
      <c r="Z22" s="811">
        <v>6</v>
      </c>
      <c r="AA22" s="811">
        <v>4</v>
      </c>
      <c r="AB22" s="814">
        <v>10</v>
      </c>
      <c r="AC22" s="811">
        <v>79</v>
      </c>
      <c r="AD22" s="815">
        <v>21732</v>
      </c>
      <c r="AE22" s="811">
        <v>1</v>
      </c>
      <c r="AF22" s="811">
        <v>3</v>
      </c>
      <c r="AG22" s="811">
        <v>0</v>
      </c>
      <c r="AH22" s="811">
        <v>3</v>
      </c>
      <c r="AI22" s="811">
        <v>-5</v>
      </c>
      <c r="AJ22" s="811">
        <v>20</v>
      </c>
      <c r="AK22" s="816">
        <v>0.61875000000000002</v>
      </c>
    </row>
    <row r="23" spans="1:37" ht="40.200000000000003" thickBot="1" x14ac:dyDescent="0.35">
      <c r="A23" s="619">
        <v>9</v>
      </c>
      <c r="B23" s="620" t="s">
        <v>5070</v>
      </c>
      <c r="C23" s="621" t="s">
        <v>80</v>
      </c>
      <c r="D23" s="619" t="s">
        <v>79</v>
      </c>
      <c r="E23" s="619">
        <v>26</v>
      </c>
      <c r="F23" s="622">
        <v>14.743055555555555</v>
      </c>
      <c r="G23" s="619">
        <v>4</v>
      </c>
      <c r="H23" s="619">
        <v>5</v>
      </c>
      <c r="I23" s="623">
        <v>9</v>
      </c>
      <c r="J23" s="619">
        <v>26</v>
      </c>
      <c r="K23" s="619" t="s">
        <v>216</v>
      </c>
      <c r="L23" s="619">
        <v>1</v>
      </c>
      <c r="M23" s="619">
        <v>5</v>
      </c>
      <c r="N23" s="619">
        <v>0</v>
      </c>
      <c r="O23" s="619">
        <v>0</v>
      </c>
      <c r="P23" s="619">
        <v>0</v>
      </c>
      <c r="Q23" s="619">
        <v>17</v>
      </c>
      <c r="R23" s="624">
        <v>0.56666666666666665</v>
      </c>
      <c r="T23" s="811">
        <v>9</v>
      </c>
      <c r="U23" s="620" t="s">
        <v>5070</v>
      </c>
      <c r="V23" s="812" t="s">
        <v>80</v>
      </c>
      <c r="W23" s="811" t="s">
        <v>79</v>
      </c>
      <c r="X23" s="811">
        <v>47</v>
      </c>
      <c r="Y23" s="813">
        <v>27.356249999999999</v>
      </c>
      <c r="Z23" s="811">
        <v>4</v>
      </c>
      <c r="AA23" s="811">
        <v>9</v>
      </c>
      <c r="AB23" s="814">
        <v>13</v>
      </c>
      <c r="AC23" s="811">
        <v>47</v>
      </c>
      <c r="AD23" s="815">
        <v>18841</v>
      </c>
      <c r="AE23" s="811">
        <v>1</v>
      </c>
      <c r="AF23" s="811">
        <v>5</v>
      </c>
      <c r="AG23" s="811">
        <v>0</v>
      </c>
      <c r="AH23" s="811">
        <v>0</v>
      </c>
      <c r="AI23" s="811">
        <v>-3</v>
      </c>
      <c r="AJ23" s="811">
        <v>23</v>
      </c>
      <c r="AK23" s="816">
        <v>0.58194444444444449</v>
      </c>
    </row>
    <row r="24" spans="1:37" ht="40.200000000000003" thickBot="1" x14ac:dyDescent="0.35">
      <c r="A24" s="619">
        <v>26</v>
      </c>
      <c r="B24" s="620" t="s">
        <v>5969</v>
      </c>
      <c r="C24" s="621" t="s">
        <v>80</v>
      </c>
      <c r="D24" s="619" t="s">
        <v>88</v>
      </c>
      <c r="E24" s="619">
        <v>2</v>
      </c>
      <c r="F24" s="624">
        <v>0.72499999999999998</v>
      </c>
      <c r="G24" s="619">
        <v>0</v>
      </c>
      <c r="H24" s="619">
        <v>0</v>
      </c>
      <c r="I24" s="623">
        <v>0</v>
      </c>
      <c r="J24" s="619">
        <v>1</v>
      </c>
      <c r="K24" s="619" t="s">
        <v>78</v>
      </c>
      <c r="L24" s="619">
        <v>0</v>
      </c>
      <c r="M24" s="619">
        <v>0</v>
      </c>
      <c r="N24" s="619">
        <v>0</v>
      </c>
      <c r="O24" s="619">
        <v>0</v>
      </c>
      <c r="P24" s="619">
        <v>0</v>
      </c>
      <c r="Q24" s="619">
        <v>2</v>
      </c>
      <c r="R24" s="624">
        <v>0.36249999999999999</v>
      </c>
      <c r="T24" s="811">
        <v>32</v>
      </c>
      <c r="U24" s="620" t="s">
        <v>5969</v>
      </c>
      <c r="V24" s="812" t="s">
        <v>80</v>
      </c>
      <c r="W24" s="811" t="s">
        <v>88</v>
      </c>
      <c r="X24" s="811">
        <v>2</v>
      </c>
      <c r="Y24" s="816">
        <v>0.72499999999999998</v>
      </c>
      <c r="Z24" s="811">
        <v>0</v>
      </c>
      <c r="AA24" s="811">
        <v>0</v>
      </c>
      <c r="AB24" s="814">
        <v>0</v>
      </c>
      <c r="AC24" s="811">
        <v>1</v>
      </c>
      <c r="AD24" s="811" t="s">
        <v>78</v>
      </c>
      <c r="AE24" s="811">
        <v>0</v>
      </c>
      <c r="AF24" s="811">
        <v>0</v>
      </c>
      <c r="AG24" s="811">
        <v>0</v>
      </c>
      <c r="AH24" s="811">
        <v>0</v>
      </c>
      <c r="AI24" s="811">
        <v>0</v>
      </c>
      <c r="AJ24" s="811">
        <v>2</v>
      </c>
      <c r="AK24" s="816">
        <v>0.36249999999999999</v>
      </c>
    </row>
    <row r="25" spans="1:37" ht="40.200000000000003" thickBot="1" x14ac:dyDescent="0.35">
      <c r="A25" s="619">
        <v>7</v>
      </c>
      <c r="B25" s="620" t="s">
        <v>5069</v>
      </c>
      <c r="C25" s="621" t="s">
        <v>80</v>
      </c>
      <c r="D25" s="619" t="s">
        <v>79</v>
      </c>
      <c r="E25" s="619">
        <v>22</v>
      </c>
      <c r="F25" s="622">
        <v>17.821527777777778</v>
      </c>
      <c r="G25" s="619">
        <v>4</v>
      </c>
      <c r="H25" s="619">
        <v>9</v>
      </c>
      <c r="I25" s="623">
        <v>13</v>
      </c>
      <c r="J25" s="619">
        <v>54</v>
      </c>
      <c r="K25" s="625">
        <v>15158</v>
      </c>
      <c r="L25" s="619">
        <v>1</v>
      </c>
      <c r="M25" s="619">
        <v>4</v>
      </c>
      <c r="N25" s="619">
        <v>0</v>
      </c>
      <c r="O25" s="619">
        <v>2</v>
      </c>
      <c r="P25" s="619">
        <v>4</v>
      </c>
      <c r="Q25" s="619">
        <v>22</v>
      </c>
      <c r="R25" s="624">
        <v>0.80972222222222223</v>
      </c>
      <c r="T25" s="811">
        <v>6</v>
      </c>
      <c r="U25" s="620" t="s">
        <v>5069</v>
      </c>
      <c r="V25" s="812" t="s">
        <v>80</v>
      </c>
      <c r="W25" s="811" t="s">
        <v>79</v>
      </c>
      <c r="X25" s="811">
        <v>46</v>
      </c>
      <c r="Y25" s="813">
        <v>35.322916666666664</v>
      </c>
      <c r="Z25" s="811">
        <v>9</v>
      </c>
      <c r="AA25" s="811">
        <v>12</v>
      </c>
      <c r="AB25" s="814">
        <v>21</v>
      </c>
      <c r="AC25" s="811">
        <v>115</v>
      </c>
      <c r="AD25" s="815">
        <v>30498</v>
      </c>
      <c r="AE25" s="811">
        <v>4</v>
      </c>
      <c r="AF25" s="811">
        <v>8</v>
      </c>
      <c r="AG25" s="811">
        <v>0</v>
      </c>
      <c r="AH25" s="811">
        <v>4</v>
      </c>
      <c r="AI25" s="811">
        <v>-13</v>
      </c>
      <c r="AJ25" s="811">
        <v>36</v>
      </c>
      <c r="AK25" s="816">
        <v>0.76736111111111116</v>
      </c>
    </row>
    <row r="26" spans="1:37" ht="40.200000000000003" thickBot="1" x14ac:dyDescent="0.35">
      <c r="A26" s="619">
        <v>21</v>
      </c>
      <c r="B26" s="620" t="s">
        <v>1224</v>
      </c>
      <c r="C26" s="621" t="s">
        <v>80</v>
      </c>
      <c r="D26" s="619" t="s">
        <v>88</v>
      </c>
      <c r="E26" s="619">
        <v>8</v>
      </c>
      <c r="F26" s="622">
        <v>3.7749999999999999</v>
      </c>
      <c r="G26" s="619">
        <v>0</v>
      </c>
      <c r="H26" s="619">
        <v>1</v>
      </c>
      <c r="I26" s="623">
        <v>1</v>
      </c>
      <c r="J26" s="619">
        <v>6</v>
      </c>
      <c r="K26" s="619" t="s">
        <v>78</v>
      </c>
      <c r="L26" s="619">
        <v>0</v>
      </c>
      <c r="M26" s="619">
        <v>0</v>
      </c>
      <c r="N26" s="619">
        <v>0</v>
      </c>
      <c r="O26" s="619">
        <v>0</v>
      </c>
      <c r="P26" s="619">
        <v>-4</v>
      </c>
      <c r="Q26" s="619">
        <v>0</v>
      </c>
      <c r="R26" s="624">
        <v>0.47152777777777777</v>
      </c>
      <c r="T26" s="811">
        <v>27</v>
      </c>
      <c r="U26" s="620" t="s">
        <v>1224</v>
      </c>
      <c r="V26" s="812" t="s">
        <v>80</v>
      </c>
      <c r="W26" s="811" t="s">
        <v>88</v>
      </c>
      <c r="X26" s="811">
        <v>23</v>
      </c>
      <c r="Y26" s="813">
        <v>10.988194444444444</v>
      </c>
      <c r="Z26" s="811">
        <v>0</v>
      </c>
      <c r="AA26" s="811">
        <v>1</v>
      </c>
      <c r="AB26" s="814">
        <v>1</v>
      </c>
      <c r="AC26" s="811">
        <v>16</v>
      </c>
      <c r="AD26" s="811" t="s">
        <v>78</v>
      </c>
      <c r="AE26" s="811">
        <v>0</v>
      </c>
      <c r="AF26" s="811">
        <v>0</v>
      </c>
      <c r="AG26" s="811">
        <v>0</v>
      </c>
      <c r="AH26" s="811">
        <v>0</v>
      </c>
      <c r="AI26" s="811">
        <v>-7</v>
      </c>
      <c r="AJ26" s="811">
        <v>2</v>
      </c>
      <c r="AK26" s="816">
        <v>0.47708333333333336</v>
      </c>
    </row>
    <row r="27" spans="1:37" ht="40.200000000000003" thickBot="1" x14ac:dyDescent="0.35">
      <c r="A27" s="619">
        <v>16</v>
      </c>
      <c r="B27" s="620" t="s">
        <v>115</v>
      </c>
      <c r="C27" s="621" t="s">
        <v>80</v>
      </c>
      <c r="D27" s="619" t="s">
        <v>79</v>
      </c>
      <c r="E27" s="619">
        <v>7</v>
      </c>
      <c r="F27" s="622">
        <v>2.6951388888888888</v>
      </c>
      <c r="G27" s="619">
        <v>2</v>
      </c>
      <c r="H27" s="619">
        <v>0</v>
      </c>
      <c r="I27" s="623">
        <v>2</v>
      </c>
      <c r="J27" s="619">
        <v>5</v>
      </c>
      <c r="K27" s="619" t="s">
        <v>5964</v>
      </c>
      <c r="L27" s="619">
        <v>0</v>
      </c>
      <c r="M27" s="619">
        <v>0</v>
      </c>
      <c r="N27" s="619">
        <v>0</v>
      </c>
      <c r="O27" s="619">
        <v>0</v>
      </c>
      <c r="P27" s="619">
        <v>-1</v>
      </c>
      <c r="Q27" s="619">
        <v>2</v>
      </c>
      <c r="R27" s="624">
        <v>0.38472222222222224</v>
      </c>
      <c r="T27" s="811">
        <v>20</v>
      </c>
      <c r="U27" s="620" t="s">
        <v>115</v>
      </c>
      <c r="V27" s="812" t="s">
        <v>80</v>
      </c>
      <c r="W27" s="811" t="s">
        <v>79</v>
      </c>
      <c r="X27" s="811">
        <v>9</v>
      </c>
      <c r="Y27" s="813">
        <v>3.3777777777777778</v>
      </c>
      <c r="Z27" s="811">
        <v>2</v>
      </c>
      <c r="AA27" s="811">
        <v>0</v>
      </c>
      <c r="AB27" s="814">
        <v>2</v>
      </c>
      <c r="AC27" s="811">
        <v>7</v>
      </c>
      <c r="AD27" s="811" t="s">
        <v>4272</v>
      </c>
      <c r="AE27" s="811">
        <v>0</v>
      </c>
      <c r="AF27" s="811">
        <v>0</v>
      </c>
      <c r="AG27" s="811">
        <v>0</v>
      </c>
      <c r="AH27" s="811">
        <v>0</v>
      </c>
      <c r="AI27" s="811">
        <v>-1</v>
      </c>
      <c r="AJ27" s="811">
        <v>2</v>
      </c>
      <c r="AK27" s="816">
        <v>0.375</v>
      </c>
    </row>
    <row r="28" spans="1:37" ht="40.200000000000003" thickBot="1" x14ac:dyDescent="0.35">
      <c r="A28" s="619">
        <v>2</v>
      </c>
      <c r="B28" s="620" t="s">
        <v>5369</v>
      </c>
      <c r="C28" s="621" t="s">
        <v>80</v>
      </c>
      <c r="D28" s="619" t="s">
        <v>79</v>
      </c>
      <c r="E28" s="619">
        <v>21</v>
      </c>
      <c r="F28" s="622">
        <v>19.984722222222221</v>
      </c>
      <c r="G28" s="619">
        <v>8</v>
      </c>
      <c r="H28" s="619">
        <v>14</v>
      </c>
      <c r="I28" s="623">
        <v>22</v>
      </c>
      <c r="J28" s="619">
        <v>73</v>
      </c>
      <c r="K28" s="625">
        <v>35339</v>
      </c>
      <c r="L28" s="619">
        <v>3</v>
      </c>
      <c r="M28" s="619">
        <v>9</v>
      </c>
      <c r="N28" s="619">
        <v>2</v>
      </c>
      <c r="O28" s="619">
        <v>1</v>
      </c>
      <c r="P28" s="619">
        <v>7</v>
      </c>
      <c r="Q28" s="619">
        <v>10</v>
      </c>
      <c r="R28" s="624">
        <v>0.95138888888888884</v>
      </c>
      <c r="T28" s="811">
        <v>1</v>
      </c>
      <c r="U28" s="620" t="s">
        <v>5369</v>
      </c>
      <c r="V28" s="812" t="s">
        <v>80</v>
      </c>
      <c r="W28" s="811" t="s">
        <v>79</v>
      </c>
      <c r="X28" s="811">
        <v>44</v>
      </c>
      <c r="Y28" s="813">
        <v>39.720833333333331</v>
      </c>
      <c r="Z28" s="811">
        <v>15</v>
      </c>
      <c r="AA28" s="811">
        <v>26</v>
      </c>
      <c r="AB28" s="814">
        <v>41</v>
      </c>
      <c r="AC28" s="811">
        <v>145</v>
      </c>
      <c r="AD28" s="815">
        <v>12693</v>
      </c>
      <c r="AE28" s="811">
        <v>7</v>
      </c>
      <c r="AF28" s="811">
        <v>18</v>
      </c>
      <c r="AG28" s="811">
        <v>2</v>
      </c>
      <c r="AH28" s="811">
        <v>1</v>
      </c>
      <c r="AI28" s="811">
        <v>-7</v>
      </c>
      <c r="AJ28" s="811">
        <v>22</v>
      </c>
      <c r="AK28" s="816">
        <v>0.90208333333333335</v>
      </c>
    </row>
    <row r="29" spans="1:37" ht="40.200000000000003" thickBot="1" x14ac:dyDescent="0.35">
      <c r="A29" s="619">
        <v>27</v>
      </c>
      <c r="B29" s="620" t="s">
        <v>5970</v>
      </c>
      <c r="C29" s="621" t="s">
        <v>80</v>
      </c>
      <c r="D29" s="619" t="s">
        <v>79</v>
      </c>
      <c r="E29" s="619">
        <v>2</v>
      </c>
      <c r="F29" s="624">
        <v>0.19583333333333333</v>
      </c>
      <c r="G29" s="619">
        <v>0</v>
      </c>
      <c r="H29" s="619">
        <v>0</v>
      </c>
      <c r="I29" s="623">
        <v>0</v>
      </c>
      <c r="J29" s="619">
        <v>1</v>
      </c>
      <c r="K29" s="619" t="s">
        <v>78</v>
      </c>
      <c r="L29" s="619">
        <v>0</v>
      </c>
      <c r="M29" s="619">
        <v>0</v>
      </c>
      <c r="N29" s="619">
        <v>0</v>
      </c>
      <c r="O29" s="619">
        <v>0</v>
      </c>
      <c r="P29" s="619">
        <v>0</v>
      </c>
      <c r="Q29" s="619">
        <v>0</v>
      </c>
      <c r="R29" s="624">
        <v>9.7916666666666666E-2</v>
      </c>
      <c r="T29" s="811">
        <v>30</v>
      </c>
      <c r="U29" s="620" t="s">
        <v>5970</v>
      </c>
      <c r="V29" s="812" t="s">
        <v>80</v>
      </c>
      <c r="W29" s="811" t="s">
        <v>79</v>
      </c>
      <c r="X29" s="811">
        <v>2</v>
      </c>
      <c r="Y29" s="816">
        <v>0.19583333333333333</v>
      </c>
      <c r="Z29" s="811">
        <v>0</v>
      </c>
      <c r="AA29" s="811">
        <v>0</v>
      </c>
      <c r="AB29" s="814">
        <v>0</v>
      </c>
      <c r="AC29" s="811">
        <v>1</v>
      </c>
      <c r="AD29" s="811" t="s">
        <v>78</v>
      </c>
      <c r="AE29" s="811">
        <v>0</v>
      </c>
      <c r="AF29" s="811">
        <v>0</v>
      </c>
      <c r="AG29" s="811">
        <v>0</v>
      </c>
      <c r="AH29" s="811">
        <v>0</v>
      </c>
      <c r="AI29" s="811">
        <v>0</v>
      </c>
      <c r="AJ29" s="811">
        <v>0</v>
      </c>
      <c r="AK29" s="816">
        <v>9.7916666666666666E-2</v>
      </c>
    </row>
    <row r="30" spans="1:37" ht="40.200000000000003" thickBot="1" x14ac:dyDescent="0.35">
      <c r="A30" s="619">
        <v>30</v>
      </c>
      <c r="B30" s="620" t="s">
        <v>3622</v>
      </c>
      <c r="C30" s="621" t="s">
        <v>80</v>
      </c>
      <c r="D30" s="619" t="s">
        <v>79</v>
      </c>
      <c r="E30" s="619">
        <v>5</v>
      </c>
      <c r="F30" s="622">
        <v>1.2979166666666666</v>
      </c>
      <c r="G30" s="619">
        <v>0</v>
      </c>
      <c r="H30" s="619">
        <v>0</v>
      </c>
      <c r="I30" s="623">
        <v>0</v>
      </c>
      <c r="J30" s="619">
        <v>4</v>
      </c>
      <c r="K30" s="619" t="s">
        <v>78</v>
      </c>
      <c r="L30" s="619">
        <v>0</v>
      </c>
      <c r="M30" s="619">
        <v>0</v>
      </c>
      <c r="N30" s="619">
        <v>0</v>
      </c>
      <c r="O30" s="619">
        <v>0</v>
      </c>
      <c r="P30" s="619">
        <v>0</v>
      </c>
      <c r="Q30" s="619">
        <v>0</v>
      </c>
      <c r="R30" s="624">
        <v>0.2590277777777778</v>
      </c>
      <c r="T30" s="811">
        <v>18</v>
      </c>
      <c r="U30" s="620" t="s">
        <v>3622</v>
      </c>
      <c r="V30" s="812" t="s">
        <v>80</v>
      </c>
      <c r="W30" s="811" t="s">
        <v>79</v>
      </c>
      <c r="X30" s="811">
        <v>27</v>
      </c>
      <c r="Y30" s="813">
        <v>8.8673611111111104</v>
      </c>
      <c r="Z30" s="811">
        <v>1</v>
      </c>
      <c r="AA30" s="811">
        <v>2</v>
      </c>
      <c r="AB30" s="814">
        <v>3</v>
      </c>
      <c r="AC30" s="811">
        <v>21</v>
      </c>
      <c r="AD30" s="815">
        <v>27851</v>
      </c>
      <c r="AE30" s="811">
        <v>0</v>
      </c>
      <c r="AF30" s="811">
        <v>0</v>
      </c>
      <c r="AG30" s="811">
        <v>0</v>
      </c>
      <c r="AH30" s="811">
        <v>1</v>
      </c>
      <c r="AI30" s="811">
        <v>-1</v>
      </c>
      <c r="AJ30" s="811">
        <v>4</v>
      </c>
      <c r="AK30" s="816">
        <v>0.32777777777777778</v>
      </c>
    </row>
    <row r="31" spans="1:37" ht="40.200000000000003" thickBot="1" x14ac:dyDescent="0.35">
      <c r="A31" s="619">
        <v>4</v>
      </c>
      <c r="B31" s="620" t="s">
        <v>5370</v>
      </c>
      <c r="C31" s="621" t="s">
        <v>80</v>
      </c>
      <c r="D31" s="619" t="s">
        <v>79</v>
      </c>
      <c r="E31" s="619">
        <v>26</v>
      </c>
      <c r="F31" s="622">
        <v>19.59513888888889</v>
      </c>
      <c r="G31" s="619">
        <v>10</v>
      </c>
      <c r="H31" s="619">
        <v>7</v>
      </c>
      <c r="I31" s="623">
        <v>17</v>
      </c>
      <c r="J31" s="619">
        <v>61</v>
      </c>
      <c r="K31" s="619" t="s">
        <v>2017</v>
      </c>
      <c r="L31" s="619">
        <v>4</v>
      </c>
      <c r="M31" s="619">
        <v>7</v>
      </c>
      <c r="N31" s="619">
        <v>0</v>
      </c>
      <c r="O31" s="619">
        <v>2</v>
      </c>
      <c r="P31" s="619">
        <v>0</v>
      </c>
      <c r="Q31" s="619">
        <v>10</v>
      </c>
      <c r="R31" s="624">
        <v>0.75347222222222221</v>
      </c>
      <c r="T31" s="811">
        <v>5</v>
      </c>
      <c r="U31" s="620" t="s">
        <v>5370</v>
      </c>
      <c r="V31" s="812" t="s">
        <v>80</v>
      </c>
      <c r="W31" s="811" t="s">
        <v>79</v>
      </c>
      <c r="X31" s="811">
        <v>42</v>
      </c>
      <c r="Y31" s="813">
        <v>32.367361111111109</v>
      </c>
      <c r="Z31" s="811">
        <v>15</v>
      </c>
      <c r="AA31" s="811">
        <v>14</v>
      </c>
      <c r="AB31" s="814">
        <v>29</v>
      </c>
      <c r="AC31" s="811">
        <v>109</v>
      </c>
      <c r="AD31" s="811" t="s">
        <v>6030</v>
      </c>
      <c r="AE31" s="811">
        <v>8</v>
      </c>
      <c r="AF31" s="811">
        <v>13</v>
      </c>
      <c r="AG31" s="811">
        <v>0</v>
      </c>
      <c r="AH31" s="811">
        <v>3</v>
      </c>
      <c r="AI31" s="811">
        <v>1</v>
      </c>
      <c r="AJ31" s="811">
        <v>14</v>
      </c>
      <c r="AK31" s="816">
        <v>0.77013888888888893</v>
      </c>
    </row>
    <row r="32" spans="1:37" ht="40.200000000000003" thickBot="1" x14ac:dyDescent="0.35">
      <c r="A32" s="619">
        <v>25</v>
      </c>
      <c r="B32" s="620" t="s">
        <v>5968</v>
      </c>
      <c r="C32" s="621" t="s">
        <v>80</v>
      </c>
      <c r="D32" s="619" t="s">
        <v>88</v>
      </c>
      <c r="E32" s="619">
        <v>1</v>
      </c>
      <c r="F32" s="624">
        <v>0.6743055555555556</v>
      </c>
      <c r="G32" s="619">
        <v>0</v>
      </c>
      <c r="H32" s="619">
        <v>0</v>
      </c>
      <c r="I32" s="623">
        <v>0</v>
      </c>
      <c r="J32" s="619">
        <v>1</v>
      </c>
      <c r="K32" s="619" t="s">
        <v>78</v>
      </c>
      <c r="L32" s="619">
        <v>0</v>
      </c>
      <c r="M32" s="619">
        <v>0</v>
      </c>
      <c r="N32" s="619">
        <v>0</v>
      </c>
      <c r="O32" s="619">
        <v>0</v>
      </c>
      <c r="P32" s="619">
        <v>0</v>
      </c>
      <c r="Q32" s="619">
        <v>0</v>
      </c>
      <c r="R32" s="624">
        <v>0.6743055555555556</v>
      </c>
      <c r="T32" s="811">
        <v>28</v>
      </c>
      <c r="U32" s="620" t="s">
        <v>5968</v>
      </c>
      <c r="V32" s="812" t="s">
        <v>80</v>
      </c>
      <c r="W32" s="811" t="s">
        <v>88</v>
      </c>
      <c r="X32" s="811">
        <v>1</v>
      </c>
      <c r="Y32" s="816">
        <v>0.6743055555555556</v>
      </c>
      <c r="Z32" s="811">
        <v>0</v>
      </c>
      <c r="AA32" s="811">
        <v>0</v>
      </c>
      <c r="AB32" s="814">
        <v>0</v>
      </c>
      <c r="AC32" s="811">
        <v>1</v>
      </c>
      <c r="AD32" s="811" t="s">
        <v>78</v>
      </c>
      <c r="AE32" s="811">
        <v>0</v>
      </c>
      <c r="AF32" s="811">
        <v>0</v>
      </c>
      <c r="AG32" s="811">
        <v>0</v>
      </c>
      <c r="AH32" s="811">
        <v>0</v>
      </c>
      <c r="AI32" s="811">
        <v>0</v>
      </c>
      <c r="AJ32" s="811">
        <v>0</v>
      </c>
      <c r="AK32" s="816">
        <v>0.6743055555555556</v>
      </c>
    </row>
    <row r="33" spans="1:37" ht="40.200000000000003" thickBot="1" x14ac:dyDescent="0.35">
      <c r="A33" s="619">
        <v>23</v>
      </c>
      <c r="B33" s="620" t="s">
        <v>5967</v>
      </c>
      <c r="C33" s="621" t="s">
        <v>80</v>
      </c>
      <c r="D33" s="619" t="s">
        <v>79</v>
      </c>
      <c r="E33" s="619">
        <v>1</v>
      </c>
      <c r="F33" s="624">
        <v>0.28749999999999998</v>
      </c>
      <c r="G33" s="619">
        <v>0</v>
      </c>
      <c r="H33" s="619">
        <v>0</v>
      </c>
      <c r="I33" s="623">
        <v>0</v>
      </c>
      <c r="J33" s="619">
        <v>0</v>
      </c>
      <c r="K33" s="619" t="s">
        <v>78</v>
      </c>
      <c r="L33" s="619">
        <v>0</v>
      </c>
      <c r="M33" s="619">
        <v>0</v>
      </c>
      <c r="N33" s="619">
        <v>0</v>
      </c>
      <c r="O33" s="619">
        <v>0</v>
      </c>
      <c r="P33" s="619">
        <v>0</v>
      </c>
      <c r="Q33" s="619">
        <v>0</v>
      </c>
      <c r="R33" s="624">
        <v>0.28749999999999998</v>
      </c>
      <c r="T33" s="811">
        <v>29</v>
      </c>
      <c r="U33" s="620" t="s">
        <v>5967</v>
      </c>
      <c r="V33" s="812" t="s">
        <v>80</v>
      </c>
      <c r="W33" s="811" t="s">
        <v>79</v>
      </c>
      <c r="X33" s="811">
        <v>1</v>
      </c>
      <c r="Y33" s="816">
        <v>0.28749999999999998</v>
      </c>
      <c r="Z33" s="811">
        <v>0</v>
      </c>
      <c r="AA33" s="811">
        <v>0</v>
      </c>
      <c r="AB33" s="814">
        <v>0</v>
      </c>
      <c r="AC33" s="811">
        <v>0</v>
      </c>
      <c r="AD33" s="811" t="s">
        <v>78</v>
      </c>
      <c r="AE33" s="811">
        <v>0</v>
      </c>
      <c r="AF33" s="811">
        <v>0</v>
      </c>
      <c r="AG33" s="811">
        <v>0</v>
      </c>
      <c r="AH33" s="811">
        <v>0</v>
      </c>
      <c r="AI33" s="811">
        <v>0</v>
      </c>
      <c r="AJ33" s="811">
        <v>0</v>
      </c>
      <c r="AK33" s="816">
        <v>0.28749999999999998</v>
      </c>
    </row>
    <row r="34" spans="1:37" ht="40.200000000000003" thickBot="1" x14ac:dyDescent="0.35">
      <c r="A34" s="619">
        <v>31</v>
      </c>
      <c r="B34" s="620" t="s">
        <v>5972</v>
      </c>
      <c r="C34" s="621" t="s">
        <v>80</v>
      </c>
      <c r="D34" s="619" t="s">
        <v>88</v>
      </c>
      <c r="E34" s="619">
        <v>5</v>
      </c>
      <c r="F34" s="624">
        <v>0.52916666666666667</v>
      </c>
      <c r="G34" s="619">
        <v>0</v>
      </c>
      <c r="H34" s="619">
        <v>0</v>
      </c>
      <c r="I34" s="623">
        <v>0</v>
      </c>
      <c r="J34" s="619">
        <v>0</v>
      </c>
      <c r="K34" s="619" t="s">
        <v>78</v>
      </c>
      <c r="L34" s="619">
        <v>0</v>
      </c>
      <c r="M34" s="619">
        <v>0</v>
      </c>
      <c r="N34" s="619">
        <v>0</v>
      </c>
      <c r="O34" s="619">
        <v>0</v>
      </c>
      <c r="P34" s="619">
        <v>0</v>
      </c>
      <c r="Q34" s="619">
        <v>0</v>
      </c>
      <c r="R34" s="624">
        <v>0.10555555555555556</v>
      </c>
      <c r="T34" s="811">
        <v>37</v>
      </c>
      <c r="U34" s="620" t="s">
        <v>5972</v>
      </c>
      <c r="V34" s="812" t="s">
        <v>80</v>
      </c>
      <c r="W34" s="811" t="s">
        <v>88</v>
      </c>
      <c r="X34" s="811">
        <v>8</v>
      </c>
      <c r="Y34" s="813">
        <v>1.7472222222222222</v>
      </c>
      <c r="Z34" s="811">
        <v>0</v>
      </c>
      <c r="AA34" s="811">
        <v>0</v>
      </c>
      <c r="AB34" s="814">
        <v>0</v>
      </c>
      <c r="AC34" s="811">
        <v>1</v>
      </c>
      <c r="AD34" s="811" t="s">
        <v>78</v>
      </c>
      <c r="AE34" s="811">
        <v>0</v>
      </c>
      <c r="AF34" s="811">
        <v>0</v>
      </c>
      <c r="AG34" s="811">
        <v>0</v>
      </c>
      <c r="AH34" s="811">
        <v>0</v>
      </c>
      <c r="AI34" s="811">
        <v>-1</v>
      </c>
      <c r="AJ34" s="811">
        <v>0</v>
      </c>
      <c r="AK34" s="816">
        <v>0.21805555555555556</v>
      </c>
    </row>
    <row r="35" spans="1:37" ht="40.200000000000003" thickBot="1" x14ac:dyDescent="0.35">
      <c r="A35" s="976">
        <v>19</v>
      </c>
      <c r="B35" s="842" t="s">
        <v>5965</v>
      </c>
      <c r="C35" s="977" t="s">
        <v>80</v>
      </c>
      <c r="D35" s="976" t="s">
        <v>88</v>
      </c>
      <c r="E35" s="976">
        <v>2</v>
      </c>
      <c r="F35" s="979">
        <v>0.8256944444444444</v>
      </c>
      <c r="G35" s="976">
        <v>1</v>
      </c>
      <c r="H35" s="976">
        <v>0</v>
      </c>
      <c r="I35" s="978">
        <v>1</v>
      </c>
      <c r="J35" s="976">
        <v>1</v>
      </c>
      <c r="K35" s="976" t="s">
        <v>2757</v>
      </c>
      <c r="L35" s="976">
        <v>0</v>
      </c>
      <c r="M35" s="976">
        <v>0</v>
      </c>
      <c r="N35" s="976">
        <v>0</v>
      </c>
      <c r="O35" s="976">
        <v>0</v>
      </c>
      <c r="P35" s="976">
        <v>1</v>
      </c>
      <c r="Q35" s="976">
        <v>2</v>
      </c>
      <c r="R35" s="979">
        <v>0.41249999999999998</v>
      </c>
      <c r="T35" s="817">
        <v>23</v>
      </c>
      <c r="U35" s="627" t="s">
        <v>5965</v>
      </c>
      <c r="V35" s="818" t="s">
        <v>80</v>
      </c>
      <c r="W35" s="817" t="s">
        <v>88</v>
      </c>
      <c r="X35" s="817">
        <v>2</v>
      </c>
      <c r="Y35" s="822">
        <v>0.8256944444444444</v>
      </c>
      <c r="Z35" s="817">
        <v>1</v>
      </c>
      <c r="AA35" s="817">
        <v>0</v>
      </c>
      <c r="AB35" s="820">
        <v>1</v>
      </c>
      <c r="AC35" s="817">
        <v>1</v>
      </c>
      <c r="AD35" s="817" t="s">
        <v>2757</v>
      </c>
      <c r="AE35" s="817">
        <v>0</v>
      </c>
      <c r="AF35" s="817">
        <v>0</v>
      </c>
      <c r="AG35" s="817">
        <v>0</v>
      </c>
      <c r="AH35" s="817">
        <v>0</v>
      </c>
      <c r="AI35" s="817">
        <v>1</v>
      </c>
      <c r="AJ35" s="817">
        <v>2</v>
      </c>
      <c r="AK35" s="822">
        <v>0.41249999999999998</v>
      </c>
    </row>
    <row r="39" spans="1:37" ht="15" thickBot="1" x14ac:dyDescent="0.35"/>
    <row r="40" spans="1:37" ht="40.200000000000003" thickBot="1" x14ac:dyDescent="0.35">
      <c r="T40" s="811">
        <v>33</v>
      </c>
      <c r="U40" s="620" t="s">
        <v>6034</v>
      </c>
      <c r="V40" s="812" t="s">
        <v>80</v>
      </c>
      <c r="W40" s="811" t="s">
        <v>88</v>
      </c>
      <c r="X40" s="811">
        <v>2</v>
      </c>
      <c r="Y40" s="816">
        <v>0.3125</v>
      </c>
      <c r="Z40" s="811">
        <v>0</v>
      </c>
      <c r="AA40" s="811">
        <v>0</v>
      </c>
      <c r="AB40" s="814">
        <v>0</v>
      </c>
      <c r="AC40" s="811">
        <v>0</v>
      </c>
      <c r="AD40" s="811" t="s">
        <v>78</v>
      </c>
      <c r="AE40" s="811">
        <v>0</v>
      </c>
      <c r="AF40" s="811">
        <v>0</v>
      </c>
      <c r="AG40" s="811">
        <v>0</v>
      </c>
      <c r="AH40" s="811">
        <v>0</v>
      </c>
      <c r="AI40" s="811">
        <v>-2</v>
      </c>
      <c r="AJ40" s="811">
        <v>0</v>
      </c>
      <c r="AK40" s="816">
        <v>0.15625</v>
      </c>
    </row>
    <row r="41" spans="1:37" ht="40.200000000000003" thickBot="1" x14ac:dyDescent="0.35">
      <c r="T41" s="811">
        <v>21</v>
      </c>
      <c r="U41" s="620" t="s">
        <v>6031</v>
      </c>
      <c r="V41" s="812" t="s">
        <v>80</v>
      </c>
      <c r="W41" s="811" t="s">
        <v>79</v>
      </c>
      <c r="X41" s="811">
        <v>12</v>
      </c>
      <c r="Y41" s="813">
        <v>4.2902777777777779</v>
      </c>
      <c r="Z41" s="811">
        <v>0</v>
      </c>
      <c r="AA41" s="811">
        <v>2</v>
      </c>
      <c r="AB41" s="814">
        <v>2</v>
      </c>
      <c r="AC41" s="811">
        <v>15</v>
      </c>
      <c r="AD41" s="811" t="s">
        <v>78</v>
      </c>
      <c r="AE41" s="811">
        <v>0</v>
      </c>
      <c r="AF41" s="811">
        <v>0</v>
      </c>
      <c r="AG41" s="811">
        <v>0</v>
      </c>
      <c r="AH41" s="811">
        <v>0</v>
      </c>
      <c r="AI41" s="811">
        <v>-4</v>
      </c>
      <c r="AJ41" s="811">
        <v>0</v>
      </c>
      <c r="AK41" s="816">
        <v>0.35694444444444445</v>
      </c>
    </row>
    <row r="42" spans="1:37" ht="40.200000000000003" thickBot="1" x14ac:dyDescent="0.35">
      <c r="T42" s="811">
        <v>26</v>
      </c>
      <c r="U42" s="620" t="s">
        <v>6033</v>
      </c>
      <c r="V42" s="812" t="s">
        <v>80</v>
      </c>
      <c r="W42" s="811" t="s">
        <v>79</v>
      </c>
      <c r="X42" s="811">
        <v>14</v>
      </c>
      <c r="Y42" s="813">
        <v>7.0118055555555552</v>
      </c>
      <c r="Z42" s="811">
        <v>0</v>
      </c>
      <c r="AA42" s="811">
        <v>1</v>
      </c>
      <c r="AB42" s="814">
        <v>1</v>
      </c>
      <c r="AC42" s="811">
        <v>14</v>
      </c>
      <c r="AD42" s="811" t="s">
        <v>78</v>
      </c>
      <c r="AE42" s="811">
        <v>0</v>
      </c>
      <c r="AF42" s="811">
        <v>0</v>
      </c>
      <c r="AG42" s="811">
        <v>0</v>
      </c>
      <c r="AH42" s="811">
        <v>0</v>
      </c>
      <c r="AI42" s="811">
        <v>-9</v>
      </c>
      <c r="AJ42" s="811">
        <v>2</v>
      </c>
      <c r="AK42" s="816">
        <v>0.50069444444444444</v>
      </c>
    </row>
    <row r="43" spans="1:37" ht="39.6" x14ac:dyDescent="0.3">
      <c r="T43" s="811">
        <v>25</v>
      </c>
      <c r="U43" s="620" t="s">
        <v>6032</v>
      </c>
      <c r="V43" s="812" t="s">
        <v>80</v>
      </c>
      <c r="W43" s="811" t="s">
        <v>88</v>
      </c>
      <c r="X43" s="811">
        <v>6</v>
      </c>
      <c r="Y43" s="813">
        <v>1.9784722222222222</v>
      </c>
      <c r="Z43" s="811">
        <v>0</v>
      </c>
      <c r="AA43" s="811">
        <v>1</v>
      </c>
      <c r="AB43" s="814">
        <v>1</v>
      </c>
      <c r="AC43" s="811">
        <v>5</v>
      </c>
      <c r="AD43" s="811" t="s">
        <v>78</v>
      </c>
      <c r="AE43" s="811">
        <v>0</v>
      </c>
      <c r="AF43" s="811">
        <v>0</v>
      </c>
      <c r="AG43" s="811">
        <v>0</v>
      </c>
      <c r="AH43" s="811">
        <v>0</v>
      </c>
      <c r="AI43" s="811">
        <v>0</v>
      </c>
      <c r="AJ43" s="811">
        <v>0</v>
      </c>
      <c r="AK43" s="816">
        <v>0.32916666666666666</v>
      </c>
    </row>
    <row r="45" spans="1:37" x14ac:dyDescent="0.3">
      <c r="C45" s="1153" t="s">
        <v>6035</v>
      </c>
      <c r="D45" s="1153"/>
      <c r="E45" s="1153"/>
      <c r="F45" s="1153"/>
      <c r="G45" s="1153"/>
      <c r="H45" s="1153" t="s">
        <v>6036</v>
      </c>
      <c r="I45" s="1153"/>
      <c r="J45" s="1153"/>
      <c r="K45" s="1153"/>
      <c r="L45" s="1153"/>
    </row>
    <row r="46" spans="1:37" ht="15" thickBot="1" x14ac:dyDescent="0.35">
      <c r="B46" s="969" t="s">
        <v>141</v>
      </c>
      <c r="C46" t="s">
        <v>1255</v>
      </c>
      <c r="D46" t="s">
        <v>4051</v>
      </c>
      <c r="E46" t="s">
        <v>4052</v>
      </c>
      <c r="F46" t="s">
        <v>1256</v>
      </c>
      <c r="G46" s="2" t="s">
        <v>4610</v>
      </c>
      <c r="H46" s="2" t="s">
        <v>1255</v>
      </c>
      <c r="I46" s="2" t="s">
        <v>4051</v>
      </c>
      <c r="J46" s="2" t="s">
        <v>4052</v>
      </c>
      <c r="K46" s="2" t="s">
        <v>1256</v>
      </c>
      <c r="L46" s="2" t="s">
        <v>4610</v>
      </c>
      <c r="N46" t="s">
        <v>1000</v>
      </c>
      <c r="O46" s="2" t="s">
        <v>6037</v>
      </c>
      <c r="P46" s="2" t="s">
        <v>6038</v>
      </c>
      <c r="R46" t="s">
        <v>6040</v>
      </c>
    </row>
    <row r="47" spans="1:37" ht="15.6" thickTop="1" thickBot="1" x14ac:dyDescent="0.35">
      <c r="B47" s="614" t="s">
        <v>5963</v>
      </c>
      <c r="C47" s="2">
        <f>E3</f>
        <v>26</v>
      </c>
      <c r="D47" s="2">
        <f>G3</f>
        <v>0</v>
      </c>
      <c r="E47" s="2">
        <f t="shared" ref="E47:F47" si="0">H3</f>
        <v>3</v>
      </c>
      <c r="F47" s="2">
        <f t="shared" si="0"/>
        <v>3</v>
      </c>
      <c r="G47" s="120">
        <f>F47/C47</f>
        <v>0.11538461538461539</v>
      </c>
      <c r="H47" s="2">
        <f>X3-E3</f>
        <v>17</v>
      </c>
      <c r="I47" s="2">
        <f>Z3-G3</f>
        <v>2</v>
      </c>
      <c r="J47" s="2">
        <f>AA3-H3</f>
        <v>2</v>
      </c>
      <c r="K47" s="2">
        <f>AB3-I3</f>
        <v>4</v>
      </c>
      <c r="L47" s="120">
        <f>K47/H47</f>
        <v>0.23529411764705882</v>
      </c>
      <c r="N47" t="s">
        <v>5963</v>
      </c>
      <c r="O47" s="120">
        <v>0.11538461538461539</v>
      </c>
      <c r="P47" s="120">
        <v>0.23529411764705882</v>
      </c>
      <c r="Q47" t="str">
        <f>IF(O47&lt;P47, "Zlepšil se", IF(O47&gt;P47,"Zhoršil se", "nic"))</f>
        <v>Zlepšil se</v>
      </c>
      <c r="R47" s="2">
        <v>0</v>
      </c>
    </row>
    <row r="48" spans="1:37" ht="15" thickBot="1" x14ac:dyDescent="0.35">
      <c r="B48" s="620" t="s">
        <v>5368</v>
      </c>
      <c r="C48" s="2">
        <f t="shared" ref="C48:C62" si="1">E4</f>
        <v>26</v>
      </c>
      <c r="D48" s="2">
        <f t="shared" ref="D48:D62" si="2">G4</f>
        <v>10</v>
      </c>
      <c r="E48" s="2">
        <f t="shared" ref="E48:E62" si="3">H4</f>
        <v>15</v>
      </c>
      <c r="F48" s="2">
        <f t="shared" ref="F48:F62" si="4">I4</f>
        <v>25</v>
      </c>
      <c r="G48" s="120">
        <f t="shared" ref="G48:G79" si="5">F48/C48</f>
        <v>0.96153846153846156</v>
      </c>
      <c r="H48" s="2">
        <f t="shared" ref="H48:H79" si="6">X4-E4</f>
        <v>18</v>
      </c>
      <c r="I48" s="2">
        <f t="shared" ref="I48:K48" si="7">Z4-G4</f>
        <v>3</v>
      </c>
      <c r="J48" s="2">
        <f t="shared" si="7"/>
        <v>11</v>
      </c>
      <c r="K48" s="2">
        <f t="shared" si="7"/>
        <v>14</v>
      </c>
      <c r="L48" s="120">
        <f t="shared" ref="L48:L83" si="8">K48/H48</f>
        <v>0.77777777777777779</v>
      </c>
      <c r="N48" t="s">
        <v>5368</v>
      </c>
      <c r="O48" s="120">
        <v>0.96153846153846156</v>
      </c>
      <c r="P48" s="120">
        <v>0.77777777777777779</v>
      </c>
      <c r="Q48" t="str">
        <f t="shared" ref="Q48:Q78" si="9">IF(O48&lt;P48, "Zlepšil se", IF(O48&gt;P48,"Zhoršil se", "nic"))</f>
        <v>Zhoršil se</v>
      </c>
      <c r="R48" s="2">
        <v>-18</v>
      </c>
    </row>
    <row r="49" spans="2:18" ht="15" thickBot="1" x14ac:dyDescent="0.35">
      <c r="B49" s="620" t="s">
        <v>4039</v>
      </c>
      <c r="C49" s="2">
        <f t="shared" si="1"/>
        <v>26</v>
      </c>
      <c r="D49" s="2">
        <f t="shared" si="2"/>
        <v>2</v>
      </c>
      <c r="E49" s="2">
        <f t="shared" si="3"/>
        <v>3</v>
      </c>
      <c r="F49" s="2">
        <f t="shared" si="4"/>
        <v>5</v>
      </c>
      <c r="G49" s="120">
        <f t="shared" si="5"/>
        <v>0.19230769230769232</v>
      </c>
      <c r="H49" s="2">
        <f t="shared" si="6"/>
        <v>26</v>
      </c>
      <c r="I49" s="2">
        <f t="shared" ref="I49:K49" si="10">Z5-G5</f>
        <v>2</v>
      </c>
      <c r="J49" s="2">
        <f t="shared" si="10"/>
        <v>0</v>
      </c>
      <c r="K49" s="2">
        <f t="shared" si="10"/>
        <v>2</v>
      </c>
      <c r="L49" s="120">
        <f t="shared" si="8"/>
        <v>7.6923076923076927E-2</v>
      </c>
      <c r="N49" t="s">
        <v>4039</v>
      </c>
      <c r="O49" s="120">
        <v>0.19230769230769232</v>
      </c>
      <c r="P49" s="120">
        <v>7.6923076923076927E-2</v>
      </c>
      <c r="Q49" t="str">
        <f t="shared" si="9"/>
        <v>Zhoršil se</v>
      </c>
      <c r="R49" s="2">
        <v>-5</v>
      </c>
    </row>
    <row r="50" spans="2:18" ht="15" thickBot="1" x14ac:dyDescent="0.35">
      <c r="B50" s="620" t="s">
        <v>5971</v>
      </c>
      <c r="C50" s="2">
        <f t="shared" si="1"/>
        <v>3</v>
      </c>
      <c r="D50" s="2">
        <f t="shared" si="2"/>
        <v>0</v>
      </c>
      <c r="E50" s="2">
        <f t="shared" si="3"/>
        <v>0</v>
      </c>
      <c r="F50" s="2">
        <f t="shared" si="4"/>
        <v>0</v>
      </c>
      <c r="G50" s="120">
        <f t="shared" si="5"/>
        <v>0</v>
      </c>
      <c r="H50" s="2">
        <f t="shared" si="6"/>
        <v>3</v>
      </c>
      <c r="I50" s="2">
        <f t="shared" ref="I50:K50" si="11">Z6-G6</f>
        <v>0</v>
      </c>
      <c r="J50" s="2">
        <f t="shared" si="11"/>
        <v>0</v>
      </c>
      <c r="K50" s="2">
        <f t="shared" si="11"/>
        <v>0</v>
      </c>
      <c r="L50" s="120">
        <f t="shared" si="8"/>
        <v>0</v>
      </c>
      <c r="N50" t="s">
        <v>5971</v>
      </c>
      <c r="O50" s="120">
        <v>0</v>
      </c>
      <c r="P50" s="120">
        <v>0</v>
      </c>
      <c r="Q50" t="str">
        <f t="shared" si="9"/>
        <v>nic</v>
      </c>
      <c r="R50" s="2"/>
    </row>
    <row r="51" spans="2:18" ht="15" thickBot="1" x14ac:dyDescent="0.35">
      <c r="B51" s="620" t="s">
        <v>5958</v>
      </c>
      <c r="C51" s="2">
        <f t="shared" si="1"/>
        <v>26</v>
      </c>
      <c r="D51" s="2">
        <f t="shared" si="2"/>
        <v>5</v>
      </c>
      <c r="E51" s="2">
        <f t="shared" si="3"/>
        <v>12</v>
      </c>
      <c r="F51" s="2">
        <f t="shared" si="4"/>
        <v>17</v>
      </c>
      <c r="G51" s="120">
        <f t="shared" si="5"/>
        <v>0.65384615384615385</v>
      </c>
      <c r="H51" s="2">
        <f t="shared" si="6"/>
        <v>26</v>
      </c>
      <c r="I51" s="2">
        <f t="shared" ref="I51:K51" si="12">Z7-G7</f>
        <v>4</v>
      </c>
      <c r="J51" s="2">
        <f t="shared" si="12"/>
        <v>9</v>
      </c>
      <c r="K51" s="2">
        <f t="shared" si="12"/>
        <v>13</v>
      </c>
      <c r="L51" s="120">
        <f t="shared" si="8"/>
        <v>0.5</v>
      </c>
      <c r="N51" t="s">
        <v>5958</v>
      </c>
      <c r="O51" s="120">
        <v>0.65384615384615385</v>
      </c>
      <c r="P51" s="120">
        <v>0.5</v>
      </c>
      <c r="Q51" t="str">
        <f t="shared" si="9"/>
        <v>Zhoršil se</v>
      </c>
      <c r="R51" s="2">
        <v>-9</v>
      </c>
    </row>
    <row r="52" spans="2:18" ht="15" thickBot="1" x14ac:dyDescent="0.35">
      <c r="B52" s="620" t="s">
        <v>5974</v>
      </c>
      <c r="C52" s="2">
        <f t="shared" si="1"/>
        <v>19</v>
      </c>
      <c r="D52" s="2">
        <f t="shared" si="2"/>
        <v>0</v>
      </c>
      <c r="E52" s="2">
        <f t="shared" si="3"/>
        <v>0</v>
      </c>
      <c r="F52" s="2">
        <f t="shared" si="4"/>
        <v>0</v>
      </c>
      <c r="G52" s="120">
        <f t="shared" si="5"/>
        <v>0</v>
      </c>
      <c r="H52" s="2">
        <f t="shared" si="6"/>
        <v>26</v>
      </c>
      <c r="I52" s="2">
        <f t="shared" ref="I52:K52" si="13">Z8-G8</f>
        <v>2</v>
      </c>
      <c r="J52" s="2">
        <f t="shared" si="13"/>
        <v>3</v>
      </c>
      <c r="K52" s="2">
        <f t="shared" si="13"/>
        <v>5</v>
      </c>
      <c r="L52" s="120">
        <f t="shared" si="8"/>
        <v>0.19230769230769232</v>
      </c>
      <c r="N52" t="s">
        <v>5974</v>
      </c>
      <c r="O52" s="120">
        <v>0</v>
      </c>
      <c r="P52" s="120">
        <v>0.19230769230769232</v>
      </c>
      <c r="Q52" t="str">
        <f t="shared" si="9"/>
        <v>Zlepšil se</v>
      </c>
      <c r="R52" s="2">
        <v>-6</v>
      </c>
    </row>
    <row r="53" spans="2:18" ht="15" thickBot="1" x14ac:dyDescent="0.35">
      <c r="B53" s="620" t="s">
        <v>5959</v>
      </c>
      <c r="C53" s="2">
        <f t="shared" si="1"/>
        <v>26</v>
      </c>
      <c r="D53" s="2">
        <f t="shared" si="2"/>
        <v>4</v>
      </c>
      <c r="E53" s="2">
        <f t="shared" si="3"/>
        <v>11</v>
      </c>
      <c r="F53" s="2">
        <f t="shared" si="4"/>
        <v>15</v>
      </c>
      <c r="G53" s="120">
        <f t="shared" si="5"/>
        <v>0.57692307692307687</v>
      </c>
      <c r="H53" s="2">
        <f t="shared" si="6"/>
        <v>17</v>
      </c>
      <c r="I53" s="2">
        <f t="shared" ref="I53:K53" si="14">Z9-G9</f>
        <v>1</v>
      </c>
      <c r="J53" s="2">
        <f t="shared" si="14"/>
        <v>3</v>
      </c>
      <c r="K53" s="2">
        <f t="shared" si="14"/>
        <v>4</v>
      </c>
      <c r="L53" s="120">
        <f t="shared" si="8"/>
        <v>0.23529411764705882</v>
      </c>
      <c r="N53" t="s">
        <v>5959</v>
      </c>
      <c r="O53" s="120">
        <v>0.57692307692307687</v>
      </c>
      <c r="P53" s="120">
        <v>0.23529411764705882</v>
      </c>
      <c r="Q53" t="str">
        <f t="shared" si="9"/>
        <v>Zhoršil se</v>
      </c>
      <c r="R53" s="2">
        <v>-10</v>
      </c>
    </row>
    <row r="54" spans="2:18" ht="15" thickBot="1" x14ac:dyDescent="0.35">
      <c r="B54" s="620" t="s">
        <v>5966</v>
      </c>
      <c r="C54" s="2">
        <f t="shared" si="1"/>
        <v>4</v>
      </c>
      <c r="D54" s="2">
        <f t="shared" si="2"/>
        <v>0</v>
      </c>
      <c r="E54" s="2">
        <f t="shared" si="3"/>
        <v>1</v>
      </c>
      <c r="F54" s="2">
        <f t="shared" si="4"/>
        <v>1</v>
      </c>
      <c r="G54" s="120">
        <f t="shared" si="5"/>
        <v>0.25</v>
      </c>
      <c r="H54" s="2">
        <f t="shared" si="6"/>
        <v>0</v>
      </c>
      <c r="I54" s="2">
        <f t="shared" ref="I54:K54" si="15">Z10-G10</f>
        <v>0</v>
      </c>
      <c r="J54" s="2">
        <f t="shared" si="15"/>
        <v>0</v>
      </c>
      <c r="K54" s="2">
        <f t="shared" si="15"/>
        <v>0</v>
      </c>
      <c r="L54" s="120"/>
      <c r="N54" t="s">
        <v>5966</v>
      </c>
      <c r="O54" s="120">
        <v>0.25</v>
      </c>
      <c r="P54" s="120"/>
      <c r="Q54" t="str">
        <f t="shared" si="9"/>
        <v>Zhoršil se</v>
      </c>
      <c r="R54" s="2">
        <v>0</v>
      </c>
    </row>
    <row r="55" spans="2:18" ht="15" thickBot="1" x14ac:dyDescent="0.35">
      <c r="B55" s="620" t="s">
        <v>82</v>
      </c>
      <c r="C55" s="2">
        <f t="shared" si="1"/>
        <v>25</v>
      </c>
      <c r="D55" s="2">
        <f t="shared" si="2"/>
        <v>2</v>
      </c>
      <c r="E55" s="2">
        <f t="shared" si="3"/>
        <v>3</v>
      </c>
      <c r="F55" s="2">
        <f t="shared" si="4"/>
        <v>5</v>
      </c>
      <c r="G55" s="120">
        <f t="shared" si="5"/>
        <v>0.2</v>
      </c>
      <c r="H55" s="2">
        <f t="shared" si="6"/>
        <v>26</v>
      </c>
      <c r="I55" s="2">
        <f t="shared" ref="I55:K55" si="16">Z11-G11</f>
        <v>3</v>
      </c>
      <c r="J55" s="2">
        <f t="shared" si="16"/>
        <v>2</v>
      </c>
      <c r="K55" s="2">
        <f t="shared" si="16"/>
        <v>5</v>
      </c>
      <c r="L55" s="120">
        <f t="shared" si="8"/>
        <v>0.19230769230769232</v>
      </c>
      <c r="N55" t="s">
        <v>82</v>
      </c>
      <c r="O55" s="120">
        <v>0.2</v>
      </c>
      <c r="P55" s="120">
        <v>0.19230769230769232</v>
      </c>
      <c r="Q55" t="s">
        <v>6039</v>
      </c>
      <c r="R55" s="2">
        <v>-4</v>
      </c>
    </row>
    <row r="56" spans="2:18" ht="15" thickBot="1" x14ac:dyDescent="0.35">
      <c r="B56" s="620" t="s">
        <v>5373</v>
      </c>
      <c r="C56" s="2">
        <f t="shared" si="1"/>
        <v>23</v>
      </c>
      <c r="D56" s="2">
        <f t="shared" si="2"/>
        <v>3</v>
      </c>
      <c r="E56" s="2">
        <f t="shared" si="3"/>
        <v>5</v>
      </c>
      <c r="F56" s="2">
        <f t="shared" si="4"/>
        <v>8</v>
      </c>
      <c r="G56" s="120">
        <f t="shared" si="5"/>
        <v>0.34782608695652173</v>
      </c>
      <c r="H56" s="2">
        <f t="shared" si="6"/>
        <v>20</v>
      </c>
      <c r="I56" s="2">
        <f t="shared" ref="I56:K56" si="17">Z12-G12</f>
        <v>0</v>
      </c>
      <c r="J56" s="2">
        <f t="shared" si="17"/>
        <v>0</v>
      </c>
      <c r="K56" s="2">
        <f t="shared" si="17"/>
        <v>0</v>
      </c>
      <c r="L56" s="120">
        <f t="shared" si="8"/>
        <v>0</v>
      </c>
      <c r="N56" t="s">
        <v>5373</v>
      </c>
      <c r="O56" s="120">
        <v>0.34782608695652173</v>
      </c>
      <c r="P56" s="120">
        <v>0</v>
      </c>
      <c r="Q56" t="str">
        <f t="shared" si="9"/>
        <v>Zhoršil se</v>
      </c>
      <c r="R56" s="2">
        <v>-4</v>
      </c>
    </row>
    <row r="57" spans="2:18" ht="15" thickBot="1" x14ac:dyDescent="0.35">
      <c r="B57" s="620" t="s">
        <v>5074</v>
      </c>
      <c r="C57" s="2">
        <f t="shared" si="1"/>
        <v>26</v>
      </c>
      <c r="D57" s="2">
        <f t="shared" si="2"/>
        <v>1</v>
      </c>
      <c r="E57" s="2">
        <f t="shared" si="3"/>
        <v>9</v>
      </c>
      <c r="F57" s="2">
        <f t="shared" si="4"/>
        <v>10</v>
      </c>
      <c r="G57" s="120">
        <f t="shared" si="5"/>
        <v>0.38461538461538464</v>
      </c>
      <c r="H57" s="2">
        <f t="shared" si="6"/>
        <v>24</v>
      </c>
      <c r="I57" s="2">
        <f t="shared" ref="I57:K57" si="18">Z13-G13</f>
        <v>2</v>
      </c>
      <c r="J57" s="2">
        <f t="shared" si="18"/>
        <v>4</v>
      </c>
      <c r="K57" s="2">
        <f t="shared" si="18"/>
        <v>6</v>
      </c>
      <c r="L57" s="120">
        <f t="shared" si="8"/>
        <v>0.25</v>
      </c>
      <c r="N57" t="s">
        <v>5074</v>
      </c>
      <c r="O57" s="120">
        <v>0.38461538461538464</v>
      </c>
      <c r="P57" s="120">
        <v>0.25</v>
      </c>
      <c r="Q57" t="str">
        <f t="shared" si="9"/>
        <v>Zhoršil se</v>
      </c>
      <c r="R57" s="2">
        <v>-7</v>
      </c>
    </row>
    <row r="58" spans="2:18" ht="15" thickBot="1" x14ac:dyDescent="0.35">
      <c r="B58" s="620" t="s">
        <v>5973</v>
      </c>
      <c r="C58" s="2">
        <f t="shared" si="1"/>
        <v>7</v>
      </c>
      <c r="D58" s="2">
        <f t="shared" si="2"/>
        <v>0</v>
      </c>
      <c r="E58" s="2">
        <f t="shared" si="3"/>
        <v>0</v>
      </c>
      <c r="F58" s="2">
        <f t="shared" si="4"/>
        <v>0</v>
      </c>
      <c r="G58" s="120">
        <f t="shared" si="5"/>
        <v>0</v>
      </c>
      <c r="H58" s="2">
        <f t="shared" si="6"/>
        <v>0</v>
      </c>
      <c r="I58" s="2">
        <f t="shared" ref="I58:K58" si="19">Z14-G14</f>
        <v>0</v>
      </c>
      <c r="J58" s="2">
        <f t="shared" si="19"/>
        <v>0</v>
      </c>
      <c r="K58" s="2">
        <f t="shared" si="19"/>
        <v>0</v>
      </c>
      <c r="L58" s="120"/>
      <c r="N58" t="s">
        <v>5973</v>
      </c>
      <c r="O58" s="120">
        <v>0</v>
      </c>
      <c r="P58" s="120"/>
      <c r="Q58" t="str">
        <f t="shared" si="9"/>
        <v>nic</v>
      </c>
      <c r="R58" s="2"/>
    </row>
    <row r="59" spans="2:18" ht="15" thickBot="1" x14ac:dyDescent="0.35">
      <c r="B59" s="620" t="s">
        <v>105</v>
      </c>
      <c r="C59" s="2">
        <f t="shared" si="1"/>
        <v>19</v>
      </c>
      <c r="D59" s="2">
        <f t="shared" si="2"/>
        <v>0</v>
      </c>
      <c r="E59" s="2">
        <f t="shared" si="3"/>
        <v>2</v>
      </c>
      <c r="F59" s="2">
        <f t="shared" si="4"/>
        <v>2</v>
      </c>
      <c r="G59" s="120">
        <f t="shared" si="5"/>
        <v>0.10526315789473684</v>
      </c>
      <c r="H59" s="2">
        <f t="shared" si="6"/>
        <v>22</v>
      </c>
      <c r="I59" s="2">
        <f t="shared" ref="I59:K59" si="20">Z15-G15</f>
        <v>1</v>
      </c>
      <c r="J59" s="2">
        <f t="shared" si="20"/>
        <v>0</v>
      </c>
      <c r="K59" s="2">
        <f t="shared" si="20"/>
        <v>1</v>
      </c>
      <c r="L59" s="120">
        <f t="shared" si="8"/>
        <v>4.5454545454545456E-2</v>
      </c>
      <c r="N59" t="s">
        <v>105</v>
      </c>
      <c r="O59" s="120">
        <v>0.10526315789473684</v>
      </c>
      <c r="P59" s="120">
        <v>4.5454545454545456E-2</v>
      </c>
      <c r="Q59" t="str">
        <f t="shared" si="9"/>
        <v>Zhoršil se</v>
      </c>
      <c r="R59" s="2">
        <v>-5</v>
      </c>
    </row>
    <row r="60" spans="2:18" ht="15" thickBot="1" x14ac:dyDescent="0.35">
      <c r="B60" s="620" t="s">
        <v>1227</v>
      </c>
      <c r="C60" s="2">
        <f t="shared" si="1"/>
        <v>3</v>
      </c>
      <c r="D60" s="2">
        <f t="shared" si="2"/>
        <v>0</v>
      </c>
      <c r="E60" s="2">
        <f t="shared" si="3"/>
        <v>0</v>
      </c>
      <c r="F60" s="2">
        <f t="shared" si="4"/>
        <v>0</v>
      </c>
      <c r="G60" s="120">
        <f t="shared" si="5"/>
        <v>0</v>
      </c>
      <c r="H60" s="2">
        <f t="shared" si="6"/>
        <v>0</v>
      </c>
      <c r="I60" s="2">
        <f t="shared" ref="I60:K60" si="21">Z16-G16</f>
        <v>0</v>
      </c>
      <c r="J60" s="2">
        <f t="shared" si="21"/>
        <v>0</v>
      </c>
      <c r="K60" s="2">
        <f t="shared" si="21"/>
        <v>0</v>
      </c>
      <c r="L60" s="120"/>
      <c r="N60" t="s">
        <v>1227</v>
      </c>
      <c r="O60" s="120">
        <v>0</v>
      </c>
      <c r="P60" s="120"/>
      <c r="Q60" t="str">
        <f t="shared" si="9"/>
        <v>nic</v>
      </c>
      <c r="R60" s="2"/>
    </row>
    <row r="61" spans="2:18" ht="15" thickBot="1" x14ac:dyDescent="0.35">
      <c r="B61" s="620" t="s">
        <v>4040</v>
      </c>
      <c r="C61" s="2">
        <f t="shared" si="1"/>
        <v>1</v>
      </c>
      <c r="D61" s="2">
        <f t="shared" si="2"/>
        <v>0</v>
      </c>
      <c r="E61" s="2">
        <f t="shared" si="3"/>
        <v>0</v>
      </c>
      <c r="F61" s="2">
        <f t="shared" si="4"/>
        <v>0</v>
      </c>
      <c r="G61" s="120">
        <f t="shared" si="5"/>
        <v>0</v>
      </c>
      <c r="H61" s="2">
        <f t="shared" si="6"/>
        <v>1</v>
      </c>
      <c r="I61" s="2">
        <f t="shared" ref="I61:K61" si="22">Z17-G17</f>
        <v>0</v>
      </c>
      <c r="J61" s="2">
        <f t="shared" si="22"/>
        <v>0</v>
      </c>
      <c r="K61" s="2">
        <f t="shared" si="22"/>
        <v>0</v>
      </c>
      <c r="L61" s="120">
        <f t="shared" si="8"/>
        <v>0</v>
      </c>
      <c r="N61" t="s">
        <v>4040</v>
      </c>
      <c r="O61" s="120">
        <v>0</v>
      </c>
      <c r="P61" s="120">
        <v>0</v>
      </c>
      <c r="Q61" t="str">
        <f t="shared" si="9"/>
        <v>nic</v>
      </c>
      <c r="R61" s="2"/>
    </row>
    <row r="62" spans="2:18" ht="15" thickBot="1" x14ac:dyDescent="0.35">
      <c r="B62" s="620" t="s">
        <v>83</v>
      </c>
      <c r="C62" s="2">
        <f t="shared" si="1"/>
        <v>26</v>
      </c>
      <c r="D62" s="2">
        <f t="shared" si="2"/>
        <v>0</v>
      </c>
      <c r="E62" s="2">
        <f t="shared" si="3"/>
        <v>2</v>
      </c>
      <c r="F62" s="2">
        <f t="shared" si="4"/>
        <v>2</v>
      </c>
      <c r="G62" s="120">
        <f t="shared" si="5"/>
        <v>7.6923076923076927E-2</v>
      </c>
      <c r="H62" s="2">
        <f t="shared" si="6"/>
        <v>26</v>
      </c>
      <c r="I62" s="2">
        <f t="shared" ref="I62:K62" si="23">Z18-G18</f>
        <v>0</v>
      </c>
      <c r="J62" s="2">
        <f t="shared" si="23"/>
        <v>2</v>
      </c>
      <c r="K62" s="2">
        <f t="shared" si="23"/>
        <v>2</v>
      </c>
      <c r="L62" s="120">
        <f t="shared" si="8"/>
        <v>7.6923076923076927E-2</v>
      </c>
      <c r="N62" t="s">
        <v>83</v>
      </c>
      <c r="O62" s="120">
        <v>7.6923076923076927E-2</v>
      </c>
      <c r="P62" s="120">
        <v>7.6923076923076927E-2</v>
      </c>
      <c r="Q62" t="str">
        <f t="shared" si="9"/>
        <v>nic</v>
      </c>
      <c r="R62" s="2">
        <v>2</v>
      </c>
    </row>
    <row r="63" spans="2:18" ht="15" thickBot="1" x14ac:dyDescent="0.35">
      <c r="B63" s="620" t="s">
        <v>5375</v>
      </c>
      <c r="C63" s="2">
        <f t="shared" ref="C63:C79" si="24">E19</f>
        <v>22</v>
      </c>
      <c r="D63" s="2">
        <f t="shared" ref="D63:D79" si="25">G19</f>
        <v>0</v>
      </c>
      <c r="E63" s="2">
        <f t="shared" ref="E63:E79" si="26">H19</f>
        <v>1</v>
      </c>
      <c r="F63" s="2">
        <f t="shared" ref="F63:F79" si="27">I19</f>
        <v>1</v>
      </c>
      <c r="G63" s="120">
        <f t="shared" si="5"/>
        <v>4.5454545454545456E-2</v>
      </c>
      <c r="H63" s="2">
        <f t="shared" si="6"/>
        <v>10</v>
      </c>
      <c r="I63" s="2">
        <f t="shared" ref="I63:K63" si="28">Z19-G19</f>
        <v>0</v>
      </c>
      <c r="J63" s="2">
        <f t="shared" si="28"/>
        <v>1</v>
      </c>
      <c r="K63" s="2">
        <f t="shared" si="28"/>
        <v>1</v>
      </c>
      <c r="L63" s="120">
        <f t="shared" si="8"/>
        <v>0.1</v>
      </c>
      <c r="N63" t="s">
        <v>5375</v>
      </c>
      <c r="O63" s="120">
        <v>4.5454545454545456E-2</v>
      </c>
      <c r="P63" s="120">
        <v>0.1</v>
      </c>
      <c r="Q63" t="str">
        <f t="shared" si="9"/>
        <v>Zlepšil se</v>
      </c>
      <c r="R63" s="2">
        <v>0</v>
      </c>
    </row>
    <row r="64" spans="2:18" ht="15" thickBot="1" x14ac:dyDescent="0.35">
      <c r="B64" s="620" t="s">
        <v>5962</v>
      </c>
      <c r="C64" s="2">
        <f t="shared" si="24"/>
        <v>19</v>
      </c>
      <c r="D64" s="2">
        <f t="shared" si="25"/>
        <v>3</v>
      </c>
      <c r="E64" s="2">
        <f t="shared" si="26"/>
        <v>1</v>
      </c>
      <c r="F64" s="2">
        <f t="shared" si="27"/>
        <v>4</v>
      </c>
      <c r="G64" s="120">
        <f t="shared" si="5"/>
        <v>0.21052631578947367</v>
      </c>
      <c r="H64" s="2">
        <f t="shared" si="6"/>
        <v>24</v>
      </c>
      <c r="I64" s="2">
        <f t="shared" ref="I64:K64" si="29">Z20-G20</f>
        <v>1</v>
      </c>
      <c r="J64" s="2">
        <f t="shared" si="29"/>
        <v>1</v>
      </c>
      <c r="K64" s="2">
        <f t="shared" si="29"/>
        <v>2</v>
      </c>
      <c r="L64" s="120">
        <f t="shared" si="8"/>
        <v>8.3333333333333329E-2</v>
      </c>
      <c r="N64" t="s">
        <v>5962</v>
      </c>
      <c r="O64" s="120">
        <v>0.21052631578947367</v>
      </c>
      <c r="P64" s="120">
        <v>8.3333333333333329E-2</v>
      </c>
      <c r="Q64" t="str">
        <f t="shared" si="9"/>
        <v>Zhoršil se</v>
      </c>
      <c r="R64" s="2">
        <v>-8</v>
      </c>
    </row>
    <row r="65" spans="2:18" ht="15" thickBot="1" x14ac:dyDescent="0.35">
      <c r="B65" s="620" t="s">
        <v>4173</v>
      </c>
      <c r="C65" s="2">
        <f t="shared" si="24"/>
        <v>26</v>
      </c>
      <c r="D65" s="2">
        <f t="shared" si="25"/>
        <v>9</v>
      </c>
      <c r="E65" s="2">
        <f t="shared" si="26"/>
        <v>10</v>
      </c>
      <c r="F65" s="2">
        <f t="shared" si="27"/>
        <v>19</v>
      </c>
      <c r="G65" s="120">
        <f t="shared" si="5"/>
        <v>0.73076923076923073</v>
      </c>
      <c r="H65" s="2">
        <f t="shared" si="6"/>
        <v>26</v>
      </c>
      <c r="I65" s="2">
        <f t="shared" ref="I65:K65" si="30">Z21-G21</f>
        <v>9</v>
      </c>
      <c r="J65" s="2">
        <f t="shared" si="30"/>
        <v>7</v>
      </c>
      <c r="K65" s="2">
        <f t="shared" si="30"/>
        <v>16</v>
      </c>
      <c r="L65" s="120">
        <f t="shared" si="8"/>
        <v>0.61538461538461542</v>
      </c>
      <c r="N65" t="s">
        <v>4173</v>
      </c>
      <c r="O65" s="120">
        <v>0.73076923076923073</v>
      </c>
      <c r="P65" s="120">
        <v>0.61538461538461542</v>
      </c>
      <c r="Q65" t="str">
        <f t="shared" si="9"/>
        <v>Zhoršil se</v>
      </c>
      <c r="R65" s="2">
        <v>-7</v>
      </c>
    </row>
    <row r="66" spans="2:18" ht="15" thickBot="1" x14ac:dyDescent="0.35">
      <c r="B66" s="620" t="s">
        <v>5960</v>
      </c>
      <c r="C66" s="2">
        <f t="shared" si="24"/>
        <v>10</v>
      </c>
      <c r="D66" s="2">
        <f t="shared" si="25"/>
        <v>5</v>
      </c>
      <c r="E66" s="2">
        <f t="shared" si="26"/>
        <v>3</v>
      </c>
      <c r="F66" s="2">
        <f t="shared" si="27"/>
        <v>8</v>
      </c>
      <c r="G66" s="120">
        <f t="shared" si="5"/>
        <v>0.8</v>
      </c>
      <c r="H66" s="2">
        <f t="shared" si="6"/>
        <v>24</v>
      </c>
      <c r="I66" s="2">
        <f t="shared" ref="I66:K66" si="31">Z22-G22</f>
        <v>1</v>
      </c>
      <c r="J66" s="2">
        <f t="shared" si="31"/>
        <v>1</v>
      </c>
      <c r="K66" s="2">
        <f t="shared" si="31"/>
        <v>2</v>
      </c>
      <c r="L66" s="120">
        <f t="shared" si="8"/>
        <v>8.3333333333333329E-2</v>
      </c>
      <c r="N66" t="s">
        <v>5960</v>
      </c>
      <c r="O66" s="120">
        <v>0.8</v>
      </c>
      <c r="P66" s="120">
        <v>8.3333333333333329E-2</v>
      </c>
      <c r="Q66" t="str">
        <f t="shared" si="9"/>
        <v>Zhoršil se</v>
      </c>
      <c r="R66" s="2">
        <v>-8</v>
      </c>
    </row>
    <row r="67" spans="2:18" ht="15" thickBot="1" x14ac:dyDescent="0.35">
      <c r="B67" s="620" t="s">
        <v>5070</v>
      </c>
      <c r="C67" s="2">
        <f t="shared" si="24"/>
        <v>26</v>
      </c>
      <c r="D67" s="2">
        <f t="shared" si="25"/>
        <v>4</v>
      </c>
      <c r="E67" s="2">
        <f t="shared" si="26"/>
        <v>5</v>
      </c>
      <c r="F67" s="2">
        <f t="shared" si="27"/>
        <v>9</v>
      </c>
      <c r="G67" s="120">
        <f t="shared" si="5"/>
        <v>0.34615384615384615</v>
      </c>
      <c r="H67" s="2">
        <f t="shared" si="6"/>
        <v>21</v>
      </c>
      <c r="I67" s="2">
        <f t="shared" ref="I67:K67" si="32">Z23-G23</f>
        <v>0</v>
      </c>
      <c r="J67" s="2">
        <f t="shared" si="32"/>
        <v>4</v>
      </c>
      <c r="K67" s="2">
        <f t="shared" si="32"/>
        <v>4</v>
      </c>
      <c r="L67" s="120">
        <f t="shared" si="8"/>
        <v>0.19047619047619047</v>
      </c>
      <c r="N67" t="s">
        <v>5070</v>
      </c>
      <c r="O67" s="120">
        <v>0.34615384615384615</v>
      </c>
      <c r="P67" s="120">
        <v>0.19047619047619047</v>
      </c>
      <c r="Q67" t="str">
        <f t="shared" si="9"/>
        <v>Zhoršil se</v>
      </c>
      <c r="R67" s="2">
        <v>-3</v>
      </c>
    </row>
    <row r="68" spans="2:18" ht="15" thickBot="1" x14ac:dyDescent="0.35">
      <c r="B68" s="620" t="s">
        <v>5969</v>
      </c>
      <c r="C68" s="2">
        <f t="shared" si="24"/>
        <v>2</v>
      </c>
      <c r="D68" s="2">
        <f t="shared" si="25"/>
        <v>0</v>
      </c>
      <c r="E68" s="2">
        <f t="shared" si="26"/>
        <v>0</v>
      </c>
      <c r="F68" s="2">
        <f t="shared" si="27"/>
        <v>0</v>
      </c>
      <c r="G68" s="120">
        <f t="shared" si="5"/>
        <v>0</v>
      </c>
      <c r="H68" s="2">
        <f t="shared" si="6"/>
        <v>0</v>
      </c>
      <c r="I68" s="2">
        <f t="shared" ref="I68:K68" si="33">Z24-G24</f>
        <v>0</v>
      </c>
      <c r="J68" s="2">
        <f t="shared" si="33"/>
        <v>0</v>
      </c>
      <c r="K68" s="2">
        <f t="shared" si="33"/>
        <v>0</v>
      </c>
      <c r="L68" s="120"/>
      <c r="N68" t="s">
        <v>5969</v>
      </c>
      <c r="O68" s="120">
        <v>0</v>
      </c>
      <c r="P68" s="120"/>
      <c r="Q68" t="str">
        <f t="shared" si="9"/>
        <v>nic</v>
      </c>
      <c r="R68" s="2">
        <v>0</v>
      </c>
    </row>
    <row r="69" spans="2:18" ht="15" thickBot="1" x14ac:dyDescent="0.35">
      <c r="B69" s="620" t="s">
        <v>5069</v>
      </c>
      <c r="C69" s="2">
        <f t="shared" si="24"/>
        <v>22</v>
      </c>
      <c r="D69" s="2">
        <f t="shared" si="25"/>
        <v>4</v>
      </c>
      <c r="E69" s="2">
        <f t="shared" si="26"/>
        <v>9</v>
      </c>
      <c r="F69" s="2">
        <f t="shared" si="27"/>
        <v>13</v>
      </c>
      <c r="G69" s="120">
        <f t="shared" si="5"/>
        <v>0.59090909090909094</v>
      </c>
      <c r="H69" s="2">
        <f t="shared" si="6"/>
        <v>24</v>
      </c>
      <c r="I69" s="2">
        <f t="shared" ref="I69:K69" si="34">Z25-G25</f>
        <v>5</v>
      </c>
      <c r="J69" s="2">
        <f t="shared" si="34"/>
        <v>3</v>
      </c>
      <c r="K69" s="2">
        <f t="shared" si="34"/>
        <v>8</v>
      </c>
      <c r="L69" s="120">
        <f t="shared" si="8"/>
        <v>0.33333333333333331</v>
      </c>
      <c r="N69" t="s">
        <v>5069</v>
      </c>
      <c r="O69" s="120">
        <v>0.59090909090909094</v>
      </c>
      <c r="P69" s="120">
        <v>0.33333333333333331</v>
      </c>
      <c r="Q69" t="str">
        <f t="shared" si="9"/>
        <v>Zhoršil se</v>
      </c>
      <c r="R69" s="2">
        <v>-17</v>
      </c>
    </row>
    <row r="70" spans="2:18" ht="15" thickBot="1" x14ac:dyDescent="0.35">
      <c r="B70" s="620" t="s">
        <v>1224</v>
      </c>
      <c r="C70" s="2">
        <f t="shared" si="24"/>
        <v>8</v>
      </c>
      <c r="D70" s="2">
        <f t="shared" si="25"/>
        <v>0</v>
      </c>
      <c r="E70" s="2">
        <f t="shared" si="26"/>
        <v>1</v>
      </c>
      <c r="F70" s="2">
        <f t="shared" si="27"/>
        <v>1</v>
      </c>
      <c r="G70" s="120">
        <f t="shared" si="5"/>
        <v>0.125</v>
      </c>
      <c r="H70" s="2">
        <f t="shared" si="6"/>
        <v>15</v>
      </c>
      <c r="I70" s="2">
        <f t="shared" ref="I70:K70" si="35">Z26-G26</f>
        <v>0</v>
      </c>
      <c r="J70" s="2">
        <f t="shared" si="35"/>
        <v>0</v>
      </c>
      <c r="K70" s="2">
        <f t="shared" si="35"/>
        <v>0</v>
      </c>
      <c r="L70" s="120">
        <f t="shared" si="8"/>
        <v>0</v>
      </c>
      <c r="N70" t="s">
        <v>1224</v>
      </c>
      <c r="O70" s="120">
        <v>0.125</v>
      </c>
      <c r="P70" s="120">
        <v>0</v>
      </c>
      <c r="Q70" t="str">
        <f t="shared" si="9"/>
        <v>Zhoršil se</v>
      </c>
      <c r="R70" s="2">
        <v>-3</v>
      </c>
    </row>
    <row r="71" spans="2:18" ht="15" thickBot="1" x14ac:dyDescent="0.35">
      <c r="B71" s="620" t="s">
        <v>115</v>
      </c>
      <c r="C71" s="2">
        <f t="shared" si="24"/>
        <v>7</v>
      </c>
      <c r="D71" s="2">
        <f t="shared" si="25"/>
        <v>2</v>
      </c>
      <c r="E71" s="2">
        <f t="shared" si="26"/>
        <v>0</v>
      </c>
      <c r="F71" s="2">
        <f t="shared" si="27"/>
        <v>2</v>
      </c>
      <c r="G71" s="120">
        <f t="shared" si="5"/>
        <v>0.2857142857142857</v>
      </c>
      <c r="H71" s="2">
        <f t="shared" si="6"/>
        <v>2</v>
      </c>
      <c r="I71" s="2">
        <f t="shared" ref="I71:K71" si="36">Z27-G27</f>
        <v>0</v>
      </c>
      <c r="J71" s="2">
        <f t="shared" si="36"/>
        <v>0</v>
      </c>
      <c r="K71" s="2">
        <f t="shared" si="36"/>
        <v>0</v>
      </c>
      <c r="L71" s="120">
        <f t="shared" si="8"/>
        <v>0</v>
      </c>
      <c r="N71" t="s">
        <v>115</v>
      </c>
      <c r="O71" s="120">
        <v>0.2857142857142857</v>
      </c>
      <c r="P71" s="120">
        <v>0</v>
      </c>
      <c r="Q71" t="str">
        <f t="shared" si="9"/>
        <v>Zhoršil se</v>
      </c>
      <c r="R71" s="2">
        <v>0</v>
      </c>
    </row>
    <row r="72" spans="2:18" ht="15" thickBot="1" x14ac:dyDescent="0.35">
      <c r="B72" s="620" t="s">
        <v>5369</v>
      </c>
      <c r="C72" s="2">
        <f t="shared" si="24"/>
        <v>21</v>
      </c>
      <c r="D72" s="2">
        <f t="shared" si="25"/>
        <v>8</v>
      </c>
      <c r="E72" s="2">
        <f t="shared" si="26"/>
        <v>14</v>
      </c>
      <c r="F72" s="2">
        <f t="shared" si="27"/>
        <v>22</v>
      </c>
      <c r="G72" s="120">
        <f t="shared" si="5"/>
        <v>1.0476190476190477</v>
      </c>
      <c r="H72" s="2">
        <f t="shared" si="6"/>
        <v>23</v>
      </c>
      <c r="I72" s="2">
        <f t="shared" ref="I72:K72" si="37">Z28-G28</f>
        <v>7</v>
      </c>
      <c r="J72" s="2">
        <f t="shared" si="37"/>
        <v>12</v>
      </c>
      <c r="K72" s="2">
        <f t="shared" si="37"/>
        <v>19</v>
      </c>
      <c r="L72" s="120">
        <f t="shared" si="8"/>
        <v>0.82608695652173914</v>
      </c>
      <c r="N72" t="s">
        <v>5369</v>
      </c>
      <c r="O72" s="120">
        <v>1.0476190476190477</v>
      </c>
      <c r="P72" s="120">
        <v>0.82608695652173914</v>
      </c>
      <c r="Q72" t="str">
        <f t="shared" si="9"/>
        <v>Zhoršil se</v>
      </c>
      <c r="R72" s="2">
        <v>-14</v>
      </c>
    </row>
    <row r="73" spans="2:18" ht="15" thickBot="1" x14ac:dyDescent="0.35">
      <c r="B73" s="620" t="s">
        <v>5970</v>
      </c>
      <c r="C73" s="2">
        <f t="shared" si="24"/>
        <v>2</v>
      </c>
      <c r="D73" s="2">
        <f t="shared" si="25"/>
        <v>0</v>
      </c>
      <c r="E73" s="2">
        <f t="shared" si="26"/>
        <v>0</v>
      </c>
      <c r="F73" s="2">
        <f t="shared" si="27"/>
        <v>0</v>
      </c>
      <c r="G73" s="120">
        <f t="shared" si="5"/>
        <v>0</v>
      </c>
      <c r="H73" s="2">
        <f t="shared" si="6"/>
        <v>0</v>
      </c>
      <c r="I73" s="2">
        <f t="shared" ref="I73:K73" si="38">Z29-G29</f>
        <v>0</v>
      </c>
      <c r="J73" s="2">
        <f t="shared" si="38"/>
        <v>0</v>
      </c>
      <c r="K73" s="2">
        <f t="shared" si="38"/>
        <v>0</v>
      </c>
      <c r="L73" s="120"/>
      <c r="N73" t="s">
        <v>5970</v>
      </c>
      <c r="O73" s="120">
        <v>0</v>
      </c>
      <c r="P73" s="120"/>
      <c r="Q73" t="str">
        <f t="shared" si="9"/>
        <v>nic</v>
      </c>
      <c r="R73" s="2"/>
    </row>
    <row r="74" spans="2:18" ht="15" thickBot="1" x14ac:dyDescent="0.35">
      <c r="B74" s="620" t="s">
        <v>3622</v>
      </c>
      <c r="C74" s="2">
        <f t="shared" si="24"/>
        <v>5</v>
      </c>
      <c r="D74" s="2">
        <f t="shared" si="25"/>
        <v>0</v>
      </c>
      <c r="E74" s="2">
        <f t="shared" si="26"/>
        <v>0</v>
      </c>
      <c r="F74" s="2">
        <f t="shared" si="27"/>
        <v>0</v>
      </c>
      <c r="G74" s="120">
        <f t="shared" si="5"/>
        <v>0</v>
      </c>
      <c r="H74" s="2">
        <f t="shared" si="6"/>
        <v>22</v>
      </c>
      <c r="I74" s="2">
        <f t="shared" ref="I74:K74" si="39">Z30-G30</f>
        <v>1</v>
      </c>
      <c r="J74" s="2">
        <f t="shared" si="39"/>
        <v>2</v>
      </c>
      <c r="K74" s="2">
        <f t="shared" si="39"/>
        <v>3</v>
      </c>
      <c r="L74" s="120">
        <f t="shared" si="8"/>
        <v>0.13636363636363635</v>
      </c>
      <c r="N74" t="s">
        <v>3622</v>
      </c>
      <c r="O74" s="120">
        <v>0</v>
      </c>
      <c r="P74" s="120">
        <v>0.13636363636363635</v>
      </c>
      <c r="Q74" t="str">
        <f t="shared" si="9"/>
        <v>Zlepšil se</v>
      </c>
      <c r="R74" s="2">
        <v>-1</v>
      </c>
    </row>
    <row r="75" spans="2:18" ht="15" thickBot="1" x14ac:dyDescent="0.35">
      <c r="B75" s="620" t="s">
        <v>5370</v>
      </c>
      <c r="C75" s="2">
        <f t="shared" si="24"/>
        <v>26</v>
      </c>
      <c r="D75" s="2">
        <f t="shared" si="25"/>
        <v>10</v>
      </c>
      <c r="E75" s="2">
        <f t="shared" si="26"/>
        <v>7</v>
      </c>
      <c r="F75" s="2">
        <f t="shared" si="27"/>
        <v>17</v>
      </c>
      <c r="G75" s="120">
        <f t="shared" si="5"/>
        <v>0.65384615384615385</v>
      </c>
      <c r="H75" s="2">
        <f t="shared" si="6"/>
        <v>16</v>
      </c>
      <c r="I75" s="2">
        <f t="shared" ref="I75:K75" si="40">Z31-G31</f>
        <v>5</v>
      </c>
      <c r="J75" s="2">
        <f t="shared" si="40"/>
        <v>7</v>
      </c>
      <c r="K75" s="2">
        <f t="shared" si="40"/>
        <v>12</v>
      </c>
      <c r="L75" s="120">
        <f t="shared" si="8"/>
        <v>0.75</v>
      </c>
      <c r="N75" t="s">
        <v>5370</v>
      </c>
      <c r="O75" s="120">
        <v>0.65384615384615385</v>
      </c>
      <c r="P75" s="120">
        <v>0.75</v>
      </c>
      <c r="Q75" t="str">
        <f t="shared" si="9"/>
        <v>Zlepšil se</v>
      </c>
      <c r="R75" s="2">
        <v>1</v>
      </c>
    </row>
    <row r="76" spans="2:18" ht="15" thickBot="1" x14ac:dyDescent="0.35">
      <c r="B76" s="620" t="s">
        <v>5968</v>
      </c>
      <c r="C76" s="2">
        <f t="shared" si="24"/>
        <v>1</v>
      </c>
      <c r="D76" s="2">
        <f t="shared" si="25"/>
        <v>0</v>
      </c>
      <c r="E76" s="2">
        <f t="shared" si="26"/>
        <v>0</v>
      </c>
      <c r="F76" s="2">
        <f t="shared" si="27"/>
        <v>0</v>
      </c>
      <c r="G76" s="120">
        <f t="shared" si="5"/>
        <v>0</v>
      </c>
      <c r="H76" s="2">
        <f t="shared" si="6"/>
        <v>0</v>
      </c>
      <c r="I76" s="2">
        <f t="shared" ref="I76:K76" si="41">Z32-G32</f>
        <v>0</v>
      </c>
      <c r="J76" s="2">
        <f t="shared" si="41"/>
        <v>0</v>
      </c>
      <c r="K76" s="2">
        <f t="shared" si="41"/>
        <v>0</v>
      </c>
      <c r="L76" s="120"/>
      <c r="N76" t="s">
        <v>5968</v>
      </c>
      <c r="O76" s="120">
        <v>0</v>
      </c>
      <c r="P76" s="120"/>
      <c r="Q76" t="str">
        <f t="shared" si="9"/>
        <v>nic</v>
      </c>
      <c r="R76" s="2"/>
    </row>
    <row r="77" spans="2:18" ht="15" thickBot="1" x14ac:dyDescent="0.35">
      <c r="B77" s="620" t="s">
        <v>5967</v>
      </c>
      <c r="C77" s="2">
        <f t="shared" si="24"/>
        <v>1</v>
      </c>
      <c r="D77" s="2">
        <f t="shared" si="25"/>
        <v>0</v>
      </c>
      <c r="E77" s="2">
        <f t="shared" si="26"/>
        <v>0</v>
      </c>
      <c r="F77" s="2">
        <f t="shared" si="27"/>
        <v>0</v>
      </c>
      <c r="G77" s="120">
        <f t="shared" si="5"/>
        <v>0</v>
      </c>
      <c r="H77" s="2">
        <f t="shared" si="6"/>
        <v>0</v>
      </c>
      <c r="I77" s="2">
        <f t="shared" ref="I77:K77" si="42">Z33-G33</f>
        <v>0</v>
      </c>
      <c r="J77" s="2">
        <f t="shared" si="42"/>
        <v>0</v>
      </c>
      <c r="K77" s="2">
        <f t="shared" si="42"/>
        <v>0</v>
      </c>
      <c r="L77" s="120"/>
      <c r="N77" t="s">
        <v>5967</v>
      </c>
      <c r="O77" s="120">
        <v>0</v>
      </c>
      <c r="P77" s="120"/>
      <c r="Q77" t="str">
        <f t="shared" si="9"/>
        <v>nic</v>
      </c>
      <c r="R77" s="2"/>
    </row>
    <row r="78" spans="2:18" ht="15" thickBot="1" x14ac:dyDescent="0.35">
      <c r="B78" s="620" t="s">
        <v>5972</v>
      </c>
      <c r="C78" s="2">
        <f t="shared" si="24"/>
        <v>5</v>
      </c>
      <c r="D78" s="2">
        <f t="shared" si="25"/>
        <v>0</v>
      </c>
      <c r="E78" s="2">
        <f t="shared" si="26"/>
        <v>0</v>
      </c>
      <c r="F78" s="2">
        <f t="shared" si="27"/>
        <v>0</v>
      </c>
      <c r="G78" s="120">
        <f t="shared" si="5"/>
        <v>0</v>
      </c>
      <c r="H78" s="2">
        <f t="shared" si="6"/>
        <v>3</v>
      </c>
      <c r="I78" s="2">
        <f t="shared" ref="I78:K78" si="43">Z34-G34</f>
        <v>0</v>
      </c>
      <c r="J78" s="2">
        <f t="shared" si="43"/>
        <v>0</v>
      </c>
      <c r="K78" s="2">
        <f t="shared" si="43"/>
        <v>0</v>
      </c>
      <c r="L78" s="120">
        <f t="shared" si="8"/>
        <v>0</v>
      </c>
      <c r="N78" t="s">
        <v>5972</v>
      </c>
      <c r="O78" s="120">
        <v>0</v>
      </c>
      <c r="P78" s="120">
        <v>0</v>
      </c>
      <c r="Q78" t="str">
        <f t="shared" si="9"/>
        <v>nic</v>
      </c>
      <c r="R78" s="2">
        <v>-1</v>
      </c>
    </row>
    <row r="79" spans="2:18" ht="15" thickBot="1" x14ac:dyDescent="0.35">
      <c r="B79" s="627" t="s">
        <v>5965</v>
      </c>
      <c r="C79" s="2">
        <f t="shared" si="24"/>
        <v>2</v>
      </c>
      <c r="D79" s="2">
        <f t="shared" si="25"/>
        <v>1</v>
      </c>
      <c r="E79" s="2">
        <f t="shared" si="26"/>
        <v>0</v>
      </c>
      <c r="F79" s="2">
        <f t="shared" si="27"/>
        <v>1</v>
      </c>
      <c r="G79" s="120">
        <f t="shared" si="5"/>
        <v>0.5</v>
      </c>
      <c r="H79" s="2">
        <f t="shared" si="6"/>
        <v>0</v>
      </c>
      <c r="I79" s="2">
        <f t="shared" ref="I79:K79" si="44">Z35-G35</f>
        <v>0</v>
      </c>
      <c r="J79" s="2">
        <f t="shared" si="44"/>
        <v>0</v>
      </c>
      <c r="K79" s="2">
        <f t="shared" si="44"/>
        <v>0</v>
      </c>
      <c r="L79" s="120"/>
      <c r="N79" t="s">
        <v>5965</v>
      </c>
      <c r="O79" s="120">
        <v>0.5</v>
      </c>
      <c r="P79" s="120"/>
      <c r="Q79" t="s">
        <v>6039</v>
      </c>
      <c r="R79" s="2"/>
    </row>
    <row r="80" spans="2:18" ht="15.6" thickTop="1" thickBot="1" x14ac:dyDescent="0.35">
      <c r="B80" s="620" t="s">
        <v>6034</v>
      </c>
      <c r="C80" s="294">
        <v>0</v>
      </c>
      <c r="D80" s="294">
        <v>0</v>
      </c>
      <c r="E80" s="294">
        <v>0</v>
      </c>
      <c r="F80" s="294">
        <v>0</v>
      </c>
      <c r="H80" s="2">
        <f>X40</f>
        <v>2</v>
      </c>
      <c r="I80" s="2">
        <f>Z40</f>
        <v>0</v>
      </c>
      <c r="J80" s="2">
        <f>AA40</f>
        <v>0</v>
      </c>
      <c r="K80" s="2">
        <f>AB40</f>
        <v>0</v>
      </c>
      <c r="L80" s="120">
        <f t="shared" si="8"/>
        <v>0</v>
      </c>
      <c r="N80" t="s">
        <v>6034</v>
      </c>
      <c r="O80" s="120"/>
      <c r="P80" s="120">
        <v>0</v>
      </c>
      <c r="Q80" t="s">
        <v>6039</v>
      </c>
      <c r="R80" s="2"/>
    </row>
    <row r="81" spans="2:17" ht="15" thickBot="1" x14ac:dyDescent="0.35">
      <c r="B81" s="620" t="s">
        <v>6031</v>
      </c>
      <c r="C81" s="294">
        <v>0</v>
      </c>
      <c r="D81" s="294">
        <v>0</v>
      </c>
      <c r="E81" s="294">
        <v>0</v>
      </c>
      <c r="F81" s="294">
        <v>0</v>
      </c>
      <c r="H81" s="2">
        <f t="shared" ref="H81:H83" si="45">X41</f>
        <v>12</v>
      </c>
      <c r="I81" s="2">
        <f t="shared" ref="I81:K81" si="46">Z41</f>
        <v>0</v>
      </c>
      <c r="J81" s="2">
        <f t="shared" si="46"/>
        <v>2</v>
      </c>
      <c r="K81" s="2">
        <f t="shared" si="46"/>
        <v>2</v>
      </c>
      <c r="L81" s="120">
        <f t="shared" si="8"/>
        <v>0.16666666666666666</v>
      </c>
      <c r="N81" t="s">
        <v>6031</v>
      </c>
      <c r="O81" s="120"/>
      <c r="P81" s="120">
        <v>0.16666666666666666</v>
      </c>
      <c r="Q81" t="s">
        <v>6039</v>
      </c>
    </row>
    <row r="82" spans="2:17" ht="15" thickBot="1" x14ac:dyDescent="0.35">
      <c r="B82" s="620" t="s">
        <v>6033</v>
      </c>
      <c r="C82" s="294">
        <v>0</v>
      </c>
      <c r="D82" s="294">
        <v>0</v>
      </c>
      <c r="E82" s="294">
        <v>0</v>
      </c>
      <c r="F82" s="294">
        <v>0</v>
      </c>
      <c r="H82" s="2">
        <f t="shared" si="45"/>
        <v>14</v>
      </c>
      <c r="I82" s="2">
        <f t="shared" ref="I82:K82" si="47">Z42</f>
        <v>0</v>
      </c>
      <c r="J82" s="2">
        <f t="shared" si="47"/>
        <v>1</v>
      </c>
      <c r="K82" s="2">
        <f t="shared" si="47"/>
        <v>1</v>
      </c>
      <c r="L82" s="120">
        <f t="shared" si="8"/>
        <v>7.1428571428571425E-2</v>
      </c>
      <c r="N82" t="s">
        <v>6033</v>
      </c>
      <c r="O82" s="120"/>
      <c r="P82" s="120">
        <v>7.1428571428571425E-2</v>
      </c>
      <c r="Q82" t="s">
        <v>6039</v>
      </c>
    </row>
    <row r="83" spans="2:17" x14ac:dyDescent="0.3">
      <c r="B83" s="620" t="s">
        <v>6032</v>
      </c>
      <c r="C83" s="294">
        <v>0</v>
      </c>
      <c r="D83" s="294">
        <v>0</v>
      </c>
      <c r="E83" s="294">
        <v>0</v>
      </c>
      <c r="F83" s="294">
        <v>0</v>
      </c>
      <c r="H83" s="2">
        <f t="shared" si="45"/>
        <v>6</v>
      </c>
      <c r="I83" s="2">
        <f t="shared" ref="I83:K83" si="48">Z43</f>
        <v>0</v>
      </c>
      <c r="J83" s="2">
        <f t="shared" si="48"/>
        <v>1</v>
      </c>
      <c r="K83" s="2">
        <f t="shared" si="48"/>
        <v>1</v>
      </c>
      <c r="L83" s="120">
        <f t="shared" si="8"/>
        <v>0.16666666666666666</v>
      </c>
      <c r="N83" t="s">
        <v>6032</v>
      </c>
      <c r="O83" s="120"/>
      <c r="P83" s="120">
        <v>0.16666666666666666</v>
      </c>
      <c r="Q83" t="s">
        <v>6039</v>
      </c>
    </row>
    <row r="84" spans="2:17" x14ac:dyDescent="0.3">
      <c r="H84" s="2"/>
      <c r="I84" s="2"/>
      <c r="J84" s="2"/>
      <c r="K84" s="2"/>
      <c r="L84" s="2"/>
    </row>
  </sheetData>
  <autoFilter ref="N46:R83" xr:uid="{D261B460-8260-4AFB-8547-167333E0CABA}"/>
  <mergeCells count="3">
    <mergeCell ref="A1:R1"/>
    <mergeCell ref="C45:G45"/>
    <mergeCell ref="H45:L45"/>
  </mergeCells>
  <conditionalFormatting sqref="R46 Q46:Q83">
    <cfRule type="cellIs" dxfId="88" priority="3" operator="equal">
      <formula>"Zlepšil se"</formula>
    </cfRule>
    <cfRule type="cellIs" dxfId="87" priority="4" operator="equal">
      <formula>"Zhoršil se"</formula>
    </cfRule>
  </conditionalFormatting>
  <conditionalFormatting sqref="R47:R83">
    <cfRule type="cellIs" dxfId="86" priority="1" operator="lessThan">
      <formula>-5</formula>
    </cfRule>
    <cfRule type="cellIs" dxfId="85" priority="2" operator="greaterThan">
      <formula>0</formula>
    </cfRule>
  </conditionalFormatting>
  <hyperlinks>
    <hyperlink ref="F2" r:id="rId1" display="https://www.hokej.cz/tipsport-extraliga/stats-center?season=2024&amp;competition=7230&amp;team=823&amp;yearFrom=&amp;stranger=0&amp;state=&amp;stats-order=t&amp;stats-direction=desc&amp;stats-all=1" xr:uid="{3F97B06F-80A9-41E6-B20B-656146C06CCF}"/>
    <hyperlink ref="G2" r:id="rId2" display="https://www.hokej.cz/tipsport-extraliga/stats-center?season=2024&amp;competition=7230&amp;team=823&amp;yearFrom=&amp;stranger=0&amp;state=&amp;stats-order=g&amp;stats-direction=desc&amp;stats-all=1" xr:uid="{697A3959-DE8D-4196-9D1E-BE89E8D53303}"/>
    <hyperlink ref="H2" r:id="rId3" display="https://www.hokej.cz/tipsport-extraliga/stats-center?season=2024&amp;competition=7230&amp;team=823&amp;yearFrom=&amp;stranger=0&amp;state=&amp;stats-order=a&amp;stats-direction=desc&amp;stats-all=1" xr:uid="{92BAD107-86C9-44F4-9023-F1F2266CECBB}"/>
    <hyperlink ref="I2" r:id="rId4" display="https://www.hokej.cz/tipsport-extraliga/stats-center?season=2024&amp;competition=7230&amp;team=823&amp;yearFrom=&amp;stranger=0&amp;state=&amp;stats-order=ga&amp;stats-direction=asc&amp;stats-all=1" xr:uid="{F8080363-B5FB-43A2-B1E2-30AC43583EBD}"/>
    <hyperlink ref="J2" r:id="rId5" display="https://www.hokej.cz/tipsport-extraliga/stats-center?season=2024&amp;competition=7230&amp;team=823&amp;yearFrom=&amp;stranger=0&amp;state=&amp;stats-order=s&amp;stats-direction=desc&amp;stats-all=1" xr:uid="{04AD4091-5C23-47B6-B44E-FD5A6389FEEF}"/>
    <hyperlink ref="K2" r:id="rId6" display="https://www.hokej.cz/tipsport-extraliga/stats-center?season=2024&amp;competition=7230&amp;team=823&amp;yearFrom=&amp;stranger=0&amp;state=&amp;stats-order=shs&amp;stats-direction=desc&amp;stats-all=1" xr:uid="{05EAF0D0-9D5C-42B2-BA43-8B19323CE426}"/>
    <hyperlink ref="L2" r:id="rId7" display="https://www.hokej.cz/tipsport-extraliga/stats-center?season=2024&amp;competition=7230&amp;team=823&amp;yearFrom=&amp;stranger=0&amp;state=&amp;stats-order=gpp&amp;stats-direction=desc&amp;stats-all=1" xr:uid="{EEA69146-6079-4135-8110-DA6AC420149A}"/>
    <hyperlink ref="M2" r:id="rId8" display="https://www.hokej.cz/tipsport-extraliga/stats-center?season=2024&amp;competition=7230&amp;team=823&amp;yearFrom=&amp;stranger=0&amp;state=&amp;stats-order=ppp&amp;stats-direction=desc&amp;stats-all=1" xr:uid="{2A09C443-5341-42F7-B4EA-2A8081F1D34B}"/>
    <hyperlink ref="N2" r:id="rId9" display="https://www.hokej.cz/tipsport-extraliga/stats-center?season=2024&amp;competition=7230&amp;team=823&amp;yearFrom=&amp;stranger=0&amp;state=&amp;stats-order=gsh&amp;stats-direction=desc&amp;stats-all=1" xr:uid="{6D0B8D7E-A6BB-4436-8F94-5F6484BEAA83}"/>
    <hyperlink ref="O2" r:id="rId10" display="https://www.hokej.cz/tipsport-extraliga/stats-center?season=2024&amp;competition=7230&amp;team=823&amp;yearFrom=&amp;stranger=0&amp;state=&amp;stats-order=gw&amp;stats-direction=desc&amp;stats-all=1" xr:uid="{BB93D9A1-2123-412A-99C2-0A38A079F95F}"/>
    <hyperlink ref="P2" r:id="rId11" display="https://www.hokej.cz/tipsport-extraliga/stats-center?season=2024&amp;competition=7230&amp;team=823&amp;yearFrom=&amp;stranger=0&amp;state=&amp;stats-order=pm&amp;stats-direction=desc&amp;stats-all=1" xr:uid="{3762E9EE-EF60-486B-9ECC-9549E8049F33}"/>
    <hyperlink ref="Q2" r:id="rId12" display="https://www.hokej.cz/tipsport-extraliga/stats-center?season=2024&amp;competition=7230&amp;team=823&amp;yearFrom=&amp;stranger=0&amp;state=&amp;stats-order=tm&amp;stats-direction=desc&amp;stats-all=1" xr:uid="{11835AD1-EA07-4289-9FB7-FAFDC3418B4B}"/>
    <hyperlink ref="R2" r:id="rId13" display="https://www.hokej.cz/tipsport-extraliga/stats-center?season=2024&amp;competition=7230&amp;team=823&amp;yearFrom=&amp;stranger=0&amp;state=&amp;stats-order=tim&amp;stats-direction=desc&amp;stats-all=1" xr:uid="{7B50659B-B0D5-496F-AEB5-FD7B3654CCDC}"/>
    <hyperlink ref="B4" r:id="rId14" display="https://www.hokej.cz/hrac/david-kase/15634" xr:uid="{6C58708B-A9C0-4866-BF36-0FA40F6329B2}"/>
    <hyperlink ref="B28" r:id="rId15" display="https://www.hokej.cz/hrac/ondrej-kase/14405" xr:uid="{057978D2-814F-48A1-8DA4-5CD99160142C}"/>
    <hyperlink ref="B21" r:id="rId16" display="https://www.hokej.cz/hrac/matus-sukel/2491887" xr:uid="{07E8DA98-31A5-4BB2-AF58-367325F6227C}"/>
    <hyperlink ref="B31" r:id="rId17" display="https://www.hokej.cz/hrac/petr-koblasa/13233" xr:uid="{5B9F5864-4A2D-4C86-AC1C-38F030B82F9B}"/>
    <hyperlink ref="B7" r:id="rId18" display="https://www.hokej.cz/hrac/filip-sandberg/5609597" xr:uid="{FAA44BC8-1511-4489-B5C2-EA6B7D78E384}"/>
    <hyperlink ref="B9" r:id="rId19" display="https://www.hokej.cz/hrac/jared-mcisaac/10083303" xr:uid="{71574A81-7072-4462-9064-DF452DD818FF}"/>
    <hyperlink ref="B25" r:id="rId20" display="https://www.hokej.cz/hrac/nicolas-hlava/13667" xr:uid="{54034558-E412-48C3-8A56-A706FB4BF6FA}"/>
    <hyperlink ref="B13" r:id="rId21" display="https://www.hokej.cz/hrac/kristaps-zile/5607414" xr:uid="{84B573DD-612A-42E8-92C9-9CEA0D78DAEC}"/>
    <hyperlink ref="B23" r:id="rId22" display="https://www.hokej.cz/hrac/michal-gut/10077703" xr:uid="{4491CD42-0E27-4CA0-9564-978F2D32D050}"/>
    <hyperlink ref="B22" r:id="rId23" display="https://www.hokej.cz/hrac/maxim-cajkovic/35951" xr:uid="{008F1EAA-A13C-41C7-B3D4-DCB37CDE9CA1}"/>
    <hyperlink ref="B12" r:id="rId24" display="https://www.hokej.cz/hrac/kevin-czuczman/318277" xr:uid="{BD37CAF8-7BAB-486B-B419-079F9689455B}"/>
    <hyperlink ref="B11" r:id="rId25" display="https://www.hokej.cz/hrac/josef-jicha/15400" xr:uid="{4E7CD02E-E04A-47F0-90FC-60E81632ECCB}"/>
    <hyperlink ref="B5" r:id="rId26" display="https://www.hokej.cz/hrac/denis-zeman/51841" xr:uid="{1A637CA4-B0F2-4D1D-8D66-0662C65B8117}"/>
    <hyperlink ref="B20" r:id="rId27" display="https://www.hokej.cz/hrac/matej-pekar/21361" xr:uid="{B1FB7DAF-11C8-459F-9ABC-01D8D4CF8932}"/>
    <hyperlink ref="B3" r:id="rId28" display="https://www.hokej.cz/hrac/adam-polasek/10878" xr:uid="{976F6E58-C730-4A73-A7F2-F8EC51A1F9E4}"/>
    <hyperlink ref="B27" r:id="rId29" display="https://www.hokej.cz/hrac/ondrej-jurcik/11273" xr:uid="{79F3441C-15C0-45D5-A45D-8223A9FA5BB9}"/>
    <hyperlink ref="B15" r:id="rId30" display="https://www.hokej.cz/hrac/marek-baranek/13911" xr:uid="{E5316748-208F-4904-B377-413C9F8664A4}"/>
    <hyperlink ref="B18" r:id="rId31" display="https://www.hokej.cz/hrac/martin-havelka/17112" xr:uid="{B3F100FD-C015-4798-B619-FC1CBD32641D}"/>
    <hyperlink ref="B35" r:id="rId32" display="https://www.hokej.cz/hrac/vojtech-husinecky/10095992" xr:uid="{7DE664A4-4CED-4D46-900C-7026F7EAB929}"/>
    <hyperlink ref="B10" r:id="rId33" display="https://www.hokej.cz/hrac/jaroslav-broz/34221" xr:uid="{966ABAF0-4217-40A5-8DE7-67E9CA9037C9}"/>
    <hyperlink ref="B26" r:id="rId34" display="https://www.hokej.cz/hrac/ondrej-balaz/10079354" xr:uid="{DC1AD6E6-635D-469F-9BDB-6BE4A532A0D9}"/>
    <hyperlink ref="B19" r:id="rId35" display="https://www.hokej.cz/hrac/matej-mastalirsky/10096098" xr:uid="{72704902-373D-4EDB-8BA9-B1D2E0C01D04}"/>
    <hyperlink ref="B33" r:id="rId36" display="https://www.hokej.cz/hrac/simon-slavicek/10083675" xr:uid="{D32BDC1A-27BD-479F-9D2B-877CAC48DE26}"/>
    <hyperlink ref="B17" r:id="rId37" display="https://www.hokej.cz/hrac/marek-slavik/10079423" xr:uid="{984F5773-6B2C-423E-84AE-B717FF9772FA}"/>
    <hyperlink ref="B32" r:id="rId38" display="https://www.hokej.cz/hrac/robert-cerny/14396" xr:uid="{F232564E-B4D6-4C92-97A0-B4850A4DDAE7}"/>
    <hyperlink ref="B24" r:id="rId39" display="https://www.hokej.cz/hrac/michal-hradek/4132419" xr:uid="{B4783880-5716-4109-AFCF-8559C775C1BA}"/>
    <hyperlink ref="B29" r:id="rId40" display="https://www.hokej.cz/hrac/pavel-kordule/30311" xr:uid="{A228F12F-4938-4327-A941-C4191C335451}"/>
    <hyperlink ref="B6" r:id="rId41" display="https://www.hokej.cz/hrac/dominik-cech/10095988" xr:uid="{06CE9696-3CD1-4F05-A3AE-1B7D23415629}"/>
    <hyperlink ref="B16" r:id="rId42" display="https://www.hokej.cz/hrac/marek-berka/51601" xr:uid="{6268D7F4-31D8-4FC2-A892-6CD89E45E18F}"/>
    <hyperlink ref="B30" r:id="rId43" display="https://www.hokej.cz/hrac/pawel-zygmunt/10096884" xr:uid="{BE3569D7-51A9-42E0-A9D5-E499B66690BE}"/>
    <hyperlink ref="B34" r:id="rId44" display="https://www.hokej.cz/hrac/vit-beran/10085848" xr:uid="{9814A0D5-C844-4C5A-AE0A-F9A737891D3E}"/>
    <hyperlink ref="B14" r:id="rId45" display="https://www.hokej.cz/hrac/lukas-vopelka/14879" xr:uid="{900FDFF5-F068-4DAF-8C73-B11173B770AF}"/>
    <hyperlink ref="B8" r:id="rId46" display="https://www.hokej.cz/hrac/frantisek-gajdos/10082068" xr:uid="{BF91B683-354C-446B-8F0D-16A6BBFBDD44}"/>
    <hyperlink ref="Y2" r:id="rId47" display="https://www.hokej.cz/tipsport-extraliga/stats-center?season=2024&amp;competition=7230&amp;team=823&amp;yearFrom=&amp;stranger=0&amp;state=&amp;stats-order=t&amp;stats-direction=desc&amp;stats-all=1" xr:uid="{DCFA981A-D6C0-4416-99F3-28C5B51E1816}"/>
    <hyperlink ref="Z2" r:id="rId48" display="https://www.hokej.cz/tipsport-extraliga/stats-center?season=2024&amp;competition=7230&amp;team=823&amp;yearFrom=&amp;stranger=0&amp;state=&amp;stats-order=g&amp;stats-direction=desc&amp;stats-all=1" xr:uid="{EB3B70B3-E889-4A58-9606-0F0887DB5615}"/>
    <hyperlink ref="AA2" r:id="rId49" display="https://www.hokej.cz/tipsport-extraliga/stats-center?season=2024&amp;competition=7230&amp;team=823&amp;yearFrom=&amp;stranger=0&amp;state=&amp;stats-order=a&amp;stats-direction=desc&amp;stats-all=1" xr:uid="{4ED00367-C30C-4BE9-9300-D0DD6FF8E9D1}"/>
    <hyperlink ref="AB2" r:id="rId50" display="https://www.hokej.cz/tipsport-extraliga/stats-center?season=2024&amp;competition=7230&amp;team=823&amp;yearFrom=&amp;stranger=0&amp;state=&amp;stats-order=ga&amp;stats-direction=asc&amp;stats-all=1" xr:uid="{F307033A-3FD8-41B5-BA38-D20FAC77102F}"/>
    <hyperlink ref="AC2" r:id="rId51" display="https://www.hokej.cz/tipsport-extraliga/stats-center?season=2024&amp;competition=7230&amp;team=823&amp;yearFrom=&amp;stranger=0&amp;state=&amp;stats-order=s&amp;stats-direction=desc&amp;stats-all=1" xr:uid="{D130BFC0-93D4-4C3C-851B-C4F48190639D}"/>
    <hyperlink ref="AD2" r:id="rId52" display="https://www.hokej.cz/tipsport-extraliga/stats-center?season=2024&amp;competition=7230&amp;team=823&amp;yearFrom=&amp;stranger=0&amp;state=&amp;stats-order=shs&amp;stats-direction=desc&amp;stats-all=1" xr:uid="{C72AEC2A-D2A5-4275-99F2-C0104A990C9A}"/>
    <hyperlink ref="AE2" r:id="rId53" display="https://www.hokej.cz/tipsport-extraliga/stats-center?season=2024&amp;competition=7230&amp;team=823&amp;yearFrom=&amp;stranger=0&amp;state=&amp;stats-order=gpp&amp;stats-direction=desc&amp;stats-all=1" xr:uid="{F370F532-0439-412E-986F-884C2BD5FB4C}"/>
    <hyperlink ref="AF2" r:id="rId54" display="https://www.hokej.cz/tipsport-extraliga/stats-center?season=2024&amp;competition=7230&amp;team=823&amp;yearFrom=&amp;stranger=0&amp;state=&amp;stats-order=ppp&amp;stats-direction=desc&amp;stats-all=1" xr:uid="{DB94CF79-BC4D-492C-A8BA-BCA4007FBD8C}"/>
    <hyperlink ref="AG2" r:id="rId55" display="https://www.hokej.cz/tipsport-extraliga/stats-center?season=2024&amp;competition=7230&amp;team=823&amp;yearFrom=&amp;stranger=0&amp;state=&amp;stats-order=gsh&amp;stats-direction=desc&amp;stats-all=1" xr:uid="{04F6560E-39E6-4B37-83F4-19590C8B25E9}"/>
    <hyperlink ref="AH2" r:id="rId56" display="https://www.hokej.cz/tipsport-extraliga/stats-center?season=2024&amp;competition=7230&amp;team=823&amp;yearFrom=&amp;stranger=0&amp;state=&amp;stats-order=gw&amp;stats-direction=desc&amp;stats-all=1" xr:uid="{43BD7C23-CEF5-4CED-927E-174DF187BA51}"/>
    <hyperlink ref="AI2" r:id="rId57" display="https://www.hokej.cz/tipsport-extraliga/stats-center?season=2024&amp;competition=7230&amp;team=823&amp;yearFrom=&amp;stranger=0&amp;state=&amp;stats-order=pm&amp;stats-direction=desc&amp;stats-all=1" xr:uid="{3BD8B1FC-DF59-473F-A9C4-8BD61F3012A4}"/>
    <hyperlink ref="AJ2" r:id="rId58" display="https://www.hokej.cz/tipsport-extraliga/stats-center?season=2024&amp;competition=7230&amp;team=823&amp;yearFrom=&amp;stranger=0&amp;state=&amp;stats-order=tm&amp;stats-direction=desc&amp;stats-all=1" xr:uid="{BD577D44-B7B8-4ED1-8117-1789F4D0FD09}"/>
    <hyperlink ref="AK2" r:id="rId59" display="https://www.hokej.cz/tipsport-extraliga/stats-center?season=2024&amp;competition=7230&amp;team=823&amp;yearFrom=&amp;stranger=0&amp;state=&amp;stats-order=tim&amp;stats-direction=desc&amp;stats-all=1" xr:uid="{72D4286C-7833-4571-BE60-5E874773C63E}"/>
    <hyperlink ref="U28" r:id="rId60" display="https://www.hokej.cz/hrac/ondrej-kase/14405" xr:uid="{913C19DB-A70A-4874-B504-FDC68180B91A}"/>
    <hyperlink ref="U4" r:id="rId61" display="https://www.hokej.cz/hrac/david-kase/15634" xr:uid="{27AF05F8-3941-4CC2-A4DE-341C6615E58F}"/>
    <hyperlink ref="U21" r:id="rId62" display="https://www.hokej.cz/hrac/matus-sukel/2491887" xr:uid="{FEF10B7B-FD71-401E-92E6-21792AB9DFC0}"/>
    <hyperlink ref="U7" r:id="rId63" display="https://www.hokej.cz/hrac/filip-sandberg/5609597" xr:uid="{38400427-46B9-49C3-B67A-35D6BAD39F02}"/>
    <hyperlink ref="U31" r:id="rId64" display="https://www.hokej.cz/hrac/petr-koblasa/13233" xr:uid="{7015583B-46D9-4793-9E56-E1616D04B7E0}"/>
    <hyperlink ref="U25" r:id="rId65" display="https://www.hokej.cz/hrac/nicolas-hlava/13667" xr:uid="{B942E6F6-3673-4DFC-AFAE-50892AEF33CC}"/>
    <hyperlink ref="U9" r:id="rId66" display="https://www.hokej.cz/hrac/jared-mcisaac/10083303" xr:uid="{B8E879A1-F5D7-4104-87FC-4D2A59F83289}"/>
    <hyperlink ref="U13" r:id="rId67" display="https://www.hokej.cz/hrac/kristaps-zile/5607414" xr:uid="{D782E0CC-BDBB-43E6-B50D-FDD80FDFC570}"/>
    <hyperlink ref="U23" r:id="rId68" display="https://www.hokej.cz/hrac/michal-gut/10077703" xr:uid="{BB739056-F1A5-48ED-9DEF-1E5566FB33EB}"/>
    <hyperlink ref="U22" r:id="rId69" display="https://www.hokej.cz/hrac/maxim-cajkovic/35951" xr:uid="{8C24DDAF-3191-4100-938E-77C3F0B519D8}"/>
    <hyperlink ref="U11" r:id="rId70" display="https://www.hokej.cz/hrac/josef-jicha/15400" xr:uid="{EB268AC8-5B47-4AC8-A559-6C56BFEE7009}"/>
    <hyperlink ref="U12" r:id="rId71" display="https://www.hokej.cz/hrac/kevin-czuczman/318277" xr:uid="{9AB88288-89F8-4041-907D-7C822D92B3E3}"/>
    <hyperlink ref="U5" r:id="rId72" display="https://www.hokej.cz/hrac/denis-zeman/51841" xr:uid="{92BF9260-501B-443C-9987-C0C87DCDC5E4}"/>
    <hyperlink ref="U3" r:id="rId73" display="https://www.hokej.cz/hrac/adam-polasek/10878" xr:uid="{EBBC1A2B-5F14-4875-B914-E340AF46FBC8}"/>
    <hyperlink ref="U20" r:id="rId74" display="https://www.hokej.cz/hrac/matej-pekar/21361" xr:uid="{EA51A699-5A4E-4194-B071-8352C6F6CB63}"/>
    <hyperlink ref="U8" r:id="rId75" display="https://www.hokej.cz/hrac/frantisek-gajdos/10082068" xr:uid="{95561D36-2D54-4027-AEF6-74837E82D2DD}"/>
    <hyperlink ref="U18" r:id="rId76" display="https://www.hokej.cz/hrac/martin-havelka/17112" xr:uid="{7D6235A5-BB11-4B8F-BBE6-6B6CA906A715}"/>
    <hyperlink ref="U30" r:id="rId77" display="https://www.hokej.cz/hrac/pawel-zygmunt/10096884" xr:uid="{C7DCFF75-2DEA-4E67-9B94-2C604F777867}"/>
    <hyperlink ref="U15" r:id="rId78" display="https://www.hokej.cz/hrac/marek-baranek/13911" xr:uid="{5B30FDE2-4F15-49D0-A173-DF54112C40F3}"/>
    <hyperlink ref="U27" r:id="rId79" display="https://www.hokej.cz/hrac/ondrej-jurcik/11273" xr:uid="{D254DDCF-1BFF-442D-A66B-8CA41091007C}"/>
    <hyperlink ref="U41" r:id="rId80" display="https://www.hokej.cz/hrac/jan-sprynar/10096100" xr:uid="{E235E6FA-4172-4BA8-BC2A-17D8A8D554F5}"/>
    <hyperlink ref="U19" r:id="rId81" display="https://www.hokej.cz/hrac/matej-mastalirsky/10096098" xr:uid="{2566E5F6-0385-4324-9C35-646E73934219}"/>
    <hyperlink ref="U35" r:id="rId82" display="https://www.hokej.cz/hrac/vojtech-husinecky/10095992" xr:uid="{1E19E40D-D437-4629-916A-CB615CD869D8}"/>
    <hyperlink ref="U43" r:id="rId83" display="https://www.hokej.cz/hrac/martin-hugo-has/38961" xr:uid="{A3B96D70-85BA-4496-9286-AECCB5116E8D}"/>
    <hyperlink ref="U42" r:id="rId84" display="https://www.hokej.cz/hrac/joni-ikonen/10110660" xr:uid="{2547C2A2-72CA-481F-8431-21C5015A9D06}"/>
    <hyperlink ref="U26" r:id="rId85" display="https://www.hokej.cz/hrac/ondrej-balaz/10079354" xr:uid="{159D98B4-5DE8-47FD-9923-9AFA248732DF}"/>
    <hyperlink ref="U32" r:id="rId86" display="https://www.hokej.cz/hrac/robert-cerny/14396" xr:uid="{B9AB7BBB-2A78-49E2-BBAF-2410A2AD227B}"/>
    <hyperlink ref="U33" r:id="rId87" display="https://www.hokej.cz/hrac/simon-slavicek/10083675" xr:uid="{7C22D229-309E-4190-BEDC-EC52C0BE9C0A}"/>
    <hyperlink ref="U29" r:id="rId88" display="https://www.hokej.cz/hrac/pavel-kordule/30311" xr:uid="{200EB732-4447-49F8-9067-E00E111103E7}"/>
    <hyperlink ref="U17" r:id="rId89" display="https://www.hokej.cz/hrac/marek-slavik/10079423" xr:uid="{D36624E9-AC81-442C-A615-86FCBE8F3BB5}"/>
    <hyperlink ref="U24" r:id="rId90" display="https://www.hokej.cz/hrac/michal-hradek/4132419" xr:uid="{750FF286-1F54-47F6-B25D-CB1E703CF0D3}"/>
    <hyperlink ref="U40" r:id="rId91" display="https://www.hokej.cz/hrac/jakub-winkelhofer/10099779" xr:uid="{A1C08823-ABDD-41DF-A678-C90BB52AA5DD}"/>
    <hyperlink ref="U16" r:id="rId92" display="https://www.hokej.cz/hrac/marek-berka/51601" xr:uid="{39A43866-4840-4B57-B2BB-2593167C400C}"/>
    <hyperlink ref="U6" r:id="rId93" display="https://www.hokej.cz/hrac/dominik-cech/10095988" xr:uid="{6042DFDE-F998-4832-8FF8-C9C87E3217AD}"/>
    <hyperlink ref="U14" r:id="rId94" display="https://www.hokej.cz/hrac/lukas-vopelka/14879" xr:uid="{9445669E-BDEC-4FAC-BDEE-759885FDB97B}"/>
    <hyperlink ref="U34" r:id="rId95" display="https://www.hokej.cz/hrac/vit-beran/10085848" xr:uid="{C5F663BF-5BCF-4D5B-A1DA-63A1805D824B}"/>
    <hyperlink ref="B72" r:id="rId96" display="https://www.hokej.cz/hrac/ondrej-kase/14405" xr:uid="{0AAE16D5-0295-4424-A9AB-99070AA79493}"/>
    <hyperlink ref="B48" r:id="rId97" display="https://www.hokej.cz/hrac/david-kase/15634" xr:uid="{9931FAD1-445E-4664-B08A-02DF4B3647C3}"/>
    <hyperlink ref="B65" r:id="rId98" display="https://www.hokej.cz/hrac/matus-sukel/2491887" xr:uid="{73C49852-58B1-4AC0-9F32-A88867DF7D0D}"/>
    <hyperlink ref="B51" r:id="rId99" display="https://www.hokej.cz/hrac/filip-sandberg/5609597" xr:uid="{DC988A18-4675-4480-A3F5-0058446CBCA8}"/>
    <hyperlink ref="B75" r:id="rId100" display="https://www.hokej.cz/hrac/petr-koblasa/13233" xr:uid="{134E8E01-0D17-490A-80A4-526142AD7AC4}"/>
    <hyperlink ref="B69" r:id="rId101" display="https://www.hokej.cz/hrac/nicolas-hlava/13667" xr:uid="{28C581CB-E5A3-46B6-B38B-82B5EA3AE1B1}"/>
    <hyperlink ref="B53" r:id="rId102" display="https://www.hokej.cz/hrac/jared-mcisaac/10083303" xr:uid="{71DF6376-A0B1-483D-B0AD-DB21D54F68E4}"/>
    <hyperlink ref="B57" r:id="rId103" display="https://www.hokej.cz/hrac/kristaps-zile/5607414" xr:uid="{1A7EBDD8-2161-47E1-BD71-CF3BDD2BAB12}"/>
    <hyperlink ref="B67" r:id="rId104" display="https://www.hokej.cz/hrac/michal-gut/10077703" xr:uid="{A89EC5DA-D183-46FB-A4EF-CF298B59E576}"/>
    <hyperlink ref="B66" r:id="rId105" display="https://www.hokej.cz/hrac/maxim-cajkovic/35951" xr:uid="{91AAFB77-C6BB-407A-886B-5177708740E6}"/>
    <hyperlink ref="B55" r:id="rId106" display="https://www.hokej.cz/hrac/josef-jicha/15400" xr:uid="{39D2699D-74D1-4AAD-870A-10BDFCE2605E}"/>
    <hyperlink ref="B56" r:id="rId107" display="https://www.hokej.cz/hrac/kevin-czuczman/318277" xr:uid="{667207D2-F81A-4E4A-9C0C-EB6B1931D29D}"/>
    <hyperlink ref="B49" r:id="rId108" display="https://www.hokej.cz/hrac/denis-zeman/51841" xr:uid="{4ABC2893-11BD-47E0-989C-D411FF74CC67}"/>
    <hyperlink ref="B47" r:id="rId109" display="https://www.hokej.cz/hrac/adam-polasek/10878" xr:uid="{51EAE925-ABAA-4B92-BC65-0EEBF8C488E8}"/>
    <hyperlink ref="B64" r:id="rId110" display="https://www.hokej.cz/hrac/matej-pekar/21361" xr:uid="{A98A22EB-BE4A-4437-AD30-1484D8309AB9}"/>
    <hyperlink ref="B52" r:id="rId111" display="https://www.hokej.cz/hrac/frantisek-gajdos/10082068" xr:uid="{AE2D1BA1-9AFB-4003-8B0C-8B469DB8DB6A}"/>
    <hyperlink ref="B62" r:id="rId112" display="https://www.hokej.cz/hrac/martin-havelka/17112" xr:uid="{595EA853-C6CB-4836-816C-2F0A410DCF8E}"/>
    <hyperlink ref="B74" r:id="rId113" display="https://www.hokej.cz/hrac/pawel-zygmunt/10096884" xr:uid="{40FC1297-313A-4737-97F9-427EB2316024}"/>
    <hyperlink ref="B59" r:id="rId114" display="https://www.hokej.cz/hrac/marek-baranek/13911" xr:uid="{A0F5AA69-6E52-4E06-8746-E45A7EF21487}"/>
    <hyperlink ref="B71" r:id="rId115" display="https://www.hokej.cz/hrac/ondrej-jurcik/11273" xr:uid="{7AFB83FD-9347-41AC-8364-32A923E8F97F}"/>
    <hyperlink ref="B63" r:id="rId116" display="https://www.hokej.cz/hrac/matej-mastalirsky/10096098" xr:uid="{9C499072-B01F-46E6-8ECD-72BCAB9986B5}"/>
    <hyperlink ref="B79" r:id="rId117" display="https://www.hokej.cz/hrac/vojtech-husinecky/10095992" xr:uid="{6BA3CE8B-152F-4F56-AD26-715CF4A569FE}"/>
    <hyperlink ref="B70" r:id="rId118" display="https://www.hokej.cz/hrac/ondrej-balaz/10079354" xr:uid="{157031F3-C3DB-487D-B518-5813BC7717D5}"/>
    <hyperlink ref="B76" r:id="rId119" display="https://www.hokej.cz/hrac/robert-cerny/14396" xr:uid="{70DB2B74-519E-497A-A586-00A6C560BA96}"/>
    <hyperlink ref="B77" r:id="rId120" display="https://www.hokej.cz/hrac/simon-slavicek/10083675" xr:uid="{EDAC7F38-75A5-4BCF-9594-A11BBEA91087}"/>
    <hyperlink ref="B73" r:id="rId121" display="https://www.hokej.cz/hrac/pavel-kordule/30311" xr:uid="{174E030B-7D56-4EC0-BCB2-CCBEF9F61A2C}"/>
    <hyperlink ref="B61" r:id="rId122" display="https://www.hokej.cz/hrac/marek-slavik/10079423" xr:uid="{81879E44-1E00-4D6B-BF47-26A75E897007}"/>
    <hyperlink ref="B68" r:id="rId123" display="https://www.hokej.cz/hrac/michal-hradek/4132419" xr:uid="{379EFC67-4744-4870-992B-2210EDF2AAAD}"/>
    <hyperlink ref="B60" r:id="rId124" display="https://www.hokej.cz/hrac/marek-berka/51601" xr:uid="{05DC5806-AE06-4E56-9390-47A35EA7A5AE}"/>
    <hyperlink ref="B50" r:id="rId125" display="https://www.hokej.cz/hrac/dominik-cech/10095988" xr:uid="{F8EA5C6F-8FEE-4B8D-A70A-50C2CC5067CA}"/>
    <hyperlink ref="B58" r:id="rId126" display="https://www.hokej.cz/hrac/lukas-vopelka/14879" xr:uid="{30BB37F9-4BE4-4541-97B8-DA5E5D53D39A}"/>
    <hyperlink ref="B78" r:id="rId127" display="https://www.hokej.cz/hrac/vit-beran/10085848" xr:uid="{D25C35C5-757A-4561-8B8C-72706535B096}"/>
    <hyperlink ref="B81" r:id="rId128" display="https://www.hokej.cz/hrac/jan-sprynar/10096100" xr:uid="{59D5055C-3298-442C-A070-FC54432BA30A}"/>
    <hyperlink ref="B54" r:id="rId129" display="https://www.hokej.cz/hrac/jaroslav-broz/34221" xr:uid="{E6693CE0-8F96-4376-8804-44C52861CFD4}"/>
    <hyperlink ref="B82" r:id="rId130" display="https://www.hokej.cz/hrac/joni-ikonen/10110660" xr:uid="{59458D4C-F85D-4185-9983-D220A732854D}"/>
    <hyperlink ref="B80" r:id="rId131" display="https://www.hokej.cz/hrac/jakub-winkelhofer/10099779" xr:uid="{B5CDAB26-8AFE-4367-8908-6120894426FD}"/>
    <hyperlink ref="B83" r:id="rId132" display="https://www.hokej.cz/hrac/martin-hugo-has/38961" xr:uid="{4C5C406A-A2AD-4C67-850E-765C56130BA8}"/>
    <hyperlink ref="U10" r:id="rId133" display="https://www.hokej.cz/hrac/jaroslav-broz/34221" xr:uid="{1100FE11-F5FC-48BB-94BA-859A069753C9}"/>
  </hyperlinks>
  <pageMargins left="0.7" right="0.7" top="0.78740157499999996" bottom="0.78740157499999996" header="0.3" footer="0.3"/>
  <drawing r:id="rId13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9822F-8247-446B-9939-20B4C8748338}">
  <dimension ref="A1:BC47"/>
  <sheetViews>
    <sheetView workbookViewId="0">
      <selection activeCell="L12" sqref="L12"/>
    </sheetView>
  </sheetViews>
  <sheetFormatPr defaultRowHeight="14.4" x14ac:dyDescent="0.3"/>
  <cols>
    <col min="1" max="1" width="3.33203125" customWidth="1"/>
    <col min="2" max="2" width="15.109375" customWidth="1"/>
    <col min="3" max="3" width="16.6640625" customWidth="1"/>
    <col min="4" max="4" width="15.44140625" customWidth="1"/>
    <col min="5" max="5" width="13.109375" customWidth="1"/>
    <col min="6" max="6" width="13.5546875" customWidth="1"/>
    <col min="7" max="7" width="15.33203125" customWidth="1"/>
    <col min="8" max="8" width="22.5546875" customWidth="1"/>
    <col min="9" max="9" width="16.6640625" customWidth="1"/>
    <col min="10" max="10" width="15.5546875" customWidth="1"/>
    <col min="11" max="11" width="20.44140625" customWidth="1"/>
    <col min="12" max="12" width="15.6640625" customWidth="1"/>
    <col min="13" max="13" width="14.33203125" customWidth="1"/>
    <col min="14" max="14" width="18.109375" customWidth="1"/>
    <col min="16" max="16" width="18.88671875" customWidth="1"/>
    <col min="17" max="17" width="13.44140625" customWidth="1"/>
    <col min="18" max="18" width="13.88671875" customWidth="1"/>
    <col min="19" max="19" width="14" customWidth="1"/>
    <col min="20" max="20" width="24.44140625" customWidth="1"/>
    <col min="21" max="21" width="19.44140625" customWidth="1"/>
    <col min="22" max="22" width="18.44140625" customWidth="1"/>
    <col min="23" max="23" width="32.109375" customWidth="1"/>
    <col min="24" max="24" width="17.5546875" customWidth="1"/>
    <col min="25" max="25" width="14.44140625" customWidth="1"/>
    <col min="26" max="26" width="13.5546875" customWidth="1"/>
    <col min="39" max="39" width="16.44140625" customWidth="1"/>
    <col min="40" max="40" width="35.33203125" customWidth="1"/>
    <col min="44" max="44" width="31.109375" customWidth="1"/>
    <col min="49" max="49" width="38" customWidth="1"/>
    <col min="52" max="52" width="31.44140625" customWidth="1"/>
    <col min="55" max="55" width="39.44140625" customWidth="1"/>
  </cols>
  <sheetData>
    <row r="1" spans="2:55" ht="14.25" customHeight="1" thickBot="1" x14ac:dyDescent="0.35"/>
    <row r="2" spans="2:55" x14ac:dyDescent="0.3">
      <c r="B2" s="303"/>
      <c r="C2" s="1142" t="s">
        <v>5901</v>
      </c>
      <c r="D2" s="1143"/>
      <c r="E2" s="1144"/>
      <c r="F2" s="1142" t="s">
        <v>5957</v>
      </c>
      <c r="G2" s="1143"/>
      <c r="H2" s="1144"/>
      <c r="I2" s="1142" t="s">
        <v>6050</v>
      </c>
      <c r="J2" s="1143"/>
      <c r="K2" s="1144"/>
      <c r="L2" s="1145" t="s">
        <v>3663</v>
      </c>
      <c r="M2" s="1143"/>
      <c r="N2" s="1144"/>
      <c r="P2" s="231"/>
      <c r="Q2" s="826" t="s">
        <v>5159</v>
      </c>
      <c r="R2" s="824" t="s">
        <v>5160</v>
      </c>
      <c r="S2" s="824" t="s">
        <v>5161</v>
      </c>
      <c r="T2" s="825" t="s">
        <v>5162</v>
      </c>
    </row>
    <row r="3" spans="2:55" ht="15" thickBot="1" x14ac:dyDescent="0.35">
      <c r="B3" s="304"/>
      <c r="C3" s="199" t="s">
        <v>999</v>
      </c>
      <c r="D3" s="200" t="s">
        <v>796</v>
      </c>
      <c r="E3" s="230" t="s">
        <v>1000</v>
      </c>
      <c r="F3" s="235" t="s">
        <v>999</v>
      </c>
      <c r="G3" s="200" t="s">
        <v>796</v>
      </c>
      <c r="H3" s="230" t="s">
        <v>1000</v>
      </c>
      <c r="I3" s="235" t="s">
        <v>999</v>
      </c>
      <c r="J3" s="200" t="s">
        <v>796</v>
      </c>
      <c r="K3" s="230" t="s">
        <v>1000</v>
      </c>
      <c r="L3" s="235" t="s">
        <v>999</v>
      </c>
      <c r="M3" s="200" t="s">
        <v>796</v>
      </c>
      <c r="N3" s="230" t="s">
        <v>1000</v>
      </c>
      <c r="P3" s="232"/>
      <c r="Q3" s="184" t="s">
        <v>5163</v>
      </c>
      <c r="R3" s="183" t="s">
        <v>5163</v>
      </c>
      <c r="S3" s="183" t="s">
        <v>5163</v>
      </c>
      <c r="T3" s="828" t="s">
        <v>5163</v>
      </c>
      <c r="AH3" s="2"/>
      <c r="AI3" s="2"/>
    </row>
    <row r="4" spans="2:55" x14ac:dyDescent="0.3">
      <c r="B4" s="280" t="s">
        <v>610</v>
      </c>
      <c r="C4" s="277">
        <v>12</v>
      </c>
      <c r="D4" s="278">
        <v>15</v>
      </c>
      <c r="E4" s="279">
        <f>D4/C4</f>
        <v>1.25</v>
      </c>
      <c r="F4" s="171">
        <v>26</v>
      </c>
      <c r="G4" s="278">
        <v>30</v>
      </c>
      <c r="H4" s="279">
        <f t="shared" ref="H4:H17" si="0">G4/F4</f>
        <v>1.1538461538461537</v>
      </c>
      <c r="I4" s="171">
        <v>39</v>
      </c>
      <c r="J4" s="278">
        <v>50</v>
      </c>
      <c r="K4" s="279">
        <f t="shared" ref="K4:K17" si="1">J4/I4</f>
        <v>1.2820512820512822</v>
      </c>
      <c r="L4" s="171">
        <v>52</v>
      </c>
      <c r="M4" s="278">
        <v>71</v>
      </c>
      <c r="N4" s="279">
        <f t="shared" ref="N4:N17" si="2">M4/L4</f>
        <v>1.3653846153846154</v>
      </c>
      <c r="P4" s="232" t="str">
        <f>B4</f>
        <v>Liberec</v>
      </c>
      <c r="Q4" s="830">
        <f>E4</f>
        <v>1.25</v>
      </c>
      <c r="R4" s="827">
        <f>H4</f>
        <v>1.1538461538461537</v>
      </c>
      <c r="S4" s="827">
        <f>K4</f>
        <v>1.2820512820512822</v>
      </c>
      <c r="T4" s="275">
        <f>N4</f>
        <v>1.3653846153846154</v>
      </c>
      <c r="AG4" s="2"/>
      <c r="AH4" s="2"/>
      <c r="AI4" s="60"/>
      <c r="AJ4" s="60"/>
      <c r="AK4" s="60"/>
      <c r="AL4" s="60"/>
      <c r="AM4" s="2"/>
      <c r="AN4" s="8"/>
      <c r="AO4" s="2"/>
      <c r="AR4" s="178"/>
      <c r="AW4" s="178"/>
      <c r="AZ4" s="178"/>
      <c r="BC4" s="178"/>
    </row>
    <row r="5" spans="2:55" x14ac:dyDescent="0.3">
      <c r="B5" s="281" t="s">
        <v>334</v>
      </c>
      <c r="C5" s="198">
        <v>13</v>
      </c>
      <c r="D5" s="183">
        <v>16</v>
      </c>
      <c r="E5" s="275">
        <f t="shared" ref="E5:E17" si="3">D5/C5</f>
        <v>1.2307692307692308</v>
      </c>
      <c r="F5" s="184">
        <v>27</v>
      </c>
      <c r="G5" s="183">
        <v>30</v>
      </c>
      <c r="H5" s="275">
        <f t="shared" si="0"/>
        <v>1.1111111111111112</v>
      </c>
      <c r="I5" s="184">
        <v>39</v>
      </c>
      <c r="J5" s="183">
        <v>50</v>
      </c>
      <c r="K5" s="275">
        <f t="shared" si="1"/>
        <v>1.2820512820512822</v>
      </c>
      <c r="L5" s="184">
        <v>52</v>
      </c>
      <c r="M5" s="183">
        <v>74</v>
      </c>
      <c r="N5" s="275">
        <f t="shared" si="2"/>
        <v>1.4230769230769231</v>
      </c>
      <c r="P5" s="232" t="str">
        <f t="shared" ref="P5:P17" si="4">B5</f>
        <v>Třinec</v>
      </c>
      <c r="Q5" s="830">
        <f>E5</f>
        <v>1.2307692307692308</v>
      </c>
      <c r="R5" s="827">
        <f t="shared" ref="R5:R16" si="5">H5</f>
        <v>1.1111111111111112</v>
      </c>
      <c r="S5" s="827">
        <f t="shared" ref="S5:S16" si="6">K5</f>
        <v>1.2820512820512822</v>
      </c>
      <c r="T5" s="275">
        <f t="shared" ref="T5:T16" si="7">N5</f>
        <v>1.4230769230769231</v>
      </c>
      <c r="AG5" s="2"/>
      <c r="AH5" s="2"/>
      <c r="AI5" s="60"/>
      <c r="AJ5" s="60"/>
      <c r="AK5" s="60"/>
      <c r="AL5" s="60"/>
      <c r="AM5" s="2"/>
      <c r="AN5" s="8"/>
      <c r="AO5" s="2"/>
      <c r="AR5" s="178"/>
      <c r="AW5" s="178"/>
      <c r="AZ5" s="8"/>
      <c r="BC5" s="178"/>
    </row>
    <row r="6" spans="2:55" x14ac:dyDescent="0.3">
      <c r="B6" s="281" t="s">
        <v>331</v>
      </c>
      <c r="C6" s="198">
        <v>13</v>
      </c>
      <c r="D6" s="183">
        <v>12</v>
      </c>
      <c r="E6" s="275">
        <f t="shared" si="3"/>
        <v>0.92307692307692313</v>
      </c>
      <c r="F6" s="184">
        <v>26</v>
      </c>
      <c r="G6" s="183">
        <v>31</v>
      </c>
      <c r="H6" s="275">
        <f t="shared" si="0"/>
        <v>1.1923076923076923</v>
      </c>
      <c r="I6" s="184">
        <v>39</v>
      </c>
      <c r="J6" s="183">
        <v>54</v>
      </c>
      <c r="K6" s="275">
        <f t="shared" si="1"/>
        <v>1.3846153846153846</v>
      </c>
      <c r="L6" s="171">
        <v>52</v>
      </c>
      <c r="M6" s="183">
        <v>78</v>
      </c>
      <c r="N6" s="275">
        <f t="shared" si="2"/>
        <v>1.5</v>
      </c>
      <c r="P6" s="232" t="str">
        <f t="shared" si="4"/>
        <v>Plzeň</v>
      </c>
      <c r="Q6" s="830">
        <f t="shared" ref="Q6:Q16" si="8">E6</f>
        <v>0.92307692307692313</v>
      </c>
      <c r="R6" s="827">
        <f t="shared" si="5"/>
        <v>1.1923076923076923</v>
      </c>
      <c r="S6" s="827">
        <f t="shared" si="6"/>
        <v>1.3846153846153846</v>
      </c>
      <c r="T6" s="275">
        <f t="shared" si="7"/>
        <v>1.5</v>
      </c>
      <c r="AG6" s="2"/>
      <c r="AH6" s="2"/>
      <c r="AI6" s="60"/>
      <c r="AJ6" s="60"/>
      <c r="AK6" s="60"/>
      <c r="AL6" s="60"/>
      <c r="AM6" s="2"/>
      <c r="AN6" s="182"/>
      <c r="AO6" s="2"/>
      <c r="AR6" s="178"/>
      <c r="AW6" s="178"/>
      <c r="AZ6" s="8"/>
      <c r="BC6" s="8"/>
    </row>
    <row r="7" spans="2:55" x14ac:dyDescent="0.3">
      <c r="B7" s="281" t="s">
        <v>1274</v>
      </c>
      <c r="C7" s="198">
        <v>14</v>
      </c>
      <c r="D7" s="183">
        <v>21</v>
      </c>
      <c r="E7" s="275">
        <f t="shared" si="3"/>
        <v>1.5</v>
      </c>
      <c r="F7" s="184">
        <v>26</v>
      </c>
      <c r="G7" s="183">
        <v>45</v>
      </c>
      <c r="H7" s="275">
        <f t="shared" si="0"/>
        <v>1.7307692307692308</v>
      </c>
      <c r="I7" s="184">
        <v>39</v>
      </c>
      <c r="J7" s="183">
        <v>67</v>
      </c>
      <c r="K7" s="275">
        <f t="shared" si="1"/>
        <v>1.7179487179487178</v>
      </c>
      <c r="L7" s="184">
        <v>52</v>
      </c>
      <c r="M7" s="183">
        <v>91</v>
      </c>
      <c r="N7" s="275">
        <f t="shared" si="2"/>
        <v>1.75</v>
      </c>
      <c r="P7" s="232" t="str">
        <f t="shared" si="4"/>
        <v>Mountfield HK</v>
      </c>
      <c r="Q7" s="830">
        <f t="shared" si="8"/>
        <v>1.5</v>
      </c>
      <c r="R7" s="827">
        <f t="shared" si="5"/>
        <v>1.7307692307692308</v>
      </c>
      <c r="S7" s="827">
        <f t="shared" si="6"/>
        <v>1.7179487179487178</v>
      </c>
      <c r="T7" s="275">
        <f t="shared" si="7"/>
        <v>1.75</v>
      </c>
      <c r="AG7" s="2"/>
      <c r="AH7" s="2"/>
      <c r="AI7" s="60"/>
      <c r="AJ7" s="60"/>
      <c r="AK7" s="60"/>
      <c r="AL7" s="60"/>
      <c r="AM7" s="2"/>
      <c r="AN7" s="8"/>
      <c r="AO7" s="2"/>
      <c r="AR7" s="178"/>
      <c r="AW7" s="8"/>
      <c r="AZ7" s="8"/>
      <c r="BC7" s="8"/>
    </row>
    <row r="8" spans="2:55" x14ac:dyDescent="0.3">
      <c r="B8" s="281" t="s">
        <v>6179</v>
      </c>
      <c r="C8" s="198">
        <v>13</v>
      </c>
      <c r="D8" s="183">
        <v>19</v>
      </c>
      <c r="E8" s="275">
        <f t="shared" si="3"/>
        <v>1.4615384615384615</v>
      </c>
      <c r="F8" s="184">
        <v>26</v>
      </c>
      <c r="G8" s="183">
        <v>37</v>
      </c>
      <c r="H8" s="275">
        <f t="shared" si="0"/>
        <v>1.4230769230769231</v>
      </c>
      <c r="I8" s="184">
        <v>39</v>
      </c>
      <c r="J8" s="183">
        <v>59</v>
      </c>
      <c r="K8" s="275">
        <f t="shared" si="1"/>
        <v>1.5128205128205128</v>
      </c>
      <c r="L8" s="171">
        <v>52</v>
      </c>
      <c r="M8" s="183">
        <v>84</v>
      </c>
      <c r="N8" s="275">
        <f t="shared" si="2"/>
        <v>1.6153846153846154</v>
      </c>
      <c r="P8" s="232" t="str">
        <f t="shared" si="4"/>
        <v>Kometa Brno</v>
      </c>
      <c r="Q8" s="830">
        <f t="shared" si="8"/>
        <v>1.4615384615384615</v>
      </c>
      <c r="R8" s="827">
        <f t="shared" si="5"/>
        <v>1.4230769230769231</v>
      </c>
      <c r="S8" s="827">
        <f t="shared" si="6"/>
        <v>1.5128205128205128</v>
      </c>
      <c r="T8" s="275">
        <f t="shared" si="7"/>
        <v>1.6153846153846154</v>
      </c>
      <c r="AG8" s="2"/>
      <c r="AH8" s="2"/>
      <c r="AI8" s="60"/>
      <c r="AJ8" s="60"/>
      <c r="AK8" s="60"/>
      <c r="AL8" s="60"/>
      <c r="AM8" s="2"/>
      <c r="AN8" s="8"/>
      <c r="AO8" s="2"/>
      <c r="AR8" s="178"/>
      <c r="AW8" s="8"/>
      <c r="AZ8" s="8"/>
      <c r="BC8" s="8"/>
    </row>
    <row r="9" spans="2:55" x14ac:dyDescent="0.3">
      <c r="B9" s="281" t="s">
        <v>626</v>
      </c>
      <c r="C9" s="198">
        <v>12</v>
      </c>
      <c r="D9" s="183">
        <v>18</v>
      </c>
      <c r="E9" s="275">
        <f t="shared" si="3"/>
        <v>1.5</v>
      </c>
      <c r="F9" s="184">
        <v>26</v>
      </c>
      <c r="G9" s="183">
        <v>32</v>
      </c>
      <c r="H9" s="275">
        <f t="shared" si="0"/>
        <v>1.2307692307692308</v>
      </c>
      <c r="I9" s="184">
        <v>39</v>
      </c>
      <c r="J9" s="183">
        <v>51</v>
      </c>
      <c r="K9" s="275">
        <f t="shared" si="1"/>
        <v>1.3076923076923077</v>
      </c>
      <c r="L9" s="184">
        <v>52</v>
      </c>
      <c r="M9" s="183">
        <v>57</v>
      </c>
      <c r="N9" s="275">
        <f t="shared" si="2"/>
        <v>1.0961538461538463</v>
      </c>
      <c r="P9" s="232" t="str">
        <f t="shared" si="4"/>
        <v>Olomouc</v>
      </c>
      <c r="Q9" s="830">
        <f t="shared" si="8"/>
        <v>1.5</v>
      </c>
      <c r="R9" s="827">
        <f t="shared" si="5"/>
        <v>1.2307692307692308</v>
      </c>
      <c r="S9" s="827">
        <f t="shared" si="6"/>
        <v>1.3076923076923077</v>
      </c>
      <c r="T9" s="275">
        <f t="shared" si="7"/>
        <v>1.0961538461538463</v>
      </c>
      <c r="AG9" s="2"/>
      <c r="AH9" s="2"/>
      <c r="AI9" s="60"/>
      <c r="AJ9" s="60"/>
      <c r="AK9" s="60"/>
      <c r="AL9" s="60"/>
      <c r="AM9" s="2"/>
      <c r="AN9" s="8"/>
      <c r="AO9" s="2"/>
      <c r="AR9" s="178"/>
      <c r="AW9" s="8"/>
      <c r="AZ9" s="272"/>
      <c r="BC9" s="8"/>
    </row>
    <row r="10" spans="2:55" x14ac:dyDescent="0.3">
      <c r="B10" s="281" t="s">
        <v>328</v>
      </c>
      <c r="C10" s="198">
        <v>10</v>
      </c>
      <c r="D10" s="183">
        <v>16</v>
      </c>
      <c r="E10" s="275">
        <f t="shared" si="3"/>
        <v>1.6</v>
      </c>
      <c r="F10" s="184">
        <v>27</v>
      </c>
      <c r="G10" s="183">
        <v>37</v>
      </c>
      <c r="H10" s="275">
        <f t="shared" si="0"/>
        <v>1.3703703703703705</v>
      </c>
      <c r="I10" s="184">
        <v>39</v>
      </c>
      <c r="J10" s="183">
        <v>42</v>
      </c>
      <c r="K10" s="275">
        <f t="shared" si="1"/>
        <v>1.0769230769230769</v>
      </c>
      <c r="L10" s="171">
        <v>52</v>
      </c>
      <c r="M10" s="183">
        <v>64</v>
      </c>
      <c r="N10" s="275">
        <f t="shared" si="2"/>
        <v>1.2307692307692308</v>
      </c>
      <c r="P10" s="232" t="str">
        <f t="shared" si="4"/>
        <v>Vítkovice</v>
      </c>
      <c r="Q10" s="830">
        <f t="shared" si="8"/>
        <v>1.6</v>
      </c>
      <c r="R10" s="827">
        <f t="shared" si="5"/>
        <v>1.3703703703703705</v>
      </c>
      <c r="S10" s="827">
        <f t="shared" si="6"/>
        <v>1.0769230769230769</v>
      </c>
      <c r="T10" s="275">
        <f t="shared" si="7"/>
        <v>1.2307692307692308</v>
      </c>
      <c r="AG10" s="2"/>
      <c r="AH10" s="2"/>
      <c r="AI10" s="60"/>
      <c r="AJ10" s="60"/>
      <c r="AK10" s="60"/>
      <c r="AL10" s="60"/>
      <c r="AM10" s="2"/>
      <c r="AN10" s="178"/>
      <c r="AO10" s="2"/>
      <c r="AR10" s="178"/>
      <c r="AW10" s="8"/>
      <c r="AZ10" s="8"/>
      <c r="BC10" s="8"/>
    </row>
    <row r="11" spans="2:55" x14ac:dyDescent="0.3">
      <c r="B11" s="281" t="s">
        <v>6086</v>
      </c>
      <c r="C11" s="198">
        <v>12</v>
      </c>
      <c r="D11" s="183">
        <v>24</v>
      </c>
      <c r="E11" s="275">
        <f t="shared" si="3"/>
        <v>2</v>
      </c>
      <c r="F11" s="184">
        <v>27</v>
      </c>
      <c r="G11" s="183">
        <v>47</v>
      </c>
      <c r="H11" s="275">
        <f t="shared" si="0"/>
        <v>1.7407407407407407</v>
      </c>
      <c r="I11" s="184">
        <v>39</v>
      </c>
      <c r="J11" s="183">
        <v>63</v>
      </c>
      <c r="K11" s="275">
        <f t="shared" si="1"/>
        <v>1.6153846153846154</v>
      </c>
      <c r="L11" s="184">
        <v>52</v>
      </c>
      <c r="M11" s="183">
        <v>76</v>
      </c>
      <c r="N11" s="275">
        <f t="shared" si="2"/>
        <v>1.4615384615384615</v>
      </c>
      <c r="P11" s="232" t="str">
        <f t="shared" si="4"/>
        <v>Ml.Boleslav</v>
      </c>
      <c r="Q11" s="830">
        <f t="shared" si="8"/>
        <v>2</v>
      </c>
      <c r="R11" s="827">
        <f t="shared" si="5"/>
        <v>1.7407407407407407</v>
      </c>
      <c r="S11" s="827">
        <f t="shared" si="6"/>
        <v>1.6153846153846154</v>
      </c>
      <c r="T11" s="275">
        <f t="shared" si="7"/>
        <v>1.4615384615384615</v>
      </c>
      <c r="AG11" s="2"/>
      <c r="AH11" s="2"/>
      <c r="AI11" s="60"/>
      <c r="AJ11" s="60"/>
      <c r="AK11" s="60"/>
      <c r="AL11" s="60"/>
      <c r="AM11" s="2"/>
      <c r="AN11" s="8"/>
      <c r="AO11" s="2"/>
      <c r="AR11" s="178"/>
      <c r="AW11" s="8"/>
      <c r="AZ11" s="8"/>
      <c r="BC11" s="8"/>
    </row>
    <row r="12" spans="2:55" x14ac:dyDescent="0.3">
      <c r="B12" s="281" t="s">
        <v>325</v>
      </c>
      <c r="C12" s="198">
        <v>12</v>
      </c>
      <c r="D12" s="183">
        <v>21</v>
      </c>
      <c r="E12" s="275">
        <f t="shared" si="3"/>
        <v>1.75</v>
      </c>
      <c r="F12" s="184">
        <v>27</v>
      </c>
      <c r="G12" s="183">
        <v>47</v>
      </c>
      <c r="H12" s="275">
        <f t="shared" si="0"/>
        <v>1.7407407407407407</v>
      </c>
      <c r="I12" s="184">
        <v>40</v>
      </c>
      <c r="J12" s="183">
        <v>76</v>
      </c>
      <c r="K12" s="275">
        <f t="shared" si="1"/>
        <v>1.9</v>
      </c>
      <c r="L12" s="171">
        <v>52</v>
      </c>
      <c r="M12" s="183">
        <v>104</v>
      </c>
      <c r="N12" s="275">
        <f t="shared" si="2"/>
        <v>2</v>
      </c>
      <c r="P12" s="232" t="str">
        <f t="shared" si="4"/>
        <v>Sparta</v>
      </c>
      <c r="Q12" s="830">
        <f t="shared" si="8"/>
        <v>1.75</v>
      </c>
      <c r="R12" s="827">
        <f t="shared" si="5"/>
        <v>1.7407407407407407</v>
      </c>
      <c r="S12" s="827">
        <f t="shared" si="6"/>
        <v>1.9</v>
      </c>
      <c r="T12" s="275">
        <f t="shared" si="7"/>
        <v>2</v>
      </c>
      <c r="AG12" s="2"/>
      <c r="AH12" s="2"/>
      <c r="AI12" s="60"/>
      <c r="AJ12" s="60"/>
      <c r="AK12" s="60"/>
      <c r="AL12" s="60"/>
      <c r="AM12" s="2"/>
      <c r="AN12" s="178"/>
      <c r="AO12" s="2"/>
      <c r="AR12" s="8"/>
      <c r="AZ12" s="8"/>
      <c r="BC12" s="8"/>
    </row>
    <row r="13" spans="2:55" x14ac:dyDescent="0.3">
      <c r="B13" s="282" t="s">
        <v>818</v>
      </c>
      <c r="C13" s="287">
        <v>13</v>
      </c>
      <c r="D13" s="288">
        <v>26</v>
      </c>
      <c r="E13" s="289">
        <f t="shared" si="3"/>
        <v>2</v>
      </c>
      <c r="F13" s="237">
        <v>26</v>
      </c>
      <c r="G13" s="288">
        <v>53</v>
      </c>
      <c r="H13" s="289">
        <f>G13/F13</f>
        <v>2.0384615384615383</v>
      </c>
      <c r="I13" s="237">
        <v>39</v>
      </c>
      <c r="J13" s="288">
        <v>71</v>
      </c>
      <c r="K13" s="289">
        <f>J13/I13</f>
        <v>1.8205128205128205</v>
      </c>
      <c r="L13" s="403">
        <v>52</v>
      </c>
      <c r="M13" s="288">
        <v>80</v>
      </c>
      <c r="N13" s="289">
        <f t="shared" si="2"/>
        <v>1.5384615384615385</v>
      </c>
      <c r="P13" s="239" t="str">
        <f t="shared" si="4"/>
        <v>Litvínov</v>
      </c>
      <c r="Q13" s="832">
        <f t="shared" si="8"/>
        <v>2</v>
      </c>
      <c r="R13" s="833">
        <f t="shared" si="5"/>
        <v>2.0384615384615383</v>
      </c>
      <c r="S13" s="833">
        <f t="shared" si="6"/>
        <v>1.8205128205128205</v>
      </c>
      <c r="T13" s="289">
        <f t="shared" si="7"/>
        <v>1.5384615384615385</v>
      </c>
      <c r="AG13" s="2"/>
      <c r="AH13" s="2"/>
      <c r="AI13" s="60"/>
      <c r="AJ13" s="60"/>
      <c r="AK13" s="60"/>
      <c r="AL13" s="60"/>
      <c r="AM13" s="2"/>
      <c r="AN13" s="178"/>
      <c r="AO13" s="2"/>
      <c r="AR13" s="8"/>
      <c r="AW13" s="182"/>
      <c r="BC13" s="8"/>
    </row>
    <row r="14" spans="2:55" x14ac:dyDescent="0.3">
      <c r="B14" s="281" t="s">
        <v>6076</v>
      </c>
      <c r="C14" s="198">
        <v>14</v>
      </c>
      <c r="D14" s="183">
        <v>18</v>
      </c>
      <c r="E14" s="275">
        <f t="shared" si="3"/>
        <v>1.2857142857142858</v>
      </c>
      <c r="F14" s="184">
        <v>26</v>
      </c>
      <c r="G14" s="183">
        <v>41</v>
      </c>
      <c r="H14" s="275">
        <f t="shared" si="0"/>
        <v>1.5769230769230769</v>
      </c>
      <c r="I14" s="184">
        <v>38</v>
      </c>
      <c r="J14" s="183">
        <v>59</v>
      </c>
      <c r="K14" s="275">
        <f t="shared" si="1"/>
        <v>1.5526315789473684</v>
      </c>
      <c r="L14" s="184">
        <v>52</v>
      </c>
      <c r="M14" s="183">
        <v>82</v>
      </c>
      <c r="N14" s="275">
        <f t="shared" si="2"/>
        <v>1.5769230769230769</v>
      </c>
      <c r="P14" s="232" t="str">
        <f t="shared" si="4"/>
        <v>Energie KV</v>
      </c>
      <c r="Q14" s="830">
        <f t="shared" si="8"/>
        <v>1.2857142857142858</v>
      </c>
      <c r="R14" s="827">
        <f t="shared" si="5"/>
        <v>1.5769230769230769</v>
      </c>
      <c r="S14" s="827">
        <f t="shared" si="6"/>
        <v>1.5526315789473684</v>
      </c>
      <c r="T14" s="275">
        <f t="shared" si="7"/>
        <v>1.5769230769230769</v>
      </c>
      <c r="AG14" s="2"/>
      <c r="AH14" s="2"/>
      <c r="AI14" s="60"/>
      <c r="AJ14" s="60"/>
      <c r="AK14" s="60"/>
      <c r="AL14" s="60"/>
      <c r="AM14" s="2"/>
      <c r="AN14" s="182"/>
      <c r="AO14" s="2"/>
      <c r="AR14" s="8"/>
      <c r="AW14" s="8"/>
      <c r="AZ14" s="178"/>
      <c r="BC14" s="8"/>
    </row>
    <row r="15" spans="2:55" x14ac:dyDescent="0.3">
      <c r="B15" s="281" t="s">
        <v>332</v>
      </c>
      <c r="C15" s="198">
        <v>13</v>
      </c>
      <c r="D15" s="183">
        <v>20</v>
      </c>
      <c r="E15" s="275">
        <f t="shared" si="3"/>
        <v>1.5384615384615385</v>
      </c>
      <c r="F15" s="184">
        <v>26</v>
      </c>
      <c r="G15" s="183">
        <v>27</v>
      </c>
      <c r="H15" s="275">
        <f t="shared" si="0"/>
        <v>1.0384615384615385</v>
      </c>
      <c r="I15" s="184">
        <v>39</v>
      </c>
      <c r="J15" s="183">
        <v>48</v>
      </c>
      <c r="K15" s="275">
        <f t="shared" si="1"/>
        <v>1.2307692307692308</v>
      </c>
      <c r="L15" s="171">
        <v>52</v>
      </c>
      <c r="M15" s="183">
        <v>63</v>
      </c>
      <c r="N15" s="275">
        <f t="shared" si="2"/>
        <v>1.2115384615384615</v>
      </c>
      <c r="P15" s="232" t="str">
        <f t="shared" si="4"/>
        <v>Kladno</v>
      </c>
      <c r="Q15" s="830">
        <f t="shared" si="8"/>
        <v>1.5384615384615385</v>
      </c>
      <c r="R15" s="827">
        <f t="shared" si="5"/>
        <v>1.0384615384615385</v>
      </c>
      <c r="S15" s="827">
        <f t="shared" si="6"/>
        <v>1.2307692307692308</v>
      </c>
      <c r="T15" s="275">
        <f t="shared" si="7"/>
        <v>1.2115384615384615</v>
      </c>
      <c r="AG15" s="2"/>
      <c r="AH15" s="2"/>
      <c r="AI15" s="60"/>
      <c r="AJ15" s="60"/>
      <c r="AK15" s="60"/>
      <c r="AL15" s="60"/>
      <c r="AM15" s="2"/>
      <c r="AN15" s="8"/>
      <c r="AO15" s="2"/>
      <c r="AR15" s="8"/>
      <c r="AW15" s="8"/>
      <c r="AZ15" s="8"/>
      <c r="BC15" s="8"/>
    </row>
    <row r="16" spans="2:55" x14ac:dyDescent="0.3">
      <c r="B16" s="281" t="s">
        <v>6091</v>
      </c>
      <c r="C16" s="198">
        <v>12</v>
      </c>
      <c r="D16" s="183">
        <v>12</v>
      </c>
      <c r="E16" s="275">
        <f t="shared" si="3"/>
        <v>1</v>
      </c>
      <c r="F16" s="184">
        <v>26</v>
      </c>
      <c r="G16" s="183">
        <v>40</v>
      </c>
      <c r="H16" s="275">
        <f t="shared" si="0"/>
        <v>1.5384615384615385</v>
      </c>
      <c r="I16" s="184">
        <v>38</v>
      </c>
      <c r="J16" s="183">
        <v>54</v>
      </c>
      <c r="K16" s="275">
        <f t="shared" si="1"/>
        <v>1.4210526315789473</v>
      </c>
      <c r="L16" s="171">
        <v>52</v>
      </c>
      <c r="M16" s="183">
        <v>80</v>
      </c>
      <c r="N16" s="275">
        <f t="shared" si="2"/>
        <v>1.5384615384615385</v>
      </c>
      <c r="P16" s="232" t="str">
        <f t="shared" si="4"/>
        <v>Motor ČB</v>
      </c>
      <c r="Q16" s="830">
        <f t="shared" si="8"/>
        <v>1</v>
      </c>
      <c r="R16" s="827">
        <f t="shared" si="5"/>
        <v>1.5384615384615385</v>
      </c>
      <c r="S16" s="827">
        <f t="shared" si="6"/>
        <v>1.4210526315789473</v>
      </c>
      <c r="T16" s="275">
        <f t="shared" si="7"/>
        <v>1.5384615384615385</v>
      </c>
      <c r="AG16" s="2"/>
      <c r="AH16" s="2"/>
      <c r="AI16" s="60"/>
      <c r="AJ16" s="60"/>
      <c r="AK16" s="60"/>
      <c r="AL16" s="60"/>
      <c r="AM16" s="2"/>
      <c r="AN16" s="178"/>
      <c r="AO16" s="2"/>
      <c r="AR16" s="8"/>
      <c r="AW16" s="182"/>
      <c r="AZ16" s="8"/>
      <c r="BC16" s="8"/>
    </row>
    <row r="17" spans="2:55" ht="15" thickBot="1" x14ac:dyDescent="0.35">
      <c r="B17" s="283" t="s">
        <v>327</v>
      </c>
      <c r="C17" s="199">
        <v>13</v>
      </c>
      <c r="D17" s="200">
        <v>26</v>
      </c>
      <c r="E17" s="276">
        <f t="shared" si="3"/>
        <v>2</v>
      </c>
      <c r="F17" s="235">
        <v>28</v>
      </c>
      <c r="G17" s="200">
        <v>58</v>
      </c>
      <c r="H17" s="276">
        <f t="shared" si="0"/>
        <v>2.0714285714285716</v>
      </c>
      <c r="I17" s="235">
        <v>38</v>
      </c>
      <c r="J17" s="200">
        <v>72</v>
      </c>
      <c r="K17" s="276">
        <f t="shared" si="1"/>
        <v>1.8947368421052631</v>
      </c>
      <c r="L17" s="235">
        <v>52</v>
      </c>
      <c r="M17" s="200">
        <v>88</v>
      </c>
      <c r="N17" s="276">
        <f t="shared" si="2"/>
        <v>1.6923076923076923</v>
      </c>
      <c r="P17" s="233" t="str">
        <f t="shared" si="4"/>
        <v>Pardubice</v>
      </c>
      <c r="Q17" s="831">
        <f>E17</f>
        <v>2</v>
      </c>
      <c r="R17" s="829">
        <f>H17</f>
        <v>2.0714285714285716</v>
      </c>
      <c r="S17" s="829">
        <f>K17</f>
        <v>1.8947368421052631</v>
      </c>
      <c r="T17" s="276">
        <f>N17</f>
        <v>1.6923076923076923</v>
      </c>
      <c r="AG17" s="2"/>
      <c r="AH17" s="2"/>
      <c r="AI17" s="60"/>
      <c r="AJ17" s="60"/>
      <c r="AK17" s="60"/>
      <c r="AL17" s="60"/>
      <c r="AM17" s="2"/>
      <c r="AN17" s="178"/>
      <c r="AO17" s="2"/>
      <c r="AR17" s="8"/>
      <c r="AW17" s="178"/>
      <c r="AZ17" s="8"/>
      <c r="BC17" s="8"/>
    </row>
    <row r="18" spans="2:55" ht="15" thickBot="1" x14ac:dyDescent="0.35">
      <c r="AG18" s="2"/>
      <c r="AH18" s="2"/>
      <c r="AI18" s="60"/>
      <c r="AJ18" s="60"/>
      <c r="AK18" s="60"/>
      <c r="AL18" s="60"/>
      <c r="AM18" s="2"/>
      <c r="AN18" s="8"/>
      <c r="AO18" s="2"/>
      <c r="AR18" s="8"/>
    </row>
    <row r="19" spans="2:55" ht="15" thickBot="1" x14ac:dyDescent="0.35">
      <c r="B19" s="291"/>
      <c r="C19" s="292"/>
      <c r="D19" s="292"/>
      <c r="E19" s="292"/>
      <c r="F19" s="292"/>
      <c r="G19" s="292"/>
      <c r="H19" s="292"/>
      <c r="I19" s="292"/>
      <c r="J19" s="292"/>
      <c r="K19" s="292"/>
      <c r="L19" s="292"/>
      <c r="M19" s="292"/>
      <c r="N19" s="293"/>
      <c r="AG19" s="2"/>
      <c r="AH19" s="2"/>
      <c r="AI19" s="60"/>
      <c r="AJ19" s="60"/>
      <c r="AK19" s="60"/>
      <c r="AL19" s="60"/>
      <c r="AM19" s="2"/>
      <c r="AN19" s="8"/>
      <c r="AO19" s="2"/>
      <c r="AR19" s="8"/>
    </row>
    <row r="20" spans="2:55" ht="15" thickBot="1" x14ac:dyDescent="0.35">
      <c r="AG20" s="2"/>
      <c r="AH20" s="2"/>
      <c r="AI20" s="60"/>
      <c r="AJ20" s="60"/>
      <c r="AK20" s="60"/>
      <c r="AL20" s="60"/>
      <c r="AM20" s="2"/>
      <c r="AN20" s="8"/>
      <c r="AO20" s="2"/>
      <c r="AR20" s="8"/>
    </row>
    <row r="21" spans="2:55" x14ac:dyDescent="0.3">
      <c r="B21" s="303"/>
      <c r="C21" s="1142" t="s">
        <v>5901</v>
      </c>
      <c r="D21" s="1143"/>
      <c r="E21" s="1144"/>
      <c r="F21" s="1145" t="s">
        <v>5956</v>
      </c>
      <c r="G21" s="1143"/>
      <c r="H21" s="1144"/>
      <c r="I21" s="1142" t="s">
        <v>5665</v>
      </c>
      <c r="J21" s="1143"/>
      <c r="K21" s="1144"/>
      <c r="L21" s="1142" t="s">
        <v>5667</v>
      </c>
      <c r="M21" s="1143"/>
      <c r="N21" s="1144"/>
      <c r="P21" s="231"/>
      <c r="Q21" s="826" t="s">
        <v>4180</v>
      </c>
      <c r="R21" s="824" t="s">
        <v>4181</v>
      </c>
      <c r="S21" s="824" t="s">
        <v>4182</v>
      </c>
      <c r="T21" s="825" t="s">
        <v>4183</v>
      </c>
      <c r="AG21" s="2"/>
      <c r="AH21" s="2"/>
      <c r="AI21" s="60"/>
      <c r="AJ21" s="60"/>
      <c r="AK21" s="60"/>
      <c r="AL21" s="60"/>
      <c r="AM21" s="2"/>
      <c r="AN21" s="8"/>
      <c r="AO21" s="2"/>
      <c r="AR21" s="272"/>
    </row>
    <row r="22" spans="2:55" ht="15" thickBot="1" x14ac:dyDescent="0.35">
      <c r="B22" s="304"/>
      <c r="C22" s="199" t="s">
        <v>999</v>
      </c>
      <c r="D22" s="200" t="s">
        <v>796</v>
      </c>
      <c r="E22" s="404" t="s">
        <v>1000</v>
      </c>
      <c r="F22" s="199" t="s">
        <v>999</v>
      </c>
      <c r="G22" s="200" t="s">
        <v>796</v>
      </c>
      <c r="H22" s="404" t="s">
        <v>1000</v>
      </c>
      <c r="I22" s="199" t="s">
        <v>999</v>
      </c>
      <c r="J22" s="200" t="s">
        <v>796</v>
      </c>
      <c r="K22" s="408" t="s">
        <v>1000</v>
      </c>
      <c r="L22" s="199" t="s">
        <v>999</v>
      </c>
      <c r="M22" s="200" t="s">
        <v>796</v>
      </c>
      <c r="N22" s="408" t="s">
        <v>1000</v>
      </c>
      <c r="P22" s="232"/>
      <c r="Q22" s="184" t="s">
        <v>5163</v>
      </c>
      <c r="R22" s="183" t="s">
        <v>5163</v>
      </c>
      <c r="S22" s="183" t="s">
        <v>5163</v>
      </c>
      <c r="T22" s="828" t="s">
        <v>5163</v>
      </c>
      <c r="AG22" s="2"/>
      <c r="AH22" s="2"/>
      <c r="AI22" s="60"/>
      <c r="AJ22" s="60"/>
      <c r="AK22" s="60"/>
      <c r="AL22" s="60"/>
      <c r="AM22" s="2"/>
      <c r="AN22" s="8"/>
      <c r="AO22" s="2"/>
      <c r="AR22" s="8"/>
    </row>
    <row r="23" spans="2:55" x14ac:dyDescent="0.3">
      <c r="B23" s="280" t="s">
        <v>610</v>
      </c>
      <c r="C23" s="277">
        <f>C4</f>
        <v>12</v>
      </c>
      <c r="D23" s="278">
        <f>D4</f>
        <v>15</v>
      </c>
      <c r="E23" s="405">
        <f t="shared" ref="E23:E36" si="9">D23/C23</f>
        <v>1.25</v>
      </c>
      <c r="F23" s="277">
        <f>F4-C4</f>
        <v>14</v>
      </c>
      <c r="G23" s="278">
        <f t="shared" ref="F23:G36" si="10">G4-D4</f>
        <v>15</v>
      </c>
      <c r="H23" s="405">
        <f t="shared" ref="H23:H36" si="11">G23/F23</f>
        <v>1.0714285714285714</v>
      </c>
      <c r="I23" s="277">
        <f>I4-F4</f>
        <v>13</v>
      </c>
      <c r="J23" s="278">
        <f t="shared" ref="I23:J36" si="12">J4-G4</f>
        <v>20</v>
      </c>
      <c r="K23" s="405">
        <f t="shared" ref="K23:K36" si="13">J23/I23</f>
        <v>1.5384615384615385</v>
      </c>
      <c r="L23" s="277">
        <f>L4-I4</f>
        <v>13</v>
      </c>
      <c r="M23" s="278">
        <f t="shared" ref="L23:M36" si="14">M4-J4</f>
        <v>21</v>
      </c>
      <c r="N23" s="405">
        <f t="shared" ref="N23:N36" si="15">M23/L23</f>
        <v>1.6153846153846154</v>
      </c>
      <c r="P23" s="232" t="str">
        <f t="shared" ref="P23:P36" si="16">B23</f>
        <v>Liberec</v>
      </c>
      <c r="Q23" s="830">
        <f t="shared" ref="Q23:Q36" si="17">E23</f>
        <v>1.25</v>
      </c>
      <c r="R23" s="827">
        <f t="shared" ref="R23:R36" si="18">H23</f>
        <v>1.0714285714285714</v>
      </c>
      <c r="S23" s="827">
        <f t="shared" ref="S23:S36" si="19">K23</f>
        <v>1.5384615384615385</v>
      </c>
      <c r="T23" s="275">
        <f t="shared" ref="T23:T36" si="20">N23</f>
        <v>1.6153846153846154</v>
      </c>
      <c r="AG23" s="2"/>
      <c r="AH23" s="2"/>
      <c r="AI23" s="60"/>
      <c r="AJ23" s="60"/>
      <c r="AK23" s="60"/>
      <c r="AL23" s="60"/>
      <c r="AM23" s="2"/>
      <c r="AN23" s="8"/>
      <c r="AO23" s="2"/>
      <c r="AR23" s="8"/>
    </row>
    <row r="24" spans="2:55" x14ac:dyDescent="0.3">
      <c r="B24" s="281" t="s">
        <v>334</v>
      </c>
      <c r="C24" s="277">
        <f t="shared" ref="C24:D35" si="21">C5</f>
        <v>13</v>
      </c>
      <c r="D24" s="278">
        <f t="shared" si="21"/>
        <v>16</v>
      </c>
      <c r="E24" s="406">
        <f t="shared" si="9"/>
        <v>1.2307692307692308</v>
      </c>
      <c r="F24" s="277">
        <f t="shared" si="10"/>
        <v>14</v>
      </c>
      <c r="G24" s="278">
        <f t="shared" si="10"/>
        <v>14</v>
      </c>
      <c r="H24" s="406">
        <f t="shared" si="11"/>
        <v>1</v>
      </c>
      <c r="I24" s="277">
        <f t="shared" si="12"/>
        <v>12</v>
      </c>
      <c r="J24" s="278">
        <f t="shared" si="12"/>
        <v>20</v>
      </c>
      <c r="K24" s="406">
        <f t="shared" si="13"/>
        <v>1.6666666666666667</v>
      </c>
      <c r="L24" s="277">
        <f t="shared" si="14"/>
        <v>13</v>
      </c>
      <c r="M24" s="278">
        <f t="shared" si="14"/>
        <v>24</v>
      </c>
      <c r="N24" s="406">
        <f t="shared" si="15"/>
        <v>1.8461538461538463</v>
      </c>
      <c r="P24" s="232" t="str">
        <f t="shared" si="16"/>
        <v>Třinec</v>
      </c>
      <c r="Q24" s="830">
        <f t="shared" si="17"/>
        <v>1.2307692307692308</v>
      </c>
      <c r="R24" s="827">
        <f t="shared" si="18"/>
        <v>1</v>
      </c>
      <c r="S24" s="827">
        <f t="shared" si="19"/>
        <v>1.6666666666666667</v>
      </c>
      <c r="T24" s="275">
        <f t="shared" si="20"/>
        <v>1.8461538461538463</v>
      </c>
      <c r="AG24" s="2"/>
      <c r="AH24" s="2"/>
      <c r="AI24" s="60"/>
      <c r="AJ24" s="60"/>
      <c r="AK24" s="60"/>
      <c r="AL24" s="60"/>
      <c r="AM24" s="2"/>
      <c r="AN24" s="8"/>
      <c r="AO24" s="2"/>
      <c r="AR24" s="8"/>
    </row>
    <row r="25" spans="2:55" x14ac:dyDescent="0.3">
      <c r="B25" s="281" t="s">
        <v>331</v>
      </c>
      <c r="C25" s="277">
        <f t="shared" si="21"/>
        <v>13</v>
      </c>
      <c r="D25" s="278">
        <f t="shared" si="21"/>
        <v>12</v>
      </c>
      <c r="E25" s="406">
        <f t="shared" si="9"/>
        <v>0.92307692307692313</v>
      </c>
      <c r="F25" s="277">
        <f t="shared" si="10"/>
        <v>13</v>
      </c>
      <c r="G25" s="278">
        <f t="shared" si="10"/>
        <v>19</v>
      </c>
      <c r="H25" s="406">
        <f t="shared" si="11"/>
        <v>1.4615384615384615</v>
      </c>
      <c r="I25" s="277">
        <f t="shared" si="12"/>
        <v>13</v>
      </c>
      <c r="J25" s="278">
        <f t="shared" si="12"/>
        <v>23</v>
      </c>
      <c r="K25" s="406">
        <f t="shared" si="13"/>
        <v>1.7692307692307692</v>
      </c>
      <c r="L25" s="277">
        <f t="shared" si="14"/>
        <v>13</v>
      </c>
      <c r="M25" s="278">
        <f t="shared" si="14"/>
        <v>24</v>
      </c>
      <c r="N25" s="406">
        <f t="shared" si="15"/>
        <v>1.8461538461538463</v>
      </c>
      <c r="P25" s="232" t="str">
        <f t="shared" si="16"/>
        <v>Plzeň</v>
      </c>
      <c r="Q25" s="830">
        <f t="shared" si="17"/>
        <v>0.92307692307692313</v>
      </c>
      <c r="R25" s="827">
        <f t="shared" si="18"/>
        <v>1.4615384615384615</v>
      </c>
      <c r="S25" s="827">
        <f t="shared" si="19"/>
        <v>1.7692307692307692</v>
      </c>
      <c r="T25" s="275">
        <f t="shared" si="20"/>
        <v>1.8461538461538463</v>
      </c>
      <c r="AG25" s="2"/>
      <c r="AH25" s="2"/>
      <c r="AI25" s="60"/>
      <c r="AJ25" s="60"/>
      <c r="AK25" s="60"/>
      <c r="AL25" s="60"/>
      <c r="AM25" s="2"/>
      <c r="AN25" s="272"/>
      <c r="AO25" s="2"/>
      <c r="AR25" s="8"/>
    </row>
    <row r="26" spans="2:55" x14ac:dyDescent="0.3">
      <c r="B26" s="281" t="s">
        <v>1274</v>
      </c>
      <c r="C26" s="277">
        <f t="shared" si="21"/>
        <v>14</v>
      </c>
      <c r="D26" s="278">
        <f t="shared" si="21"/>
        <v>21</v>
      </c>
      <c r="E26" s="406">
        <f t="shared" si="9"/>
        <v>1.5</v>
      </c>
      <c r="F26" s="277">
        <f t="shared" si="10"/>
        <v>12</v>
      </c>
      <c r="G26" s="278">
        <f t="shared" si="10"/>
        <v>24</v>
      </c>
      <c r="H26" s="406">
        <f t="shared" si="11"/>
        <v>2</v>
      </c>
      <c r="I26" s="277">
        <f t="shared" si="12"/>
        <v>13</v>
      </c>
      <c r="J26" s="278">
        <f t="shared" si="12"/>
        <v>22</v>
      </c>
      <c r="K26" s="406">
        <f t="shared" si="13"/>
        <v>1.6923076923076923</v>
      </c>
      <c r="L26" s="277">
        <f t="shared" si="14"/>
        <v>13</v>
      </c>
      <c r="M26" s="278">
        <f t="shared" si="14"/>
        <v>24</v>
      </c>
      <c r="N26" s="406">
        <f t="shared" si="15"/>
        <v>1.8461538461538463</v>
      </c>
      <c r="P26" s="232" t="str">
        <f t="shared" si="16"/>
        <v>Mountfield HK</v>
      </c>
      <c r="Q26" s="830">
        <f t="shared" si="17"/>
        <v>1.5</v>
      </c>
      <c r="R26" s="827">
        <f t="shared" si="18"/>
        <v>2</v>
      </c>
      <c r="S26" s="827">
        <f t="shared" si="19"/>
        <v>1.6923076923076923</v>
      </c>
      <c r="T26" s="275">
        <f t="shared" si="20"/>
        <v>1.8461538461538463</v>
      </c>
      <c r="AG26" s="2"/>
      <c r="AH26" s="2"/>
      <c r="AI26" s="60"/>
      <c r="AJ26" s="60"/>
      <c r="AK26" s="60"/>
      <c r="AL26" s="60"/>
      <c r="AM26" s="2"/>
      <c r="AN26" s="8"/>
      <c r="AO26" s="2"/>
      <c r="AR26" s="8"/>
    </row>
    <row r="27" spans="2:55" x14ac:dyDescent="0.3">
      <c r="B27" s="281" t="s">
        <v>6179</v>
      </c>
      <c r="C27" s="277">
        <f t="shared" si="21"/>
        <v>13</v>
      </c>
      <c r="D27" s="278">
        <f t="shared" si="21"/>
        <v>19</v>
      </c>
      <c r="E27" s="406">
        <f t="shared" si="9"/>
        <v>1.4615384615384615</v>
      </c>
      <c r="F27" s="277">
        <f t="shared" si="10"/>
        <v>13</v>
      </c>
      <c r="G27" s="278">
        <f t="shared" si="10"/>
        <v>18</v>
      </c>
      <c r="H27" s="406">
        <f t="shared" si="11"/>
        <v>1.3846153846153846</v>
      </c>
      <c r="I27" s="277">
        <f t="shared" si="12"/>
        <v>13</v>
      </c>
      <c r="J27" s="278">
        <f t="shared" si="12"/>
        <v>22</v>
      </c>
      <c r="K27" s="406">
        <f t="shared" si="13"/>
        <v>1.6923076923076923</v>
      </c>
      <c r="L27" s="277">
        <f t="shared" si="14"/>
        <v>13</v>
      </c>
      <c r="M27" s="278">
        <f t="shared" si="14"/>
        <v>25</v>
      </c>
      <c r="N27" s="406">
        <f t="shared" si="15"/>
        <v>1.9230769230769231</v>
      </c>
      <c r="P27" s="232" t="str">
        <f t="shared" si="16"/>
        <v>Kometa Brno</v>
      </c>
      <c r="Q27" s="830">
        <f t="shared" si="17"/>
        <v>1.4615384615384615</v>
      </c>
      <c r="R27" s="827">
        <f t="shared" si="18"/>
        <v>1.3846153846153846</v>
      </c>
      <c r="S27" s="827">
        <f t="shared" si="19"/>
        <v>1.6923076923076923</v>
      </c>
      <c r="T27" s="275">
        <f t="shared" si="20"/>
        <v>1.9230769230769231</v>
      </c>
      <c r="AG27" s="2"/>
      <c r="AH27" s="2"/>
      <c r="AI27" s="2"/>
      <c r="AJ27" s="60"/>
      <c r="AK27" s="60"/>
      <c r="AL27" s="60"/>
      <c r="AM27" s="2"/>
      <c r="AN27" s="8"/>
      <c r="AO27" s="2"/>
      <c r="AR27" s="8"/>
    </row>
    <row r="28" spans="2:55" x14ac:dyDescent="0.3">
      <c r="B28" s="281" t="s">
        <v>626</v>
      </c>
      <c r="C28" s="277">
        <f t="shared" si="21"/>
        <v>12</v>
      </c>
      <c r="D28" s="278">
        <f t="shared" si="21"/>
        <v>18</v>
      </c>
      <c r="E28" s="406">
        <f t="shared" si="9"/>
        <v>1.5</v>
      </c>
      <c r="F28" s="277">
        <f t="shared" si="10"/>
        <v>14</v>
      </c>
      <c r="G28" s="278">
        <f t="shared" si="10"/>
        <v>14</v>
      </c>
      <c r="H28" s="406">
        <f t="shared" si="11"/>
        <v>1</v>
      </c>
      <c r="I28" s="277">
        <f t="shared" si="12"/>
        <v>13</v>
      </c>
      <c r="J28" s="278">
        <f t="shared" si="12"/>
        <v>19</v>
      </c>
      <c r="K28" s="406">
        <f>J28/I28</f>
        <v>1.4615384615384615</v>
      </c>
      <c r="L28" s="277">
        <f t="shared" si="14"/>
        <v>13</v>
      </c>
      <c r="M28" s="278">
        <f t="shared" si="14"/>
        <v>6</v>
      </c>
      <c r="N28" s="406">
        <f t="shared" si="15"/>
        <v>0.46153846153846156</v>
      </c>
      <c r="P28" s="232" t="str">
        <f t="shared" si="16"/>
        <v>Olomouc</v>
      </c>
      <c r="Q28" s="830">
        <f t="shared" si="17"/>
        <v>1.5</v>
      </c>
      <c r="R28" s="827">
        <f t="shared" si="18"/>
        <v>1</v>
      </c>
      <c r="S28" s="827">
        <f t="shared" si="19"/>
        <v>1.4615384615384615</v>
      </c>
      <c r="T28" s="275">
        <f t="shared" si="20"/>
        <v>0.46153846153846156</v>
      </c>
      <c r="AG28" s="2"/>
      <c r="AH28" s="2"/>
      <c r="AI28" s="60"/>
      <c r="AJ28" s="60"/>
      <c r="AK28" s="60"/>
      <c r="AL28" s="60"/>
      <c r="AM28" s="2"/>
      <c r="AN28" s="178"/>
      <c r="AO28" s="2"/>
      <c r="AR28" s="8"/>
    </row>
    <row r="29" spans="2:55" x14ac:dyDescent="0.3">
      <c r="B29" s="281" t="s">
        <v>328</v>
      </c>
      <c r="C29" s="277">
        <f t="shared" si="21"/>
        <v>10</v>
      </c>
      <c r="D29" s="278">
        <f t="shared" si="21"/>
        <v>16</v>
      </c>
      <c r="E29" s="406">
        <f t="shared" si="9"/>
        <v>1.6</v>
      </c>
      <c r="F29" s="277">
        <f t="shared" si="10"/>
        <v>17</v>
      </c>
      <c r="G29" s="278">
        <f t="shared" si="10"/>
        <v>21</v>
      </c>
      <c r="H29" s="406">
        <f t="shared" si="11"/>
        <v>1.2352941176470589</v>
      </c>
      <c r="I29" s="277">
        <f t="shared" si="12"/>
        <v>12</v>
      </c>
      <c r="J29" s="278">
        <f t="shared" si="12"/>
        <v>5</v>
      </c>
      <c r="K29" s="406">
        <f t="shared" si="13"/>
        <v>0.41666666666666669</v>
      </c>
      <c r="L29" s="277">
        <f t="shared" si="14"/>
        <v>13</v>
      </c>
      <c r="M29" s="278">
        <f t="shared" si="14"/>
        <v>22</v>
      </c>
      <c r="N29" s="406">
        <f t="shared" si="15"/>
        <v>1.6923076923076923</v>
      </c>
      <c r="P29" s="232" t="str">
        <f t="shared" si="16"/>
        <v>Vítkovice</v>
      </c>
      <c r="Q29" s="830">
        <f t="shared" si="17"/>
        <v>1.6</v>
      </c>
      <c r="R29" s="827">
        <f t="shared" si="18"/>
        <v>1.2352941176470589</v>
      </c>
      <c r="S29" s="827">
        <f t="shared" si="19"/>
        <v>0.41666666666666669</v>
      </c>
      <c r="T29" s="275">
        <f t="shared" si="20"/>
        <v>1.6923076923076923</v>
      </c>
      <c r="AG29" s="2"/>
      <c r="AH29" s="2"/>
      <c r="AI29" s="60"/>
      <c r="AJ29" s="60"/>
      <c r="AK29" s="60"/>
      <c r="AL29" s="60"/>
      <c r="AM29" s="2"/>
      <c r="AN29" s="8"/>
      <c r="AO29" s="2"/>
      <c r="AR29" s="8"/>
    </row>
    <row r="30" spans="2:55" x14ac:dyDescent="0.3">
      <c r="B30" s="281" t="s">
        <v>6086</v>
      </c>
      <c r="C30" s="277">
        <f t="shared" si="21"/>
        <v>12</v>
      </c>
      <c r="D30" s="278">
        <f t="shared" si="21"/>
        <v>24</v>
      </c>
      <c r="E30" s="406">
        <f t="shared" si="9"/>
        <v>2</v>
      </c>
      <c r="F30" s="277">
        <f t="shared" si="10"/>
        <v>15</v>
      </c>
      <c r="G30" s="278">
        <f t="shared" si="10"/>
        <v>23</v>
      </c>
      <c r="H30" s="406">
        <f t="shared" si="11"/>
        <v>1.5333333333333334</v>
      </c>
      <c r="I30" s="277">
        <f t="shared" si="12"/>
        <v>12</v>
      </c>
      <c r="J30" s="278">
        <f t="shared" si="12"/>
        <v>16</v>
      </c>
      <c r="K30" s="406">
        <f t="shared" si="13"/>
        <v>1.3333333333333333</v>
      </c>
      <c r="L30" s="277">
        <f t="shared" si="14"/>
        <v>13</v>
      </c>
      <c r="M30" s="278">
        <f t="shared" si="14"/>
        <v>13</v>
      </c>
      <c r="N30" s="406">
        <f t="shared" si="15"/>
        <v>1</v>
      </c>
      <c r="P30" s="232" t="str">
        <f t="shared" si="16"/>
        <v>Ml.Boleslav</v>
      </c>
      <c r="Q30" s="830">
        <f t="shared" si="17"/>
        <v>2</v>
      </c>
      <c r="R30" s="827">
        <f t="shared" si="18"/>
        <v>1.5333333333333334</v>
      </c>
      <c r="S30" s="827">
        <f t="shared" si="19"/>
        <v>1.3333333333333333</v>
      </c>
      <c r="T30" s="275">
        <f t="shared" si="20"/>
        <v>1</v>
      </c>
      <c r="AG30" s="2"/>
      <c r="AH30" s="2"/>
      <c r="AI30" s="60"/>
      <c r="AJ30" s="60"/>
      <c r="AK30" s="60"/>
      <c r="AL30" s="60"/>
      <c r="AM30" s="2"/>
      <c r="AN30" s="8"/>
      <c r="AO30" s="2"/>
      <c r="AR30" s="8"/>
    </row>
    <row r="31" spans="2:55" x14ac:dyDescent="0.3">
      <c r="B31" s="281" t="s">
        <v>325</v>
      </c>
      <c r="C31" s="277">
        <f t="shared" si="21"/>
        <v>12</v>
      </c>
      <c r="D31" s="278">
        <f t="shared" si="21"/>
        <v>21</v>
      </c>
      <c r="E31" s="406">
        <f t="shared" si="9"/>
        <v>1.75</v>
      </c>
      <c r="F31" s="277">
        <f t="shared" si="10"/>
        <v>15</v>
      </c>
      <c r="G31" s="278">
        <f t="shared" si="10"/>
        <v>26</v>
      </c>
      <c r="H31" s="406">
        <f t="shared" si="11"/>
        <v>1.7333333333333334</v>
      </c>
      <c r="I31" s="277">
        <f t="shared" si="12"/>
        <v>13</v>
      </c>
      <c r="J31" s="278">
        <f t="shared" si="12"/>
        <v>29</v>
      </c>
      <c r="K31" s="406">
        <f t="shared" si="13"/>
        <v>2.2307692307692308</v>
      </c>
      <c r="L31" s="277">
        <f t="shared" si="14"/>
        <v>12</v>
      </c>
      <c r="M31" s="278">
        <f t="shared" si="14"/>
        <v>28</v>
      </c>
      <c r="N31" s="406">
        <f>M31/L31</f>
        <v>2.3333333333333335</v>
      </c>
      <c r="P31" s="232" t="str">
        <f t="shared" si="16"/>
        <v>Sparta</v>
      </c>
      <c r="Q31" s="830">
        <f t="shared" si="17"/>
        <v>1.75</v>
      </c>
      <c r="R31" s="827">
        <f t="shared" si="18"/>
        <v>1.7333333333333334</v>
      </c>
      <c r="S31" s="827">
        <f t="shared" si="19"/>
        <v>2.2307692307692308</v>
      </c>
      <c r="T31" s="275">
        <f t="shared" si="20"/>
        <v>2.3333333333333335</v>
      </c>
      <c r="AG31" s="2"/>
      <c r="AH31" s="2"/>
      <c r="AI31" s="60"/>
      <c r="AJ31" s="60"/>
      <c r="AK31" s="60"/>
      <c r="AL31" s="60"/>
      <c r="AM31" s="2"/>
      <c r="AN31" s="178"/>
      <c r="AO31" s="2"/>
      <c r="AR31" s="8"/>
    </row>
    <row r="32" spans="2:55" x14ac:dyDescent="0.3">
      <c r="B32" s="282" t="s">
        <v>818</v>
      </c>
      <c r="C32" s="401">
        <f t="shared" si="21"/>
        <v>13</v>
      </c>
      <c r="D32" s="402">
        <f t="shared" si="21"/>
        <v>26</v>
      </c>
      <c r="E32" s="289">
        <f t="shared" si="9"/>
        <v>2</v>
      </c>
      <c r="F32" s="401">
        <f t="shared" si="10"/>
        <v>13</v>
      </c>
      <c r="G32" s="402">
        <f t="shared" si="10"/>
        <v>27</v>
      </c>
      <c r="H32" s="289">
        <f>G32/F32</f>
        <v>2.0769230769230771</v>
      </c>
      <c r="I32" s="401">
        <f t="shared" si="12"/>
        <v>13</v>
      </c>
      <c r="J32" s="402">
        <f t="shared" si="12"/>
        <v>18</v>
      </c>
      <c r="K32" s="289">
        <f>J32/I32</f>
        <v>1.3846153846153846</v>
      </c>
      <c r="L32" s="401">
        <f t="shared" si="14"/>
        <v>13</v>
      </c>
      <c r="M32" s="402">
        <f t="shared" si="14"/>
        <v>9</v>
      </c>
      <c r="N32" s="289">
        <f t="shared" si="15"/>
        <v>0.69230769230769229</v>
      </c>
      <c r="P32" s="239" t="str">
        <f t="shared" si="16"/>
        <v>Litvínov</v>
      </c>
      <c r="Q32" s="832">
        <f t="shared" si="17"/>
        <v>2</v>
      </c>
      <c r="R32" s="833">
        <f t="shared" si="18"/>
        <v>2.0769230769230771</v>
      </c>
      <c r="S32" s="833">
        <f t="shared" si="19"/>
        <v>1.3846153846153846</v>
      </c>
      <c r="T32" s="289">
        <f t="shared" si="20"/>
        <v>0.69230769230769229</v>
      </c>
      <c r="AG32" s="2"/>
      <c r="AH32" s="2"/>
      <c r="AI32" s="60"/>
      <c r="AJ32" s="60"/>
      <c r="AK32" s="60"/>
      <c r="AL32" s="60"/>
      <c r="AM32" s="2"/>
      <c r="AN32" s="8"/>
      <c r="AO32" s="2"/>
      <c r="AR32" s="8"/>
    </row>
    <row r="33" spans="1:44" x14ac:dyDescent="0.3">
      <c r="B33" s="281" t="s">
        <v>6076</v>
      </c>
      <c r="C33" s="277">
        <f t="shared" si="21"/>
        <v>14</v>
      </c>
      <c r="D33" s="278">
        <f t="shared" si="21"/>
        <v>18</v>
      </c>
      <c r="E33" s="406">
        <f t="shared" si="9"/>
        <v>1.2857142857142858</v>
      </c>
      <c r="F33" s="277">
        <f t="shared" si="10"/>
        <v>12</v>
      </c>
      <c r="G33" s="278">
        <f t="shared" si="10"/>
        <v>23</v>
      </c>
      <c r="H33" s="406">
        <f t="shared" si="11"/>
        <v>1.9166666666666667</v>
      </c>
      <c r="I33" s="277">
        <f t="shared" si="12"/>
        <v>12</v>
      </c>
      <c r="J33" s="278">
        <f t="shared" si="12"/>
        <v>18</v>
      </c>
      <c r="K33" s="406">
        <f t="shared" si="13"/>
        <v>1.5</v>
      </c>
      <c r="L33" s="277">
        <f t="shared" si="14"/>
        <v>14</v>
      </c>
      <c r="M33" s="278">
        <f t="shared" si="14"/>
        <v>23</v>
      </c>
      <c r="N33" s="406">
        <f t="shared" si="15"/>
        <v>1.6428571428571428</v>
      </c>
      <c r="P33" s="232" t="str">
        <f t="shared" si="16"/>
        <v>Energie KV</v>
      </c>
      <c r="Q33" s="830">
        <f t="shared" si="17"/>
        <v>1.2857142857142858</v>
      </c>
      <c r="R33" s="827">
        <f t="shared" si="18"/>
        <v>1.9166666666666667</v>
      </c>
      <c r="S33" s="827">
        <f t="shared" si="19"/>
        <v>1.5</v>
      </c>
      <c r="T33" s="275">
        <f t="shared" si="20"/>
        <v>1.6428571428571428</v>
      </c>
      <c r="AG33" s="2"/>
      <c r="AH33" s="2"/>
      <c r="AI33" s="60"/>
      <c r="AJ33" s="60"/>
      <c r="AK33" s="60"/>
      <c r="AL33" s="60"/>
      <c r="AM33" s="2"/>
      <c r="AN33" s="8"/>
      <c r="AO33" s="2"/>
      <c r="AR33" s="8"/>
    </row>
    <row r="34" spans="1:44" x14ac:dyDescent="0.3">
      <c r="B34" s="281" t="s">
        <v>332</v>
      </c>
      <c r="C34" s="277">
        <f t="shared" si="21"/>
        <v>13</v>
      </c>
      <c r="D34" s="278">
        <f t="shared" si="21"/>
        <v>20</v>
      </c>
      <c r="E34" s="406">
        <f t="shared" si="9"/>
        <v>1.5384615384615385</v>
      </c>
      <c r="F34" s="277">
        <f t="shared" si="10"/>
        <v>13</v>
      </c>
      <c r="G34" s="278">
        <f t="shared" si="10"/>
        <v>7</v>
      </c>
      <c r="H34" s="406">
        <f t="shared" si="11"/>
        <v>0.53846153846153844</v>
      </c>
      <c r="I34" s="277">
        <f t="shared" si="12"/>
        <v>13</v>
      </c>
      <c r="J34" s="278">
        <f t="shared" si="12"/>
        <v>21</v>
      </c>
      <c r="K34" s="406">
        <f t="shared" si="13"/>
        <v>1.6153846153846154</v>
      </c>
      <c r="L34" s="277">
        <f t="shared" si="14"/>
        <v>13</v>
      </c>
      <c r="M34" s="278">
        <f t="shared" si="14"/>
        <v>15</v>
      </c>
      <c r="N34" s="406">
        <f>M34/L34</f>
        <v>1.1538461538461537</v>
      </c>
      <c r="P34" s="232" t="str">
        <f t="shared" si="16"/>
        <v>Kladno</v>
      </c>
      <c r="Q34" s="830">
        <f t="shared" si="17"/>
        <v>1.5384615384615385</v>
      </c>
      <c r="R34" s="827">
        <f t="shared" si="18"/>
        <v>0.53846153846153844</v>
      </c>
      <c r="S34" s="827">
        <f t="shared" si="19"/>
        <v>1.6153846153846154</v>
      </c>
      <c r="T34" s="275">
        <f t="shared" si="20"/>
        <v>1.1538461538461537</v>
      </c>
      <c r="AG34" s="2"/>
      <c r="AH34" s="2"/>
      <c r="AI34" s="60"/>
      <c r="AJ34" s="60"/>
      <c r="AK34" s="60"/>
      <c r="AL34" s="60"/>
      <c r="AM34" s="2"/>
      <c r="AN34" s="8"/>
      <c r="AO34" s="2"/>
      <c r="AR34" s="8"/>
    </row>
    <row r="35" spans="1:44" x14ac:dyDescent="0.3">
      <c r="B35" s="281" t="s">
        <v>6091</v>
      </c>
      <c r="C35" s="277">
        <f t="shared" si="21"/>
        <v>12</v>
      </c>
      <c r="D35" s="278">
        <f t="shared" si="21"/>
        <v>12</v>
      </c>
      <c r="E35" s="406">
        <f t="shared" si="9"/>
        <v>1</v>
      </c>
      <c r="F35" s="277">
        <f t="shared" si="10"/>
        <v>14</v>
      </c>
      <c r="G35" s="278">
        <f t="shared" si="10"/>
        <v>28</v>
      </c>
      <c r="H35" s="406">
        <f t="shared" si="11"/>
        <v>2</v>
      </c>
      <c r="I35" s="277">
        <f t="shared" si="12"/>
        <v>12</v>
      </c>
      <c r="J35" s="278">
        <f t="shared" si="12"/>
        <v>14</v>
      </c>
      <c r="K35" s="406">
        <f t="shared" si="13"/>
        <v>1.1666666666666667</v>
      </c>
      <c r="L35" s="277">
        <f t="shared" si="14"/>
        <v>14</v>
      </c>
      <c r="M35" s="278">
        <f t="shared" si="14"/>
        <v>26</v>
      </c>
      <c r="N35" s="406">
        <f t="shared" si="15"/>
        <v>1.8571428571428572</v>
      </c>
      <c r="P35" s="232" t="str">
        <f t="shared" si="16"/>
        <v>Motor ČB</v>
      </c>
      <c r="Q35" s="830">
        <f t="shared" si="17"/>
        <v>1</v>
      </c>
      <c r="R35" s="827">
        <f t="shared" si="18"/>
        <v>2</v>
      </c>
      <c r="S35" s="827">
        <f t="shared" si="19"/>
        <v>1.1666666666666667</v>
      </c>
      <c r="T35" s="275">
        <f t="shared" si="20"/>
        <v>1.8571428571428572</v>
      </c>
      <c r="X35" s="129"/>
      <c r="Y35" s="130"/>
      <c r="Z35" s="130"/>
      <c r="AG35" s="2"/>
      <c r="AH35" s="2"/>
      <c r="AI35" s="60"/>
      <c r="AJ35" s="60"/>
      <c r="AK35" s="60"/>
      <c r="AL35" s="60"/>
      <c r="AM35" s="2"/>
      <c r="AN35" s="8"/>
      <c r="AO35" s="2"/>
      <c r="AR35" s="182"/>
    </row>
    <row r="36" spans="1:44" ht="15" thickBot="1" x14ac:dyDescent="0.35">
      <c r="B36" s="283" t="s">
        <v>327</v>
      </c>
      <c r="C36" s="199">
        <f>C17</f>
        <v>13</v>
      </c>
      <c r="D36" s="200">
        <f>D17</f>
        <v>26</v>
      </c>
      <c r="E36" s="407">
        <f t="shared" si="9"/>
        <v>2</v>
      </c>
      <c r="F36" s="199">
        <f t="shared" si="10"/>
        <v>15</v>
      </c>
      <c r="G36" s="200">
        <f t="shared" si="10"/>
        <v>32</v>
      </c>
      <c r="H36" s="407">
        <f t="shared" si="11"/>
        <v>2.1333333333333333</v>
      </c>
      <c r="I36" s="199">
        <f t="shared" si="12"/>
        <v>10</v>
      </c>
      <c r="J36" s="200">
        <f t="shared" si="12"/>
        <v>14</v>
      </c>
      <c r="K36" s="407">
        <f t="shared" si="13"/>
        <v>1.4</v>
      </c>
      <c r="L36" s="199">
        <f t="shared" si="14"/>
        <v>14</v>
      </c>
      <c r="M36" s="200">
        <f t="shared" si="14"/>
        <v>16</v>
      </c>
      <c r="N36" s="407">
        <f t="shared" si="15"/>
        <v>1.1428571428571428</v>
      </c>
      <c r="P36" s="233" t="str">
        <f t="shared" si="16"/>
        <v>Pardubice</v>
      </c>
      <c r="Q36" s="831">
        <f t="shared" si="17"/>
        <v>2</v>
      </c>
      <c r="R36" s="829">
        <f t="shared" si="18"/>
        <v>2.1333333333333333</v>
      </c>
      <c r="S36" s="829">
        <f t="shared" si="19"/>
        <v>1.4</v>
      </c>
      <c r="T36" s="276">
        <f t="shared" si="20"/>
        <v>1.1428571428571428</v>
      </c>
      <c r="V36" s="130"/>
      <c r="W36" s="130"/>
      <c r="AG36" s="2"/>
      <c r="AH36" s="2"/>
      <c r="AI36" s="60"/>
      <c r="AJ36" s="60"/>
      <c r="AK36" s="60"/>
      <c r="AL36" s="60"/>
      <c r="AM36" s="2"/>
      <c r="AN36" s="8"/>
      <c r="AO36" s="2"/>
      <c r="AR36" s="8"/>
    </row>
    <row r="37" spans="1:44" x14ac:dyDescent="0.3">
      <c r="V37" s="130"/>
      <c r="W37" s="130"/>
      <c r="AG37" s="2"/>
      <c r="AH37" s="2"/>
      <c r="AI37" s="60"/>
      <c r="AJ37" s="60"/>
      <c r="AK37" s="60"/>
      <c r="AL37" s="60"/>
      <c r="AM37" s="2"/>
      <c r="AN37" s="8"/>
      <c r="AO37" s="2"/>
      <c r="AR37" s="8"/>
    </row>
    <row r="38" spans="1:44" ht="8.25" customHeight="1" x14ac:dyDescent="0.3"/>
    <row r="39" spans="1:44" ht="8.25" customHeight="1" x14ac:dyDescent="0.3"/>
    <row r="40" spans="1:44" ht="7.5" customHeight="1" x14ac:dyDescent="0.3"/>
    <row r="47" spans="1:44" x14ac:dyDescent="0.3">
      <c r="A47">
        <v>14</v>
      </c>
    </row>
  </sheetData>
  <mergeCells count="8">
    <mergeCell ref="C2:E2"/>
    <mergeCell ref="F2:H2"/>
    <mergeCell ref="I2:K2"/>
    <mergeCell ref="L2:N2"/>
    <mergeCell ref="C21:E21"/>
    <mergeCell ref="F21:H21"/>
    <mergeCell ref="I21:K21"/>
    <mergeCell ref="L21:N21"/>
  </mergeCells>
  <pageMargins left="0.7" right="0.7" top="0.78740157499999996" bottom="0.78740157499999996"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61804-25EF-4A77-B7F0-AA87DD7FDE7B}">
  <dimension ref="A1:H53"/>
  <sheetViews>
    <sheetView workbookViewId="0">
      <selection activeCell="L12" sqref="L12"/>
    </sheetView>
  </sheetViews>
  <sheetFormatPr defaultRowHeight="14.4" x14ac:dyDescent="0.3"/>
  <cols>
    <col min="1" max="1" width="7.88671875" bestFit="1" customWidth="1"/>
    <col min="2" max="2" width="10.109375" bestFit="1" customWidth="1"/>
    <col min="3" max="3" width="32.5546875" bestFit="1" customWidth="1"/>
    <col min="4" max="5" width="14" bestFit="1" customWidth="1"/>
    <col min="6" max="6" width="11.109375" bestFit="1" customWidth="1"/>
    <col min="7" max="7" width="15" bestFit="1" customWidth="1"/>
    <col min="8" max="8" width="14" bestFit="1" customWidth="1"/>
  </cols>
  <sheetData>
    <row r="1" spans="1:8" x14ac:dyDescent="0.3">
      <c r="A1" t="s">
        <v>1254</v>
      </c>
      <c r="B1" t="s">
        <v>11</v>
      </c>
      <c r="C1" t="s">
        <v>6065</v>
      </c>
      <c r="D1" t="s">
        <v>6066</v>
      </c>
      <c r="E1" t="s">
        <v>6067</v>
      </c>
      <c r="F1" t="s">
        <v>6068</v>
      </c>
      <c r="G1" t="s">
        <v>6069</v>
      </c>
      <c r="H1" t="s">
        <v>15</v>
      </c>
    </row>
    <row r="2" spans="1:8" x14ac:dyDescent="0.3">
      <c r="A2" t="s">
        <v>6070</v>
      </c>
      <c r="B2" s="1032">
        <v>45910</v>
      </c>
      <c r="C2" t="s">
        <v>6071</v>
      </c>
      <c r="D2" t="s">
        <v>6072</v>
      </c>
      <c r="E2" t="s">
        <v>818</v>
      </c>
      <c r="F2" t="s">
        <v>6073</v>
      </c>
      <c r="G2" t="s">
        <v>16</v>
      </c>
      <c r="H2" t="s">
        <v>6072</v>
      </c>
    </row>
    <row r="3" spans="1:8" x14ac:dyDescent="0.3">
      <c r="A3" t="s">
        <v>6074</v>
      </c>
      <c r="B3" s="1032">
        <v>45912</v>
      </c>
      <c r="C3" t="s">
        <v>6075</v>
      </c>
      <c r="D3" t="s">
        <v>818</v>
      </c>
      <c r="E3" t="s">
        <v>6076</v>
      </c>
      <c r="F3" t="s">
        <v>6077</v>
      </c>
      <c r="G3" t="s">
        <v>17</v>
      </c>
      <c r="H3" t="s">
        <v>6076</v>
      </c>
    </row>
    <row r="4" spans="1:8" x14ac:dyDescent="0.3">
      <c r="A4" t="s">
        <v>6078</v>
      </c>
      <c r="B4" s="1032">
        <v>45914</v>
      </c>
      <c r="C4" t="s">
        <v>6075</v>
      </c>
      <c r="D4" t="s">
        <v>818</v>
      </c>
      <c r="E4" t="s">
        <v>328</v>
      </c>
      <c r="F4" t="s">
        <v>6079</v>
      </c>
      <c r="G4" t="s">
        <v>17</v>
      </c>
      <c r="H4" t="s">
        <v>328</v>
      </c>
    </row>
    <row r="5" spans="1:8" x14ac:dyDescent="0.3">
      <c r="A5" t="s">
        <v>6080</v>
      </c>
      <c r="B5" s="1032">
        <v>45916</v>
      </c>
      <c r="C5" t="s">
        <v>6081</v>
      </c>
      <c r="D5" t="s">
        <v>610</v>
      </c>
      <c r="E5" t="s">
        <v>818</v>
      </c>
      <c r="F5" t="s">
        <v>6082</v>
      </c>
      <c r="G5" t="s">
        <v>16</v>
      </c>
      <c r="H5" t="s">
        <v>610</v>
      </c>
    </row>
    <row r="6" spans="1:8" x14ac:dyDescent="0.3">
      <c r="A6" t="s">
        <v>6083</v>
      </c>
      <c r="B6" s="1032">
        <v>45919</v>
      </c>
      <c r="C6" t="s">
        <v>6075</v>
      </c>
      <c r="D6" t="s">
        <v>818</v>
      </c>
      <c r="E6" t="s">
        <v>325</v>
      </c>
      <c r="F6" t="s">
        <v>6084</v>
      </c>
      <c r="G6" t="s">
        <v>17</v>
      </c>
      <c r="H6" t="s">
        <v>325</v>
      </c>
    </row>
    <row r="7" spans="1:8" x14ac:dyDescent="0.3">
      <c r="A7" t="s">
        <v>6085</v>
      </c>
      <c r="B7" s="1032">
        <v>45923</v>
      </c>
      <c r="C7" t="s">
        <v>6075</v>
      </c>
      <c r="D7" t="s">
        <v>818</v>
      </c>
      <c r="E7" t="s">
        <v>6086</v>
      </c>
      <c r="F7" t="s">
        <v>6073</v>
      </c>
      <c r="G7" t="s">
        <v>17</v>
      </c>
      <c r="H7" t="s">
        <v>6086</v>
      </c>
    </row>
    <row r="8" spans="1:8" x14ac:dyDescent="0.3">
      <c r="A8" t="s">
        <v>6087</v>
      </c>
      <c r="B8" s="1032">
        <v>45926</v>
      </c>
      <c r="C8" t="s">
        <v>6088</v>
      </c>
      <c r="D8" t="s">
        <v>1274</v>
      </c>
      <c r="E8" t="s">
        <v>818</v>
      </c>
      <c r="F8" t="s">
        <v>6089</v>
      </c>
      <c r="G8" t="s">
        <v>16</v>
      </c>
      <c r="H8" t="s">
        <v>1274</v>
      </c>
    </row>
    <row r="9" spans="1:8" x14ac:dyDescent="0.3">
      <c r="A9" t="s">
        <v>6090</v>
      </c>
      <c r="B9" s="1032">
        <v>45928</v>
      </c>
      <c r="C9" t="s">
        <v>6075</v>
      </c>
      <c r="D9" t="s">
        <v>818</v>
      </c>
      <c r="E9" t="s">
        <v>6091</v>
      </c>
      <c r="F9" t="s">
        <v>6092</v>
      </c>
      <c r="G9" t="s">
        <v>17</v>
      </c>
      <c r="H9" t="s">
        <v>6091</v>
      </c>
    </row>
    <row r="10" spans="1:8" x14ac:dyDescent="0.3">
      <c r="A10" t="s">
        <v>6093</v>
      </c>
      <c r="B10" s="1032">
        <v>45930</v>
      </c>
      <c r="C10" t="s">
        <v>6094</v>
      </c>
      <c r="D10" t="s">
        <v>327</v>
      </c>
      <c r="E10" t="s">
        <v>818</v>
      </c>
      <c r="F10" t="s">
        <v>6095</v>
      </c>
      <c r="G10" t="s">
        <v>16</v>
      </c>
      <c r="H10" t="s">
        <v>327</v>
      </c>
    </row>
    <row r="11" spans="1:8" x14ac:dyDescent="0.3">
      <c r="A11" t="s">
        <v>6096</v>
      </c>
      <c r="B11" s="1032">
        <v>45933</v>
      </c>
      <c r="C11" t="s">
        <v>6075</v>
      </c>
      <c r="D11" t="s">
        <v>818</v>
      </c>
      <c r="E11" t="s">
        <v>331</v>
      </c>
      <c r="F11" t="s">
        <v>6097</v>
      </c>
      <c r="G11" t="s">
        <v>17</v>
      </c>
      <c r="H11" t="s">
        <v>331</v>
      </c>
    </row>
    <row r="12" spans="1:8" x14ac:dyDescent="0.3">
      <c r="A12" t="s">
        <v>6098</v>
      </c>
      <c r="B12" s="1032">
        <v>45935</v>
      </c>
      <c r="C12" t="s">
        <v>6099</v>
      </c>
      <c r="D12" t="s">
        <v>334</v>
      </c>
      <c r="E12" t="s">
        <v>818</v>
      </c>
      <c r="F12" t="s">
        <v>6100</v>
      </c>
      <c r="G12" t="s">
        <v>16</v>
      </c>
      <c r="H12" t="s">
        <v>334</v>
      </c>
    </row>
    <row r="13" spans="1:8" x14ac:dyDescent="0.3">
      <c r="A13" t="s">
        <v>6101</v>
      </c>
      <c r="B13" s="1032">
        <v>45940</v>
      </c>
      <c r="C13" t="s">
        <v>6075</v>
      </c>
      <c r="D13" t="s">
        <v>818</v>
      </c>
      <c r="E13" t="s">
        <v>332</v>
      </c>
      <c r="F13" t="s">
        <v>6102</v>
      </c>
      <c r="G13" t="s">
        <v>17</v>
      </c>
      <c r="H13" t="s">
        <v>332</v>
      </c>
    </row>
    <row r="14" spans="1:8" x14ac:dyDescent="0.3">
      <c r="A14" t="s">
        <v>6103</v>
      </c>
      <c r="B14" s="1032">
        <v>45942</v>
      </c>
      <c r="C14" t="s">
        <v>6075</v>
      </c>
      <c r="D14" t="s">
        <v>818</v>
      </c>
      <c r="E14" t="s">
        <v>6072</v>
      </c>
      <c r="F14" t="s">
        <v>6104</v>
      </c>
      <c r="G14" t="s">
        <v>17</v>
      </c>
      <c r="H14" t="s">
        <v>6072</v>
      </c>
    </row>
    <row r="15" spans="1:8" x14ac:dyDescent="0.3">
      <c r="A15" t="s">
        <v>6105</v>
      </c>
      <c r="B15" s="1032">
        <v>45945</v>
      </c>
      <c r="C15" t="s">
        <v>6106</v>
      </c>
      <c r="D15" t="s">
        <v>328</v>
      </c>
      <c r="E15" t="s">
        <v>818</v>
      </c>
      <c r="F15" t="s">
        <v>6107</v>
      </c>
      <c r="G15" t="s">
        <v>16</v>
      </c>
      <c r="H15" t="s">
        <v>328</v>
      </c>
    </row>
    <row r="16" spans="1:8" x14ac:dyDescent="0.3">
      <c r="A16" t="s">
        <v>6108</v>
      </c>
      <c r="B16" s="1032">
        <v>45947</v>
      </c>
      <c r="C16" t="s">
        <v>6109</v>
      </c>
      <c r="D16" t="s">
        <v>6076</v>
      </c>
      <c r="E16" t="s">
        <v>818</v>
      </c>
      <c r="F16" t="s">
        <v>6110</v>
      </c>
      <c r="G16" t="s">
        <v>16</v>
      </c>
      <c r="H16" t="s">
        <v>6076</v>
      </c>
    </row>
    <row r="17" spans="1:8" x14ac:dyDescent="0.3">
      <c r="A17" t="s">
        <v>6111</v>
      </c>
      <c r="B17" s="1032">
        <v>45951</v>
      </c>
      <c r="C17" t="s">
        <v>6112</v>
      </c>
      <c r="D17" t="s">
        <v>626</v>
      </c>
      <c r="E17" t="s">
        <v>818</v>
      </c>
      <c r="F17" t="s">
        <v>6113</v>
      </c>
      <c r="G17" t="s">
        <v>16</v>
      </c>
      <c r="H17" t="s">
        <v>626</v>
      </c>
    </row>
    <row r="18" spans="1:8" x14ac:dyDescent="0.3">
      <c r="A18" t="s">
        <v>6114</v>
      </c>
      <c r="B18" s="1032">
        <v>45954</v>
      </c>
      <c r="C18" t="s">
        <v>6075</v>
      </c>
      <c r="D18" t="s">
        <v>818</v>
      </c>
      <c r="E18" t="s">
        <v>610</v>
      </c>
      <c r="F18" t="s">
        <v>6115</v>
      </c>
      <c r="G18" t="s">
        <v>17</v>
      </c>
      <c r="H18" t="s">
        <v>610</v>
      </c>
    </row>
    <row r="19" spans="1:8" x14ac:dyDescent="0.3">
      <c r="A19" t="s">
        <v>6116</v>
      </c>
      <c r="B19" s="1032">
        <v>45956</v>
      </c>
      <c r="C19" t="s">
        <v>6117</v>
      </c>
      <c r="D19" t="s">
        <v>325</v>
      </c>
      <c r="E19" t="s">
        <v>818</v>
      </c>
      <c r="F19" t="s">
        <v>6118</v>
      </c>
      <c r="G19" t="s">
        <v>16</v>
      </c>
      <c r="H19" t="s">
        <v>325</v>
      </c>
    </row>
    <row r="20" spans="1:8" x14ac:dyDescent="0.3">
      <c r="A20" t="s">
        <v>6119</v>
      </c>
      <c r="B20" s="1032">
        <v>45958</v>
      </c>
      <c r="C20" t="s">
        <v>6075</v>
      </c>
      <c r="D20" t="s">
        <v>818</v>
      </c>
      <c r="E20" t="s">
        <v>626</v>
      </c>
      <c r="F20" t="s">
        <v>6120</v>
      </c>
      <c r="G20" t="s">
        <v>17</v>
      </c>
      <c r="H20" t="s">
        <v>626</v>
      </c>
    </row>
    <row r="21" spans="1:8" x14ac:dyDescent="0.3">
      <c r="A21" t="s">
        <v>6121</v>
      </c>
      <c r="B21" s="1032">
        <v>45961</v>
      </c>
      <c r="C21" t="s">
        <v>6122</v>
      </c>
      <c r="D21" t="s">
        <v>6086</v>
      </c>
      <c r="E21" t="s">
        <v>818</v>
      </c>
      <c r="F21" t="s">
        <v>6113</v>
      </c>
      <c r="G21" t="s">
        <v>16</v>
      </c>
      <c r="H21" t="s">
        <v>6086</v>
      </c>
    </row>
    <row r="22" spans="1:8" x14ac:dyDescent="0.3">
      <c r="A22" t="s">
        <v>6123</v>
      </c>
      <c r="B22" s="1032">
        <v>45963</v>
      </c>
      <c r="C22" t="s">
        <v>6075</v>
      </c>
      <c r="D22" t="s">
        <v>818</v>
      </c>
      <c r="E22" t="s">
        <v>1274</v>
      </c>
      <c r="F22" t="s">
        <v>6102</v>
      </c>
      <c r="G22" t="s">
        <v>17</v>
      </c>
      <c r="H22" t="s">
        <v>1274</v>
      </c>
    </row>
    <row r="23" spans="1:8" x14ac:dyDescent="0.3">
      <c r="A23" t="s">
        <v>6124</v>
      </c>
      <c r="B23" s="1032">
        <v>45975</v>
      </c>
      <c r="C23" t="s">
        <v>6125</v>
      </c>
      <c r="D23" t="s">
        <v>6091</v>
      </c>
      <c r="E23" t="s">
        <v>818</v>
      </c>
      <c r="F23" t="s">
        <v>6126</v>
      </c>
      <c r="G23" t="s">
        <v>16</v>
      </c>
      <c r="H23" t="s">
        <v>6091</v>
      </c>
    </row>
    <row r="24" spans="1:8" x14ac:dyDescent="0.3">
      <c r="A24" t="s">
        <v>6127</v>
      </c>
      <c r="B24" s="1032">
        <v>45977</v>
      </c>
      <c r="C24" t="s">
        <v>6075</v>
      </c>
      <c r="D24" t="s">
        <v>818</v>
      </c>
      <c r="E24" t="s">
        <v>327</v>
      </c>
      <c r="F24" t="s">
        <v>6128</v>
      </c>
      <c r="G24" t="s">
        <v>17</v>
      </c>
      <c r="H24" t="s">
        <v>327</v>
      </c>
    </row>
    <row r="25" spans="1:8" x14ac:dyDescent="0.3">
      <c r="A25" t="s">
        <v>6129</v>
      </c>
      <c r="B25" s="1032">
        <v>45981</v>
      </c>
      <c r="C25" t="s">
        <v>6130</v>
      </c>
      <c r="D25" t="s">
        <v>331</v>
      </c>
      <c r="E25" t="s">
        <v>818</v>
      </c>
      <c r="F25" t="s">
        <v>6131</v>
      </c>
      <c r="G25" t="s">
        <v>16</v>
      </c>
      <c r="H25" t="s">
        <v>331</v>
      </c>
    </row>
    <row r="26" spans="1:8" x14ac:dyDescent="0.3">
      <c r="A26" t="s">
        <v>6132</v>
      </c>
      <c r="B26" s="1032">
        <v>45984</v>
      </c>
      <c r="C26" t="s">
        <v>6075</v>
      </c>
      <c r="D26" t="s">
        <v>818</v>
      </c>
      <c r="E26" t="s">
        <v>334</v>
      </c>
      <c r="F26" t="s">
        <v>6133</v>
      </c>
      <c r="G26" t="s">
        <v>17</v>
      </c>
      <c r="H26" t="s">
        <v>334</v>
      </c>
    </row>
    <row r="27" spans="1:8" x14ac:dyDescent="0.3">
      <c r="A27" t="s">
        <v>6134</v>
      </c>
      <c r="B27" s="1032">
        <v>45986</v>
      </c>
      <c r="C27" t="s">
        <v>6135</v>
      </c>
      <c r="D27" t="s">
        <v>332</v>
      </c>
      <c r="E27" t="s">
        <v>818</v>
      </c>
      <c r="F27" t="s">
        <v>355</v>
      </c>
      <c r="G27" t="s">
        <v>16</v>
      </c>
      <c r="H27" t="s">
        <v>332</v>
      </c>
    </row>
    <row r="28" spans="1:8" x14ac:dyDescent="0.3">
      <c r="A28" t="s">
        <v>6136</v>
      </c>
      <c r="B28" s="1032">
        <v>45989</v>
      </c>
      <c r="C28" t="s">
        <v>6075</v>
      </c>
      <c r="D28" t="s">
        <v>818</v>
      </c>
      <c r="E28" t="s">
        <v>6072</v>
      </c>
      <c r="F28" t="s">
        <v>6137</v>
      </c>
      <c r="G28" t="s">
        <v>17</v>
      </c>
      <c r="H28" t="s">
        <v>6072</v>
      </c>
    </row>
    <row r="29" spans="1:8" x14ac:dyDescent="0.3">
      <c r="A29" t="s">
        <v>6138</v>
      </c>
      <c r="B29" s="1032">
        <v>45991</v>
      </c>
      <c r="C29" t="s">
        <v>6075</v>
      </c>
      <c r="D29" t="s">
        <v>818</v>
      </c>
      <c r="E29" t="s">
        <v>6076</v>
      </c>
      <c r="F29" t="s">
        <v>6097</v>
      </c>
      <c r="G29" t="s">
        <v>17</v>
      </c>
      <c r="H29" t="s">
        <v>6076</v>
      </c>
    </row>
    <row r="30" spans="1:8" x14ac:dyDescent="0.3">
      <c r="A30" t="s">
        <v>6139</v>
      </c>
      <c r="B30" s="1032">
        <v>45996</v>
      </c>
      <c r="C30" t="s">
        <v>6075</v>
      </c>
      <c r="D30" t="s">
        <v>818</v>
      </c>
      <c r="E30" t="s">
        <v>328</v>
      </c>
      <c r="F30" t="s">
        <v>6104</v>
      </c>
      <c r="G30" t="s">
        <v>17</v>
      </c>
      <c r="H30" t="s">
        <v>328</v>
      </c>
    </row>
    <row r="31" spans="1:8" x14ac:dyDescent="0.3">
      <c r="A31" t="s">
        <v>6140</v>
      </c>
      <c r="B31" s="1032">
        <v>45998</v>
      </c>
      <c r="C31" t="s">
        <v>6075</v>
      </c>
      <c r="D31" t="s">
        <v>818</v>
      </c>
      <c r="E31" t="s">
        <v>610</v>
      </c>
      <c r="F31" t="s">
        <v>6113</v>
      </c>
      <c r="G31" t="s">
        <v>17</v>
      </c>
      <c r="H31" t="s">
        <v>610</v>
      </c>
    </row>
    <row r="32" spans="1:8" x14ac:dyDescent="0.3">
      <c r="A32" t="s">
        <v>6141</v>
      </c>
      <c r="B32" s="1032">
        <v>46010</v>
      </c>
      <c r="C32" t="s">
        <v>6075</v>
      </c>
      <c r="D32" t="s">
        <v>818</v>
      </c>
      <c r="E32" t="s">
        <v>325</v>
      </c>
      <c r="F32" t="s">
        <v>6113</v>
      </c>
      <c r="G32" t="s">
        <v>17</v>
      </c>
      <c r="H32" t="s">
        <v>325</v>
      </c>
    </row>
    <row r="33" spans="1:8" x14ac:dyDescent="0.3">
      <c r="A33" t="s">
        <v>6142</v>
      </c>
      <c r="B33" s="1032">
        <v>46012</v>
      </c>
      <c r="C33" t="s">
        <v>6112</v>
      </c>
      <c r="D33" t="s">
        <v>626</v>
      </c>
      <c r="E33" t="s">
        <v>818</v>
      </c>
      <c r="F33" t="s">
        <v>6115</v>
      </c>
      <c r="G33" t="s">
        <v>16</v>
      </c>
      <c r="H33" t="s">
        <v>626</v>
      </c>
    </row>
    <row r="34" spans="1:8" x14ac:dyDescent="0.3">
      <c r="A34" t="s">
        <v>6143</v>
      </c>
      <c r="B34" s="1032">
        <v>46014</v>
      </c>
      <c r="C34" t="s">
        <v>6075</v>
      </c>
      <c r="D34" t="s">
        <v>818</v>
      </c>
      <c r="E34" t="s">
        <v>6086</v>
      </c>
      <c r="F34" t="s">
        <v>6144</v>
      </c>
      <c r="G34" t="s">
        <v>17</v>
      </c>
      <c r="H34" t="s">
        <v>6086</v>
      </c>
    </row>
    <row r="35" spans="1:8" x14ac:dyDescent="0.3">
      <c r="A35" t="s">
        <v>6145</v>
      </c>
      <c r="B35" s="1032">
        <v>46017</v>
      </c>
      <c r="C35" t="s">
        <v>6088</v>
      </c>
      <c r="D35" t="s">
        <v>1274</v>
      </c>
      <c r="E35" t="s">
        <v>818</v>
      </c>
      <c r="F35" t="s">
        <v>6146</v>
      </c>
      <c r="G35" t="s">
        <v>16</v>
      </c>
      <c r="H35" t="s">
        <v>1274</v>
      </c>
    </row>
    <row r="36" spans="1:8" x14ac:dyDescent="0.3">
      <c r="A36" t="s">
        <v>6147</v>
      </c>
      <c r="B36" s="1032">
        <v>46019</v>
      </c>
      <c r="C36" t="s">
        <v>6075</v>
      </c>
      <c r="D36" t="s">
        <v>818</v>
      </c>
      <c r="E36" t="s">
        <v>6091</v>
      </c>
      <c r="F36" t="s">
        <v>6148</v>
      </c>
      <c r="G36" t="s">
        <v>17</v>
      </c>
      <c r="H36" t="s">
        <v>6091</v>
      </c>
    </row>
    <row r="37" spans="1:8" x14ac:dyDescent="0.3">
      <c r="A37" t="s">
        <v>6149</v>
      </c>
      <c r="B37" s="1032">
        <v>46021</v>
      </c>
      <c r="C37" t="s">
        <v>6094</v>
      </c>
      <c r="D37" t="s">
        <v>327</v>
      </c>
      <c r="E37" t="s">
        <v>818</v>
      </c>
      <c r="F37" t="s">
        <v>6113</v>
      </c>
      <c r="G37" t="s">
        <v>16</v>
      </c>
      <c r="H37" t="s">
        <v>327</v>
      </c>
    </row>
    <row r="38" spans="1:8" x14ac:dyDescent="0.3">
      <c r="A38" t="s">
        <v>6150</v>
      </c>
      <c r="B38" s="1032">
        <v>46024</v>
      </c>
      <c r="C38" t="s">
        <v>6075</v>
      </c>
      <c r="D38" t="s">
        <v>818</v>
      </c>
      <c r="E38" t="s">
        <v>331</v>
      </c>
      <c r="F38" t="s">
        <v>6151</v>
      </c>
      <c r="G38" t="s">
        <v>17</v>
      </c>
      <c r="H38" t="s">
        <v>331</v>
      </c>
    </row>
    <row r="39" spans="1:8" x14ac:dyDescent="0.3">
      <c r="A39" t="s">
        <v>6152</v>
      </c>
      <c r="B39" s="1032">
        <v>46026</v>
      </c>
      <c r="C39" t="s">
        <v>6099</v>
      </c>
      <c r="D39" t="s">
        <v>334</v>
      </c>
      <c r="E39" t="s">
        <v>818</v>
      </c>
      <c r="F39" t="s">
        <v>6153</v>
      </c>
      <c r="G39" t="s">
        <v>16</v>
      </c>
      <c r="H39" t="s">
        <v>334</v>
      </c>
    </row>
    <row r="40" spans="1:8" x14ac:dyDescent="0.3">
      <c r="A40" t="s">
        <v>6154</v>
      </c>
      <c r="B40" s="1032">
        <v>46028</v>
      </c>
      <c r="C40" t="s">
        <v>6075</v>
      </c>
      <c r="D40" t="s">
        <v>818</v>
      </c>
      <c r="E40" t="s">
        <v>332</v>
      </c>
      <c r="F40" t="s">
        <v>6148</v>
      </c>
      <c r="G40" t="s">
        <v>17</v>
      </c>
      <c r="H40" t="s">
        <v>332</v>
      </c>
    </row>
    <row r="41" spans="1:8" x14ac:dyDescent="0.3">
      <c r="A41" t="s">
        <v>6155</v>
      </c>
      <c r="B41" s="1032">
        <v>46031</v>
      </c>
      <c r="C41" t="s">
        <v>6071</v>
      </c>
      <c r="D41" t="s">
        <v>6072</v>
      </c>
      <c r="E41" t="s">
        <v>818</v>
      </c>
      <c r="F41" t="s">
        <v>6131</v>
      </c>
      <c r="G41" t="s">
        <v>16</v>
      </c>
      <c r="H41" t="s">
        <v>6072</v>
      </c>
    </row>
    <row r="42" spans="1:8" x14ac:dyDescent="0.3">
      <c r="A42" t="s">
        <v>6157</v>
      </c>
      <c r="B42" s="1032">
        <v>46033</v>
      </c>
      <c r="C42" t="s">
        <v>6109</v>
      </c>
      <c r="D42" t="s">
        <v>6076</v>
      </c>
      <c r="E42" t="s">
        <v>818</v>
      </c>
      <c r="F42" t="s">
        <v>354</v>
      </c>
      <c r="G42" t="s">
        <v>16</v>
      </c>
      <c r="H42" t="s">
        <v>6076</v>
      </c>
    </row>
    <row r="43" spans="1:8" x14ac:dyDescent="0.3">
      <c r="A43" t="s">
        <v>6158</v>
      </c>
      <c r="B43" s="1032">
        <v>46035</v>
      </c>
      <c r="C43" t="s">
        <v>6117</v>
      </c>
      <c r="D43" t="s">
        <v>325</v>
      </c>
      <c r="E43" t="s">
        <v>818</v>
      </c>
      <c r="F43" t="s">
        <v>6190</v>
      </c>
      <c r="G43" t="s">
        <v>16</v>
      </c>
      <c r="H43" t="s">
        <v>325</v>
      </c>
    </row>
    <row r="44" spans="1:8" x14ac:dyDescent="0.3">
      <c r="A44" t="s">
        <v>6159</v>
      </c>
      <c r="B44" s="1032">
        <v>46038</v>
      </c>
      <c r="C44" t="s">
        <v>6106</v>
      </c>
      <c r="D44" t="s">
        <v>328</v>
      </c>
      <c r="E44" t="s">
        <v>818</v>
      </c>
      <c r="F44" t="s">
        <v>6148</v>
      </c>
      <c r="G44" t="s">
        <v>16</v>
      </c>
      <c r="H44" t="s">
        <v>328</v>
      </c>
    </row>
    <row r="45" spans="1:8" x14ac:dyDescent="0.3">
      <c r="A45" t="s">
        <v>6161</v>
      </c>
      <c r="B45" s="1032">
        <v>46040</v>
      </c>
      <c r="C45" t="s">
        <v>6081</v>
      </c>
      <c r="D45" t="s">
        <v>610</v>
      </c>
      <c r="E45" t="s">
        <v>818</v>
      </c>
      <c r="F45" t="s">
        <v>6148</v>
      </c>
      <c r="G45" t="s">
        <v>16</v>
      </c>
      <c r="H45" t="s">
        <v>610</v>
      </c>
    </row>
    <row r="46" spans="1:8" x14ac:dyDescent="0.3">
      <c r="A46" t="s">
        <v>6162</v>
      </c>
      <c r="B46" s="1032">
        <v>46047</v>
      </c>
      <c r="C46" t="s">
        <v>6075</v>
      </c>
      <c r="D46" t="s">
        <v>818</v>
      </c>
      <c r="E46" t="s">
        <v>626</v>
      </c>
      <c r="F46" t="s">
        <v>6204</v>
      </c>
      <c r="G46" t="s">
        <v>17</v>
      </c>
      <c r="H46" t="s">
        <v>626</v>
      </c>
    </row>
    <row r="47" spans="1:8" x14ac:dyDescent="0.3">
      <c r="A47" t="s">
        <v>6163</v>
      </c>
      <c r="B47" s="1032">
        <v>46049</v>
      </c>
      <c r="C47" t="s">
        <v>6122</v>
      </c>
      <c r="D47" t="s">
        <v>6086</v>
      </c>
      <c r="E47" t="s">
        <v>818</v>
      </c>
      <c r="F47" t="s">
        <v>6120</v>
      </c>
      <c r="G47" t="s">
        <v>16</v>
      </c>
      <c r="H47" t="s">
        <v>6086</v>
      </c>
    </row>
    <row r="48" spans="1:8" x14ac:dyDescent="0.3">
      <c r="A48" t="s">
        <v>6164</v>
      </c>
      <c r="B48" s="1032">
        <v>46051</v>
      </c>
      <c r="C48" t="s">
        <v>6075</v>
      </c>
      <c r="D48" t="s">
        <v>818</v>
      </c>
      <c r="E48" t="s">
        <v>1274</v>
      </c>
      <c r="F48" t="s">
        <v>6092</v>
      </c>
      <c r="G48" t="s">
        <v>17</v>
      </c>
      <c r="H48" t="s">
        <v>1274</v>
      </c>
    </row>
    <row r="49" spans="1:8" x14ac:dyDescent="0.3">
      <c r="A49" t="s">
        <v>6165</v>
      </c>
      <c r="B49" s="1032">
        <v>46078</v>
      </c>
      <c r="C49" t="s">
        <v>6125</v>
      </c>
      <c r="D49" t="s">
        <v>6091</v>
      </c>
      <c r="E49" t="s">
        <v>818</v>
      </c>
      <c r="F49" t="s">
        <v>6160</v>
      </c>
      <c r="G49" t="s">
        <v>16</v>
      </c>
      <c r="H49" t="s">
        <v>6091</v>
      </c>
    </row>
    <row r="50" spans="1:8" x14ac:dyDescent="0.3">
      <c r="A50" t="s">
        <v>6166</v>
      </c>
      <c r="B50" s="1032">
        <v>46080</v>
      </c>
      <c r="C50" t="s">
        <v>6075</v>
      </c>
      <c r="D50" t="s">
        <v>818</v>
      </c>
      <c r="E50" t="s">
        <v>327</v>
      </c>
      <c r="F50" t="s">
        <v>6160</v>
      </c>
      <c r="G50" t="s">
        <v>17</v>
      </c>
      <c r="H50" t="s">
        <v>327</v>
      </c>
    </row>
    <row r="51" spans="1:8" x14ac:dyDescent="0.3">
      <c r="A51" t="s">
        <v>6167</v>
      </c>
      <c r="B51" s="1032">
        <v>46082</v>
      </c>
      <c r="C51" t="s">
        <v>6130</v>
      </c>
      <c r="D51" t="s">
        <v>331</v>
      </c>
      <c r="E51" t="s">
        <v>818</v>
      </c>
      <c r="F51" t="s">
        <v>6168</v>
      </c>
      <c r="G51" t="s">
        <v>16</v>
      </c>
      <c r="H51" t="s">
        <v>331</v>
      </c>
    </row>
    <row r="52" spans="1:8" x14ac:dyDescent="0.3">
      <c r="A52" t="s">
        <v>6169</v>
      </c>
      <c r="B52" s="1032">
        <v>46085</v>
      </c>
      <c r="C52" t="s">
        <v>6075</v>
      </c>
      <c r="D52" t="s">
        <v>818</v>
      </c>
      <c r="E52" t="s">
        <v>334</v>
      </c>
      <c r="F52" t="s">
        <v>6156</v>
      </c>
      <c r="G52" t="s">
        <v>17</v>
      </c>
      <c r="H52" t="s">
        <v>334</v>
      </c>
    </row>
    <row r="53" spans="1:8" x14ac:dyDescent="0.3">
      <c r="A53" t="s">
        <v>6170</v>
      </c>
      <c r="B53" s="1032">
        <v>46087</v>
      </c>
      <c r="C53" t="s">
        <v>6135</v>
      </c>
      <c r="D53" t="s">
        <v>332</v>
      </c>
      <c r="E53" t="s">
        <v>818</v>
      </c>
      <c r="F53" t="s">
        <v>6160</v>
      </c>
      <c r="G53" t="s">
        <v>16</v>
      </c>
      <c r="H53" t="s">
        <v>332</v>
      </c>
    </row>
  </sheetData>
  <pageMargins left="0.7" right="0.7" top="0.78740157499999996" bottom="0.78740157499999996"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6057B-70C5-490F-BBBF-F53F06FAEA94}">
  <dimension ref="A1:AK184"/>
  <sheetViews>
    <sheetView workbookViewId="0">
      <pane xSplit="7" ySplit="2" topLeftCell="H35" activePane="bottomRight" state="frozen"/>
      <selection activeCell="L12" sqref="L12"/>
      <selection pane="topRight" activeCell="L12" sqref="L12"/>
      <selection pane="bottomLeft" activeCell="L12" sqref="L12"/>
      <selection pane="bottomRight" activeCell="T32" sqref="T32"/>
    </sheetView>
  </sheetViews>
  <sheetFormatPr defaultRowHeight="14.4" x14ac:dyDescent="0.3"/>
  <cols>
    <col min="1" max="1" width="14.44140625" customWidth="1"/>
    <col min="2" max="2" width="11.109375" customWidth="1"/>
    <col min="3" max="3" width="14.6640625" style="2" customWidth="1"/>
    <col min="4" max="4" width="14" style="2" customWidth="1"/>
    <col min="5" max="5" width="17.6640625" style="2" customWidth="1"/>
    <col min="6" max="6" width="18" style="2" customWidth="1"/>
    <col min="7" max="7" width="22.6640625" style="2" customWidth="1"/>
    <col min="8" max="8" width="10.109375" style="2" customWidth="1"/>
    <col min="9" max="9" width="10.6640625" style="2" customWidth="1"/>
    <col min="10" max="10" width="9.88671875" style="2" customWidth="1"/>
    <col min="11" max="11" width="10.6640625" style="2" customWidth="1"/>
    <col min="12" max="12" width="13.44140625" style="2" customWidth="1"/>
    <col min="13" max="13" width="18" style="2" customWidth="1"/>
    <col min="14" max="14" width="16.44140625" style="2" customWidth="1"/>
    <col min="15" max="15" width="15.6640625" style="2" customWidth="1"/>
    <col min="16" max="16" width="16.5546875" style="168" customWidth="1"/>
    <col min="17" max="17" width="12.6640625" style="2" customWidth="1"/>
    <col min="18" max="18" width="15" style="2" customWidth="1"/>
    <col min="19" max="19" width="13.44140625" style="2" customWidth="1"/>
    <col min="20" max="20" width="12.6640625" style="2" customWidth="1"/>
    <col min="21" max="21" width="11.88671875" style="2" customWidth="1"/>
    <col min="22" max="22" width="13.88671875" style="242" customWidth="1"/>
    <col min="23" max="23" width="16.6640625" style="1058" customWidth="1"/>
    <col min="24" max="26" width="11.109375" style="1058" customWidth="1"/>
    <col min="27" max="27" width="45.6640625" style="1138" customWidth="1"/>
    <col min="28" max="28" width="71.33203125" style="2" bestFit="1" customWidth="1"/>
    <col min="29" max="29" width="72.109375" style="2" customWidth="1"/>
    <col min="30" max="30" width="68.88671875" style="2" bestFit="1" customWidth="1"/>
    <col min="31" max="31" width="64.44140625" style="2" customWidth="1"/>
    <col min="32" max="32" width="64.5546875" style="2" customWidth="1"/>
    <col min="33" max="34" width="62.109375" style="2" customWidth="1"/>
    <col min="35" max="35" width="55.33203125" style="242" customWidth="1"/>
    <col min="36" max="36" width="55.88671875" style="8" customWidth="1"/>
    <col min="37" max="37" width="16" customWidth="1"/>
  </cols>
  <sheetData>
    <row r="1" spans="1:37" x14ac:dyDescent="0.3">
      <c r="P1" s="1152"/>
      <c r="Q1" s="1170"/>
      <c r="R1" s="1152"/>
      <c r="S1" s="1170"/>
      <c r="T1" s="1152"/>
      <c r="U1" s="1153"/>
      <c r="V1" s="1170"/>
      <c r="W1" s="1099"/>
      <c r="X1" s="1100"/>
      <c r="Y1" s="1100"/>
      <c r="Z1" s="1100"/>
      <c r="AA1" s="1124"/>
      <c r="AB1" s="1152"/>
      <c r="AC1" s="1153"/>
      <c r="AD1" s="1153"/>
      <c r="AE1" s="1153"/>
      <c r="AF1" s="1153"/>
      <c r="AG1" s="1153"/>
      <c r="AH1" s="1153"/>
      <c r="AI1" s="1170"/>
    </row>
    <row r="2" spans="1:37" s="2" customFormat="1" x14ac:dyDescent="0.3">
      <c r="A2" s="2" t="s">
        <v>1053</v>
      </c>
      <c r="B2" s="986" t="s">
        <v>785</v>
      </c>
      <c r="C2" s="987" t="s">
        <v>14</v>
      </c>
      <c r="D2" s="987" t="s">
        <v>11</v>
      </c>
      <c r="E2" s="987" t="s">
        <v>15</v>
      </c>
      <c r="F2" s="987" t="s">
        <v>13</v>
      </c>
      <c r="G2" s="987" t="s">
        <v>157</v>
      </c>
      <c r="H2" s="987" t="s">
        <v>1047</v>
      </c>
      <c r="I2" s="987" t="s">
        <v>6063</v>
      </c>
      <c r="J2" s="987" t="s">
        <v>6064</v>
      </c>
      <c r="K2" s="1051" t="s">
        <v>6177</v>
      </c>
      <c r="L2" s="1051" t="s">
        <v>6178</v>
      </c>
      <c r="M2" s="987" t="s">
        <v>707</v>
      </c>
      <c r="N2" s="987" t="s">
        <v>708</v>
      </c>
      <c r="O2" s="987" t="s">
        <v>759</v>
      </c>
      <c r="P2" s="988" t="s">
        <v>6180</v>
      </c>
      <c r="Q2" s="987" t="s">
        <v>6181</v>
      </c>
      <c r="R2" s="988" t="s">
        <v>6182</v>
      </c>
      <c r="S2" s="988" t="s">
        <v>6183</v>
      </c>
      <c r="T2" s="988" t="s">
        <v>6184</v>
      </c>
      <c r="U2" s="987" t="s">
        <v>6185</v>
      </c>
      <c r="V2" s="987" t="s">
        <v>6186</v>
      </c>
      <c r="W2" s="1082" t="s">
        <v>6059</v>
      </c>
      <c r="X2" s="1083" t="s">
        <v>6060</v>
      </c>
      <c r="Y2" s="1083" t="s">
        <v>6061</v>
      </c>
      <c r="Z2" s="1083" t="s">
        <v>6062</v>
      </c>
      <c r="AA2" s="1125" t="s">
        <v>698</v>
      </c>
      <c r="AB2" s="987" t="s">
        <v>699</v>
      </c>
      <c r="AC2" s="987" t="s">
        <v>700</v>
      </c>
      <c r="AD2" s="987" t="s">
        <v>701</v>
      </c>
      <c r="AE2" s="987" t="s">
        <v>702</v>
      </c>
      <c r="AF2" s="987" t="s">
        <v>703</v>
      </c>
      <c r="AG2" s="987" t="s">
        <v>704</v>
      </c>
      <c r="AH2" s="987" t="s">
        <v>854</v>
      </c>
      <c r="AI2" s="987" t="s">
        <v>5166</v>
      </c>
      <c r="AJ2" s="988" t="s">
        <v>3878</v>
      </c>
      <c r="AK2" s="987" t="s">
        <v>4614</v>
      </c>
    </row>
    <row r="3" spans="1:37" ht="15.75" customHeight="1" x14ac:dyDescent="0.3">
      <c r="A3" t="s">
        <v>6058</v>
      </c>
      <c r="B3" s="989">
        <v>1</v>
      </c>
      <c r="C3" s="990">
        <v>1</v>
      </c>
      <c r="D3" s="4">
        <v>45910</v>
      </c>
      <c r="E3" s="990" t="s">
        <v>6179</v>
      </c>
      <c r="F3" s="990" t="s">
        <v>16</v>
      </c>
      <c r="G3" s="1043" t="s">
        <v>6082</v>
      </c>
      <c r="H3" s="1043" t="s">
        <v>743</v>
      </c>
      <c r="I3" s="1027">
        <v>2</v>
      </c>
      <c r="J3" s="1027">
        <v>4</v>
      </c>
      <c r="K3" s="1027">
        <v>2</v>
      </c>
      <c r="L3" s="1027">
        <v>3</v>
      </c>
      <c r="M3" s="990">
        <v>10</v>
      </c>
      <c r="N3" s="990">
        <v>0</v>
      </c>
      <c r="O3" s="1027">
        <v>0</v>
      </c>
      <c r="P3" s="992">
        <v>1</v>
      </c>
      <c r="Q3" s="993">
        <v>0</v>
      </c>
      <c r="R3" s="993">
        <v>0</v>
      </c>
      <c r="S3" s="993">
        <v>0</v>
      </c>
      <c r="T3" s="993">
        <v>5</v>
      </c>
      <c r="U3" s="993">
        <v>7</v>
      </c>
      <c r="V3" s="993">
        <v>6712</v>
      </c>
      <c r="W3" s="1053" t="s">
        <v>6187</v>
      </c>
      <c r="X3" s="1046" t="s">
        <v>6189</v>
      </c>
      <c r="Y3" s="1046" t="s">
        <v>6097</v>
      </c>
      <c r="Z3" s="1046"/>
      <c r="AA3" s="1126" t="s">
        <v>5629</v>
      </c>
      <c r="AB3" s="993" t="s">
        <v>6047</v>
      </c>
      <c r="AC3" s="993" t="s">
        <v>6048</v>
      </c>
      <c r="AD3" s="1139"/>
      <c r="AE3" s="1139"/>
      <c r="AF3" s="993"/>
      <c r="AG3" s="993"/>
      <c r="AH3" s="993"/>
      <c r="AI3" s="993"/>
      <c r="AJ3" s="994"/>
      <c r="AK3" s="1013" t="s">
        <v>6041</v>
      </c>
    </row>
    <row r="4" spans="1:37" x14ac:dyDescent="0.3">
      <c r="A4" t="s">
        <v>6058</v>
      </c>
      <c r="B4" s="995">
        <v>2</v>
      </c>
      <c r="C4" s="996">
        <v>2</v>
      </c>
      <c r="D4" s="4">
        <v>45912</v>
      </c>
      <c r="E4" s="996" t="s">
        <v>6076</v>
      </c>
      <c r="F4" s="996" t="s">
        <v>17</v>
      </c>
      <c r="G4" s="1044" t="s">
        <v>6077</v>
      </c>
      <c r="H4" s="1044" t="s">
        <v>743</v>
      </c>
      <c r="I4" s="1028">
        <v>0</v>
      </c>
      <c r="J4" s="1028">
        <v>4</v>
      </c>
      <c r="K4" s="1028">
        <v>0</v>
      </c>
      <c r="L4" s="1028">
        <v>3</v>
      </c>
      <c r="M4" s="996">
        <v>12</v>
      </c>
      <c r="N4" s="996">
        <v>-3</v>
      </c>
      <c r="O4" s="1028">
        <v>0</v>
      </c>
      <c r="P4" s="998">
        <v>0</v>
      </c>
      <c r="Q4" s="996">
        <v>0</v>
      </c>
      <c r="R4" s="996">
        <v>0</v>
      </c>
      <c r="S4" s="996">
        <v>1</v>
      </c>
      <c r="T4" s="996">
        <v>5</v>
      </c>
      <c r="U4" s="996">
        <v>6</v>
      </c>
      <c r="V4" s="996">
        <v>5010</v>
      </c>
      <c r="W4" s="1054" t="s">
        <v>6188</v>
      </c>
      <c r="X4" s="1044" t="s">
        <v>6189</v>
      </c>
      <c r="Y4" s="1044" t="s">
        <v>6079</v>
      </c>
      <c r="Z4" s="1044"/>
      <c r="AA4" s="1127" t="s">
        <v>6077</v>
      </c>
      <c r="AB4" s="996" t="s">
        <v>515</v>
      </c>
      <c r="AC4" s="999"/>
      <c r="AD4" s="999"/>
      <c r="AE4" s="996"/>
      <c r="AF4" s="996"/>
      <c r="AG4" s="996"/>
      <c r="AH4" s="996"/>
      <c r="AI4" s="996"/>
      <c r="AJ4" s="998"/>
      <c r="AK4" s="1019" t="s">
        <v>6042</v>
      </c>
    </row>
    <row r="5" spans="1:37" x14ac:dyDescent="0.3">
      <c r="A5" t="s">
        <v>6058</v>
      </c>
      <c r="B5" s="989">
        <v>3</v>
      </c>
      <c r="C5" s="990">
        <v>3</v>
      </c>
      <c r="D5" s="4">
        <v>45914</v>
      </c>
      <c r="E5" s="990" t="s">
        <v>328</v>
      </c>
      <c r="F5" s="990" t="s">
        <v>17</v>
      </c>
      <c r="G5" s="1043" t="s">
        <v>6079</v>
      </c>
      <c r="H5" s="1043" t="s">
        <v>743</v>
      </c>
      <c r="I5" s="1027">
        <v>0</v>
      </c>
      <c r="J5" s="1027">
        <v>3</v>
      </c>
      <c r="K5" s="1027">
        <v>0</v>
      </c>
      <c r="L5" s="1027">
        <v>3</v>
      </c>
      <c r="M5" s="1000">
        <v>14</v>
      </c>
      <c r="N5" s="990">
        <v>-6</v>
      </c>
      <c r="O5" s="1027">
        <v>0</v>
      </c>
      <c r="P5" s="1001">
        <v>0</v>
      </c>
      <c r="Q5" s="990">
        <v>0</v>
      </c>
      <c r="R5" s="990">
        <v>0</v>
      </c>
      <c r="S5" s="990">
        <v>1</v>
      </c>
      <c r="T5" s="990">
        <v>1</v>
      </c>
      <c r="U5" s="990">
        <v>3</v>
      </c>
      <c r="V5" s="990">
        <v>4525</v>
      </c>
      <c r="W5" s="1055" t="s">
        <v>6188</v>
      </c>
      <c r="X5" s="1043" t="s">
        <v>6189</v>
      </c>
      <c r="Y5" s="1043" t="s">
        <v>6171</v>
      </c>
      <c r="Z5" s="1043"/>
      <c r="AA5" s="1128" t="s">
        <v>6079</v>
      </c>
      <c r="AB5" s="990" t="s">
        <v>515</v>
      </c>
      <c r="AC5" s="1002"/>
      <c r="AD5" s="1002"/>
      <c r="AE5" s="990"/>
      <c r="AF5" s="990"/>
      <c r="AG5" s="990"/>
      <c r="AH5" s="990"/>
      <c r="AI5" s="990"/>
      <c r="AJ5" s="994"/>
      <c r="AK5" s="1013" t="s">
        <v>6043</v>
      </c>
    </row>
    <row r="6" spans="1:37" x14ac:dyDescent="0.3">
      <c r="A6" t="s">
        <v>6058</v>
      </c>
      <c r="B6" s="995">
        <v>4</v>
      </c>
      <c r="C6" s="996">
        <v>4</v>
      </c>
      <c r="D6" s="4">
        <v>45916</v>
      </c>
      <c r="E6" s="996" t="s">
        <v>610</v>
      </c>
      <c r="F6" s="996" t="s">
        <v>16</v>
      </c>
      <c r="G6" s="1044" t="s">
        <v>6073</v>
      </c>
      <c r="H6" s="1044" t="s">
        <v>16</v>
      </c>
      <c r="I6" s="1028">
        <v>4</v>
      </c>
      <c r="J6" s="1028">
        <v>2</v>
      </c>
      <c r="K6" s="1028">
        <v>4</v>
      </c>
      <c r="L6" s="1028">
        <v>2</v>
      </c>
      <c r="M6" s="996">
        <v>13</v>
      </c>
      <c r="N6" s="996">
        <v>-3</v>
      </c>
      <c r="O6" s="1028">
        <v>3</v>
      </c>
      <c r="P6" s="998">
        <v>1</v>
      </c>
      <c r="Q6" s="996">
        <v>0</v>
      </c>
      <c r="R6" s="996">
        <v>1</v>
      </c>
      <c r="S6" s="996">
        <v>0</v>
      </c>
      <c r="T6" s="996">
        <v>2</v>
      </c>
      <c r="U6" s="996">
        <v>7</v>
      </c>
      <c r="V6" s="996">
        <v>3562</v>
      </c>
      <c r="W6" s="1054" t="s">
        <v>6120</v>
      </c>
      <c r="X6" s="1044" t="s">
        <v>6118</v>
      </c>
      <c r="Y6" s="1044" t="s">
        <v>6187</v>
      </c>
      <c r="Z6" s="1044"/>
      <c r="AA6" s="1127" t="s">
        <v>6045</v>
      </c>
      <c r="AB6" t="s">
        <v>6400</v>
      </c>
      <c r="AC6" t="s">
        <v>6401</v>
      </c>
      <c r="AD6" t="s">
        <v>6402</v>
      </c>
      <c r="AE6" t="s">
        <v>6403</v>
      </c>
      <c r="AF6" s="996"/>
      <c r="AG6" s="996"/>
      <c r="AH6" s="996"/>
      <c r="AI6" s="996"/>
      <c r="AJ6" s="998" t="s">
        <v>6044</v>
      </c>
      <c r="AK6" s="1014" t="s">
        <v>6046</v>
      </c>
    </row>
    <row r="7" spans="1:37" x14ac:dyDescent="0.3">
      <c r="A7" t="s">
        <v>6058</v>
      </c>
      <c r="B7" s="989">
        <v>5</v>
      </c>
      <c r="C7" s="990">
        <v>5</v>
      </c>
      <c r="D7" s="4">
        <v>45919</v>
      </c>
      <c r="E7" s="990" t="s">
        <v>325</v>
      </c>
      <c r="F7" s="990" t="s">
        <v>17</v>
      </c>
      <c r="G7" s="1043" t="s">
        <v>6084</v>
      </c>
      <c r="H7" s="1043" t="s">
        <v>743</v>
      </c>
      <c r="I7" s="1027">
        <v>1</v>
      </c>
      <c r="J7" s="1027">
        <v>5</v>
      </c>
      <c r="K7" s="1027">
        <v>1</v>
      </c>
      <c r="L7" s="1027">
        <v>5</v>
      </c>
      <c r="M7" s="990">
        <v>13</v>
      </c>
      <c r="N7" s="990">
        <v>-6</v>
      </c>
      <c r="O7" s="1027">
        <v>3</v>
      </c>
      <c r="P7" s="1001">
        <v>1</v>
      </c>
      <c r="Q7" s="990">
        <v>0</v>
      </c>
      <c r="R7" s="990">
        <v>0</v>
      </c>
      <c r="S7" s="990">
        <v>1</v>
      </c>
      <c r="T7" s="990">
        <v>2</v>
      </c>
      <c r="U7" s="990">
        <v>2</v>
      </c>
      <c r="V7" s="990">
        <v>4907</v>
      </c>
      <c r="W7" s="1055" t="s">
        <v>6079</v>
      </c>
      <c r="X7" s="1043" t="s">
        <v>6187</v>
      </c>
      <c r="Y7" s="1043" t="s">
        <v>6189</v>
      </c>
      <c r="Z7" s="1043"/>
      <c r="AA7" s="1128" t="s">
        <v>4449</v>
      </c>
      <c r="AB7" t="s">
        <v>6404</v>
      </c>
      <c r="AC7" s="1002"/>
      <c r="AD7" s="1002"/>
      <c r="AE7" s="1002"/>
      <c r="AF7" s="1002"/>
      <c r="AG7" s="990"/>
      <c r="AH7" s="990"/>
      <c r="AI7" s="990"/>
      <c r="AJ7" s="994"/>
      <c r="AK7" s="1020" t="s">
        <v>6302</v>
      </c>
    </row>
    <row r="8" spans="1:37" x14ac:dyDescent="0.3">
      <c r="A8" t="s">
        <v>6058</v>
      </c>
      <c r="B8" s="995">
        <v>6</v>
      </c>
      <c r="C8" s="996">
        <v>7</v>
      </c>
      <c r="D8" s="1033">
        <v>45923</v>
      </c>
      <c r="E8" s="996" t="s">
        <v>6086</v>
      </c>
      <c r="F8" s="996" t="s">
        <v>17</v>
      </c>
      <c r="G8" s="1044" t="s">
        <v>6073</v>
      </c>
      <c r="H8" s="1044" t="s">
        <v>16</v>
      </c>
      <c r="I8" s="1028">
        <v>4</v>
      </c>
      <c r="J8" s="1028">
        <v>2</v>
      </c>
      <c r="K8" s="1028">
        <v>3</v>
      </c>
      <c r="L8" s="1028">
        <v>2</v>
      </c>
      <c r="M8" s="996">
        <v>12</v>
      </c>
      <c r="N8" s="996">
        <v>-6</v>
      </c>
      <c r="O8" s="1028">
        <v>6</v>
      </c>
      <c r="P8" s="998">
        <v>0</v>
      </c>
      <c r="Q8" s="996">
        <v>0</v>
      </c>
      <c r="R8" s="996">
        <v>0</v>
      </c>
      <c r="S8" s="996">
        <v>0</v>
      </c>
      <c r="T8" s="996">
        <v>3</v>
      </c>
      <c r="U8" s="996">
        <v>3</v>
      </c>
      <c r="V8" s="996">
        <v>3023</v>
      </c>
      <c r="W8" s="1054" t="s">
        <v>6188</v>
      </c>
      <c r="X8" s="1044" t="s">
        <v>6118</v>
      </c>
      <c r="Y8" s="1044" t="s">
        <v>6118</v>
      </c>
      <c r="Z8" s="1044"/>
      <c r="AA8" s="1127" t="s">
        <v>5837</v>
      </c>
      <c r="AB8" t="s">
        <v>6405</v>
      </c>
      <c r="AC8" t="s">
        <v>6406</v>
      </c>
      <c r="AD8" t="s">
        <v>6407</v>
      </c>
      <c r="AE8" t="s">
        <v>6419</v>
      </c>
      <c r="AF8" s="996"/>
      <c r="AG8" s="996"/>
      <c r="AH8" s="996"/>
      <c r="AI8" s="996"/>
      <c r="AJ8" s="998"/>
      <c r="AK8" s="1021" t="s">
        <v>6303</v>
      </c>
    </row>
    <row r="9" spans="1:37" ht="15" customHeight="1" x14ac:dyDescent="0.3">
      <c r="A9" t="s">
        <v>6058</v>
      </c>
      <c r="B9" s="989">
        <v>7</v>
      </c>
      <c r="C9" s="990">
        <v>8</v>
      </c>
      <c r="D9" s="1034">
        <v>45926</v>
      </c>
      <c r="E9" s="990" t="s">
        <v>1274</v>
      </c>
      <c r="F9" s="990" t="s">
        <v>16</v>
      </c>
      <c r="G9" s="1043" t="s">
        <v>6171</v>
      </c>
      <c r="H9" s="1043" t="s">
        <v>743</v>
      </c>
      <c r="I9" s="1027">
        <v>0</v>
      </c>
      <c r="J9" s="1027">
        <v>2</v>
      </c>
      <c r="K9" s="1027">
        <v>0</v>
      </c>
      <c r="L9" s="1027">
        <v>2</v>
      </c>
      <c r="M9" s="990">
        <v>12</v>
      </c>
      <c r="N9" s="990">
        <v>-6</v>
      </c>
      <c r="O9" s="1027">
        <v>6</v>
      </c>
      <c r="P9" s="1001">
        <v>0</v>
      </c>
      <c r="Q9" s="990">
        <v>0</v>
      </c>
      <c r="R9" s="990">
        <v>0</v>
      </c>
      <c r="S9" s="990">
        <v>1</v>
      </c>
      <c r="T9" s="990">
        <v>2</v>
      </c>
      <c r="U9" s="990">
        <v>5</v>
      </c>
      <c r="V9" s="990">
        <v>3402</v>
      </c>
      <c r="W9" s="1053" t="s">
        <v>6171</v>
      </c>
      <c r="X9" s="1046" t="s">
        <v>6188</v>
      </c>
      <c r="Y9" s="1046" t="s">
        <v>6188</v>
      </c>
      <c r="Z9" s="1043"/>
      <c r="AA9" s="1128" t="s">
        <v>6171</v>
      </c>
      <c r="AB9" s="1002" t="s">
        <v>515</v>
      </c>
      <c r="AC9" s="1002"/>
      <c r="AD9" s="1002"/>
      <c r="AE9" s="1002"/>
      <c r="AF9" s="1002"/>
      <c r="AG9" s="990"/>
      <c r="AH9" s="990"/>
      <c r="AI9" s="990"/>
      <c r="AJ9" s="994"/>
      <c r="AK9" s="1020" t="s">
        <v>6304</v>
      </c>
    </row>
    <row r="10" spans="1:37" x14ac:dyDescent="0.3">
      <c r="A10" t="s">
        <v>6058</v>
      </c>
      <c r="B10" s="995">
        <v>8</v>
      </c>
      <c r="C10" s="996">
        <v>9</v>
      </c>
      <c r="D10" s="1033">
        <v>45928</v>
      </c>
      <c r="E10" s="996" t="s">
        <v>6091</v>
      </c>
      <c r="F10" s="996" t="s">
        <v>17</v>
      </c>
      <c r="G10" s="1044" t="s">
        <v>6092</v>
      </c>
      <c r="H10" s="1044" t="s">
        <v>743</v>
      </c>
      <c r="I10" s="1028">
        <v>3</v>
      </c>
      <c r="J10" s="1028">
        <v>6</v>
      </c>
      <c r="K10" s="1028">
        <v>3</v>
      </c>
      <c r="L10" s="1028">
        <v>6</v>
      </c>
      <c r="M10" s="996">
        <v>13</v>
      </c>
      <c r="N10" s="996">
        <v>-9</v>
      </c>
      <c r="O10" s="1028">
        <v>6</v>
      </c>
      <c r="P10" s="998">
        <v>0</v>
      </c>
      <c r="Q10" s="996">
        <v>0</v>
      </c>
      <c r="R10" s="996">
        <v>0</v>
      </c>
      <c r="S10" s="996">
        <v>1</v>
      </c>
      <c r="T10" s="996">
        <v>2</v>
      </c>
      <c r="U10" s="996">
        <v>2</v>
      </c>
      <c r="V10" s="996">
        <v>3457</v>
      </c>
      <c r="W10" s="1054" t="s">
        <v>6118</v>
      </c>
      <c r="X10" s="1044" t="s">
        <v>6128</v>
      </c>
      <c r="Y10" s="1044" t="s">
        <v>6189</v>
      </c>
      <c r="Z10" s="1044"/>
      <c r="AA10" s="1127" t="s">
        <v>6306</v>
      </c>
      <c r="AB10" t="s">
        <v>6408</v>
      </c>
      <c r="AC10" t="s">
        <v>6409</v>
      </c>
      <c r="AD10" t="s">
        <v>6410</v>
      </c>
      <c r="AE10" s="996"/>
      <c r="AF10" s="996"/>
      <c r="AG10" s="996"/>
      <c r="AH10" s="996"/>
      <c r="AI10" s="996"/>
      <c r="AJ10" s="1003"/>
      <c r="AK10" s="1014" t="s">
        <v>6305</v>
      </c>
    </row>
    <row r="11" spans="1:37" x14ac:dyDescent="0.3">
      <c r="A11" t="s">
        <v>6058</v>
      </c>
      <c r="B11" s="989">
        <v>9</v>
      </c>
      <c r="C11" s="990">
        <v>10</v>
      </c>
      <c r="D11" s="1034">
        <v>45930</v>
      </c>
      <c r="E11" s="990" t="s">
        <v>327</v>
      </c>
      <c r="F11" s="990" t="s">
        <v>16</v>
      </c>
      <c r="G11" s="1043" t="s">
        <v>589</v>
      </c>
      <c r="H11" s="1043" t="s">
        <v>794</v>
      </c>
      <c r="I11" s="1027">
        <v>1</v>
      </c>
      <c r="J11" s="1027">
        <v>2</v>
      </c>
      <c r="K11" s="1027">
        <v>1</v>
      </c>
      <c r="L11" s="1027">
        <v>1</v>
      </c>
      <c r="M11" s="990">
        <v>13</v>
      </c>
      <c r="N11" s="990">
        <v>-8</v>
      </c>
      <c r="O11" s="1027">
        <v>7</v>
      </c>
      <c r="P11" s="1001">
        <v>0</v>
      </c>
      <c r="Q11" s="990">
        <v>0</v>
      </c>
      <c r="R11" s="990">
        <v>0</v>
      </c>
      <c r="S11" s="990">
        <v>1</v>
      </c>
      <c r="T11" s="990">
        <v>3</v>
      </c>
      <c r="U11" s="990">
        <v>4</v>
      </c>
      <c r="V11" s="990">
        <v>8523</v>
      </c>
      <c r="W11" s="1055" t="s">
        <v>6188</v>
      </c>
      <c r="X11" s="1043" t="s">
        <v>6189</v>
      </c>
      <c r="Y11" s="1043" t="s">
        <v>6120</v>
      </c>
      <c r="Z11" s="1043" t="s">
        <v>3213</v>
      </c>
      <c r="AA11" s="1128" t="s">
        <v>3803</v>
      </c>
      <c r="AB11" t="s">
        <v>6411</v>
      </c>
      <c r="AC11" s="1002"/>
      <c r="AD11" s="990"/>
      <c r="AE11" s="990"/>
      <c r="AF11" s="990"/>
      <c r="AG11" s="990"/>
      <c r="AH11" s="990"/>
      <c r="AI11" s="990"/>
      <c r="AJ11" s="994"/>
      <c r="AK11" s="1020" t="s">
        <v>6307</v>
      </c>
    </row>
    <row r="12" spans="1:37" x14ac:dyDescent="0.3">
      <c r="A12" t="s">
        <v>6058</v>
      </c>
      <c r="B12" s="995">
        <v>10</v>
      </c>
      <c r="C12" s="996">
        <v>11</v>
      </c>
      <c r="D12" s="1033">
        <v>45933</v>
      </c>
      <c r="E12" s="996" t="s">
        <v>331</v>
      </c>
      <c r="F12" s="996" t="s">
        <v>17</v>
      </c>
      <c r="G12" s="1044" t="s">
        <v>6097</v>
      </c>
      <c r="H12" s="1044" t="s">
        <v>743</v>
      </c>
      <c r="I12" s="1028">
        <v>1</v>
      </c>
      <c r="J12" s="1028">
        <v>2</v>
      </c>
      <c r="K12" s="1028">
        <v>1</v>
      </c>
      <c r="L12" s="1028">
        <v>2</v>
      </c>
      <c r="M12" s="1000">
        <v>14</v>
      </c>
      <c r="N12" s="996">
        <v>-11</v>
      </c>
      <c r="O12" s="1028">
        <v>7</v>
      </c>
      <c r="P12" s="998">
        <v>0</v>
      </c>
      <c r="Q12" s="996">
        <v>0</v>
      </c>
      <c r="R12" s="996">
        <v>0</v>
      </c>
      <c r="S12" s="996">
        <v>0</v>
      </c>
      <c r="T12" s="996">
        <v>4</v>
      </c>
      <c r="U12" s="996">
        <v>3</v>
      </c>
      <c r="V12" s="996">
        <v>4380</v>
      </c>
      <c r="W12" s="1054" t="s">
        <v>6188</v>
      </c>
      <c r="X12" s="1044" t="s">
        <v>6120</v>
      </c>
      <c r="Y12" s="1044" t="s">
        <v>6171</v>
      </c>
      <c r="Z12" s="1044"/>
      <c r="AA12" s="1127" t="s">
        <v>3819</v>
      </c>
      <c r="AB12" t="s">
        <v>6412</v>
      </c>
      <c r="AC12" s="999"/>
      <c r="AD12" s="996"/>
      <c r="AE12" s="996"/>
      <c r="AF12" s="996"/>
      <c r="AG12" s="996"/>
      <c r="AH12" s="996"/>
      <c r="AI12" s="996"/>
      <c r="AJ12" s="1003"/>
      <c r="AK12" s="1014" t="s">
        <v>6310</v>
      </c>
    </row>
    <row r="13" spans="1:37" x14ac:dyDescent="0.3">
      <c r="A13" t="s">
        <v>6058</v>
      </c>
      <c r="B13" s="989">
        <v>11</v>
      </c>
      <c r="C13" s="990">
        <v>12</v>
      </c>
      <c r="D13" s="1034">
        <v>45935</v>
      </c>
      <c r="E13" s="990" t="s">
        <v>334</v>
      </c>
      <c r="F13" s="990" t="s">
        <v>16</v>
      </c>
      <c r="G13" s="1043" t="s">
        <v>6102</v>
      </c>
      <c r="H13" s="1043" t="s">
        <v>743</v>
      </c>
      <c r="I13" s="1027">
        <v>1</v>
      </c>
      <c r="J13" s="1027">
        <v>3</v>
      </c>
      <c r="K13" s="1027">
        <v>1</v>
      </c>
      <c r="L13" s="1027">
        <v>2</v>
      </c>
      <c r="M13" s="1000">
        <v>14</v>
      </c>
      <c r="N13" s="990">
        <v>-11</v>
      </c>
      <c r="O13" s="1027">
        <v>7</v>
      </c>
      <c r="P13" s="1001">
        <v>0</v>
      </c>
      <c r="Q13" s="990">
        <v>0</v>
      </c>
      <c r="R13" s="990">
        <v>0</v>
      </c>
      <c r="S13" s="990">
        <v>1</v>
      </c>
      <c r="T13" s="990">
        <v>2</v>
      </c>
      <c r="U13" s="990">
        <v>4</v>
      </c>
      <c r="V13" s="990">
        <v>4779</v>
      </c>
      <c r="W13" s="1055" t="s">
        <v>6188</v>
      </c>
      <c r="X13" s="1043" t="s">
        <v>6187</v>
      </c>
      <c r="Y13" s="1043" t="s">
        <v>6171</v>
      </c>
      <c r="Z13" s="1043"/>
      <c r="AA13" s="1128" t="s">
        <v>3307</v>
      </c>
      <c r="AB13" t="s">
        <v>6413</v>
      </c>
      <c r="AC13" s="990"/>
      <c r="AD13" s="990"/>
      <c r="AE13" s="990"/>
      <c r="AF13" s="990"/>
      <c r="AG13" s="990"/>
      <c r="AH13" s="990"/>
      <c r="AI13" s="990"/>
      <c r="AJ13" s="994"/>
      <c r="AK13" s="1013" t="s">
        <v>6309</v>
      </c>
    </row>
    <row r="14" spans="1:37" x14ac:dyDescent="0.3">
      <c r="A14" t="s">
        <v>6058</v>
      </c>
      <c r="B14" s="995">
        <v>12</v>
      </c>
      <c r="C14" s="996">
        <v>13</v>
      </c>
      <c r="D14" s="1033">
        <v>45940</v>
      </c>
      <c r="E14" s="996" t="s">
        <v>332</v>
      </c>
      <c r="F14" s="996" t="s">
        <v>17</v>
      </c>
      <c r="G14" s="1044" t="s">
        <v>6102</v>
      </c>
      <c r="H14" s="1044" t="s">
        <v>743</v>
      </c>
      <c r="I14" s="1028">
        <v>1</v>
      </c>
      <c r="J14" s="1028">
        <v>3</v>
      </c>
      <c r="K14" s="1028">
        <v>1</v>
      </c>
      <c r="L14" s="1028">
        <v>3</v>
      </c>
      <c r="M14" s="1000">
        <v>14</v>
      </c>
      <c r="N14" s="996">
        <v>-14</v>
      </c>
      <c r="O14" s="1028">
        <v>7</v>
      </c>
      <c r="P14" s="998">
        <v>0</v>
      </c>
      <c r="Q14" s="996">
        <v>0</v>
      </c>
      <c r="R14" s="996">
        <v>0</v>
      </c>
      <c r="S14" s="996">
        <v>0</v>
      </c>
      <c r="T14" s="996">
        <v>4</v>
      </c>
      <c r="U14" s="996">
        <v>4</v>
      </c>
      <c r="V14" s="996">
        <v>4625</v>
      </c>
      <c r="W14" s="1054" t="s">
        <v>6189</v>
      </c>
      <c r="X14" s="1044" t="s">
        <v>6171</v>
      </c>
      <c r="Y14" s="1044" t="s">
        <v>6120</v>
      </c>
      <c r="Z14" s="1044"/>
      <c r="AA14" s="1127" t="s">
        <v>3414</v>
      </c>
      <c r="AB14" t="s">
        <v>6414</v>
      </c>
      <c r="AC14" s="999"/>
      <c r="AD14" s="999"/>
      <c r="AE14" s="999"/>
      <c r="AF14" s="999"/>
      <c r="AG14" s="996"/>
      <c r="AH14" s="996"/>
      <c r="AI14" s="996"/>
      <c r="AJ14" s="1003"/>
      <c r="AK14" s="1014" t="s">
        <v>6311</v>
      </c>
    </row>
    <row r="15" spans="1:37" s="191" customFormat="1" x14ac:dyDescent="0.3">
      <c r="A15" s="191" t="s">
        <v>6058</v>
      </c>
      <c r="B15" s="1015">
        <v>13</v>
      </c>
      <c r="C15" s="1016">
        <v>14</v>
      </c>
      <c r="D15" s="1106">
        <v>45942</v>
      </c>
      <c r="E15" s="1016" t="s">
        <v>6179</v>
      </c>
      <c r="F15" s="1016" t="s">
        <v>17</v>
      </c>
      <c r="G15" s="1047" t="s">
        <v>6104</v>
      </c>
      <c r="H15" s="1047" t="s">
        <v>743</v>
      </c>
      <c r="I15" s="1031">
        <v>2</v>
      </c>
      <c r="J15" s="1031">
        <v>5</v>
      </c>
      <c r="K15" s="1031">
        <v>2</v>
      </c>
      <c r="L15" s="1031">
        <v>5</v>
      </c>
      <c r="M15" s="1107">
        <v>14</v>
      </c>
      <c r="N15" s="1108">
        <v>-17</v>
      </c>
      <c r="O15" s="1109">
        <v>7</v>
      </c>
      <c r="P15" s="1017">
        <v>0</v>
      </c>
      <c r="Q15" s="1016">
        <v>0</v>
      </c>
      <c r="R15" s="1016">
        <v>1</v>
      </c>
      <c r="S15" s="1016">
        <v>2</v>
      </c>
      <c r="T15" s="1016">
        <v>4</v>
      </c>
      <c r="U15" s="1016">
        <v>4</v>
      </c>
      <c r="V15" s="1016">
        <v>3610</v>
      </c>
      <c r="W15" s="1057" t="s">
        <v>6120</v>
      </c>
      <c r="X15" s="1047" t="s">
        <v>6077</v>
      </c>
      <c r="Y15" s="1047" t="s">
        <v>6187</v>
      </c>
      <c r="Z15" s="1047"/>
      <c r="AA15" s="1129" t="s">
        <v>6312</v>
      </c>
      <c r="AB15" s="191" t="s">
        <v>6415</v>
      </c>
      <c r="AC15" s="191" t="s">
        <v>6416</v>
      </c>
      <c r="AD15" s="1016"/>
      <c r="AE15" s="1016"/>
      <c r="AF15" s="1016"/>
      <c r="AG15" s="1016"/>
      <c r="AH15" s="1016"/>
      <c r="AI15" s="1016"/>
      <c r="AJ15" s="1018"/>
      <c r="AK15" s="1110" t="s">
        <v>6313</v>
      </c>
    </row>
    <row r="16" spans="1:37" x14ac:dyDescent="0.3">
      <c r="A16" t="s">
        <v>6058</v>
      </c>
      <c r="B16" s="1103">
        <v>14</v>
      </c>
      <c r="C16" s="2">
        <v>16</v>
      </c>
      <c r="D16" s="4">
        <v>45945</v>
      </c>
      <c r="E16" s="2" t="s">
        <v>328</v>
      </c>
      <c r="F16" s="2" t="s">
        <v>16</v>
      </c>
      <c r="G16" s="1058" t="s">
        <v>6172</v>
      </c>
      <c r="H16" s="1058" t="s">
        <v>743</v>
      </c>
      <c r="I16" s="259">
        <v>2</v>
      </c>
      <c r="J16" s="259">
        <v>8</v>
      </c>
      <c r="K16" s="259">
        <v>2</v>
      </c>
      <c r="L16" s="259">
        <v>8</v>
      </c>
      <c r="M16" s="397">
        <v>14</v>
      </c>
      <c r="N16" s="2">
        <v>-17</v>
      </c>
      <c r="O16" s="259">
        <v>7</v>
      </c>
      <c r="P16" s="168">
        <v>0</v>
      </c>
      <c r="Q16" s="2">
        <v>0</v>
      </c>
      <c r="R16" s="2">
        <v>0</v>
      </c>
      <c r="S16" s="2">
        <v>2</v>
      </c>
      <c r="T16" s="2">
        <v>2</v>
      </c>
      <c r="U16" s="2">
        <v>5.5</v>
      </c>
      <c r="V16" s="2">
        <v>4007</v>
      </c>
      <c r="W16" s="1104" t="s">
        <v>6084</v>
      </c>
      <c r="X16" s="1058" t="s">
        <v>6079</v>
      </c>
      <c r="Y16" s="1058" t="s">
        <v>6120</v>
      </c>
      <c r="AA16" s="1130" t="s">
        <v>6498</v>
      </c>
      <c r="AB16" t="s">
        <v>6417</v>
      </c>
      <c r="AC16" t="s">
        <v>6418</v>
      </c>
      <c r="AI16" s="2"/>
      <c r="AJ16" s="1105"/>
      <c r="AK16" s="8" t="s">
        <v>6499</v>
      </c>
    </row>
    <row r="17" spans="1:37" x14ac:dyDescent="0.3">
      <c r="A17" t="s">
        <v>6058</v>
      </c>
      <c r="B17" s="989">
        <v>15</v>
      </c>
      <c r="C17" s="990">
        <v>15</v>
      </c>
      <c r="D17" s="1034">
        <v>45947</v>
      </c>
      <c r="E17" s="990" t="s">
        <v>6076</v>
      </c>
      <c r="F17" s="990" t="s">
        <v>16</v>
      </c>
      <c r="G17" s="1043" t="s">
        <v>6079</v>
      </c>
      <c r="H17" s="1043" t="s">
        <v>743</v>
      </c>
      <c r="I17" s="1027">
        <v>0</v>
      </c>
      <c r="J17" s="1027">
        <v>3</v>
      </c>
      <c r="K17" s="1027">
        <v>0</v>
      </c>
      <c r="L17" s="1027">
        <v>2</v>
      </c>
      <c r="M17" s="1000">
        <v>14</v>
      </c>
      <c r="N17" s="990">
        <v>-17</v>
      </c>
      <c r="O17" s="1027">
        <v>7</v>
      </c>
      <c r="P17" s="1001">
        <v>0</v>
      </c>
      <c r="Q17" s="990">
        <v>0</v>
      </c>
      <c r="R17" s="990">
        <v>0</v>
      </c>
      <c r="S17" s="990">
        <v>0</v>
      </c>
      <c r="T17" s="990">
        <v>2</v>
      </c>
      <c r="U17" s="990">
        <v>4</v>
      </c>
      <c r="V17" s="990">
        <v>4531</v>
      </c>
      <c r="W17" s="1055" t="s">
        <v>6189</v>
      </c>
      <c r="X17" s="1043" t="s">
        <v>6188</v>
      </c>
      <c r="Y17" s="1043" t="s">
        <v>6171</v>
      </c>
      <c r="Z17" s="1043"/>
      <c r="AA17" s="1128" t="s">
        <v>6079</v>
      </c>
      <c r="AB17" s="1002" t="s">
        <v>515</v>
      </c>
      <c r="AC17" s="1002"/>
      <c r="AD17" s="1002"/>
      <c r="AE17" s="1002"/>
      <c r="AF17" s="1002"/>
      <c r="AG17" s="1002"/>
      <c r="AH17" s="990"/>
      <c r="AI17" s="990"/>
      <c r="AJ17" s="994"/>
      <c r="AK17" s="1013" t="s">
        <v>6500</v>
      </c>
    </row>
    <row r="18" spans="1:37" ht="15" customHeight="1" x14ac:dyDescent="0.3">
      <c r="A18" t="s">
        <v>6058</v>
      </c>
      <c r="B18" s="995">
        <v>16</v>
      </c>
      <c r="C18" s="996">
        <v>6</v>
      </c>
      <c r="D18" s="1033">
        <v>45951</v>
      </c>
      <c r="E18" s="996" t="s">
        <v>626</v>
      </c>
      <c r="F18" s="996" t="s">
        <v>16</v>
      </c>
      <c r="G18" s="1044" t="s">
        <v>6146</v>
      </c>
      <c r="H18" s="1044" t="s">
        <v>743</v>
      </c>
      <c r="I18" s="1028">
        <v>2</v>
      </c>
      <c r="J18" s="1028">
        <v>3</v>
      </c>
      <c r="K18" s="1028">
        <v>2</v>
      </c>
      <c r="L18" s="1028">
        <v>3</v>
      </c>
      <c r="M18" s="1000">
        <v>14</v>
      </c>
      <c r="N18" s="996">
        <v>-17</v>
      </c>
      <c r="O18" s="1028">
        <v>7</v>
      </c>
      <c r="P18" s="998">
        <v>0</v>
      </c>
      <c r="Q18" s="996">
        <v>0</v>
      </c>
      <c r="R18" s="996">
        <v>0</v>
      </c>
      <c r="S18" s="996">
        <v>1</v>
      </c>
      <c r="T18" s="996">
        <v>2</v>
      </c>
      <c r="U18" s="996">
        <v>6</v>
      </c>
      <c r="V18" s="996">
        <v>3835</v>
      </c>
      <c r="W18" s="1054" t="s">
        <v>6118</v>
      </c>
      <c r="X18" s="1044" t="s">
        <v>6188</v>
      </c>
      <c r="Y18" s="1044" t="s">
        <v>6171</v>
      </c>
      <c r="Z18" s="1044"/>
      <c r="AA18" s="1127" t="s">
        <v>4408</v>
      </c>
      <c r="AB18" t="s">
        <v>6420</v>
      </c>
      <c r="AC18" t="s">
        <v>6421</v>
      </c>
      <c r="AD18" s="999"/>
      <c r="AE18" s="999"/>
      <c r="AF18" s="996"/>
      <c r="AG18" s="996"/>
      <c r="AH18" s="996"/>
      <c r="AI18" s="996"/>
      <c r="AJ18" s="1003"/>
      <c r="AK18" s="1014" t="s">
        <v>6501</v>
      </c>
    </row>
    <row r="19" spans="1:37" x14ac:dyDescent="0.3">
      <c r="A19" t="s">
        <v>6058</v>
      </c>
      <c r="B19" s="989">
        <v>17</v>
      </c>
      <c r="C19" s="990">
        <v>17</v>
      </c>
      <c r="D19" s="1034">
        <v>45954</v>
      </c>
      <c r="E19" s="990" t="s">
        <v>610</v>
      </c>
      <c r="F19" s="990" t="s">
        <v>17</v>
      </c>
      <c r="G19" s="1043" t="s">
        <v>164</v>
      </c>
      <c r="H19" s="1043" t="s">
        <v>793</v>
      </c>
      <c r="I19" s="1027">
        <v>4</v>
      </c>
      <c r="J19" s="1027">
        <v>3</v>
      </c>
      <c r="K19" s="1027">
        <v>3</v>
      </c>
      <c r="L19" s="1027">
        <v>3</v>
      </c>
      <c r="M19" s="1000">
        <v>14</v>
      </c>
      <c r="N19" s="990">
        <v>-18</v>
      </c>
      <c r="O19" s="1027">
        <v>9</v>
      </c>
      <c r="P19" s="1001">
        <v>3</v>
      </c>
      <c r="Q19" s="990">
        <v>0</v>
      </c>
      <c r="R19" s="990">
        <v>1</v>
      </c>
      <c r="S19" s="990">
        <v>0</v>
      </c>
      <c r="T19" s="990">
        <v>6</v>
      </c>
      <c r="U19" s="990">
        <v>4.5</v>
      </c>
      <c r="V19" s="990">
        <v>3517</v>
      </c>
      <c r="W19" s="1055" t="s">
        <v>6102</v>
      </c>
      <c r="X19" s="1043" t="s">
        <v>6120</v>
      </c>
      <c r="Y19" s="1043" t="s">
        <v>6120</v>
      </c>
      <c r="Z19" s="1043" t="s">
        <v>756</v>
      </c>
      <c r="AA19" s="1128" t="s">
        <v>6504</v>
      </c>
      <c r="AB19" t="s">
        <v>6422</v>
      </c>
      <c r="AC19" t="s">
        <v>6423</v>
      </c>
      <c r="AD19" t="s">
        <v>6424</v>
      </c>
      <c r="AE19" t="s">
        <v>6425</v>
      </c>
      <c r="AF19" s="990"/>
      <c r="AG19" s="990"/>
      <c r="AH19" s="990"/>
      <c r="AI19" s="990"/>
      <c r="AJ19" s="994"/>
      <c r="AK19" s="1013" t="s">
        <v>6502</v>
      </c>
    </row>
    <row r="20" spans="1:37" x14ac:dyDescent="0.3">
      <c r="A20" t="s">
        <v>6058</v>
      </c>
      <c r="B20" s="995">
        <v>18</v>
      </c>
      <c r="C20" s="995">
        <v>18</v>
      </c>
      <c r="D20" s="1033">
        <v>45956</v>
      </c>
      <c r="E20" s="996" t="s">
        <v>325</v>
      </c>
      <c r="F20" s="996" t="s">
        <v>16</v>
      </c>
      <c r="G20" s="1044" t="s">
        <v>6097</v>
      </c>
      <c r="H20" s="1044" t="s">
        <v>743</v>
      </c>
      <c r="I20" s="1028">
        <v>1</v>
      </c>
      <c r="J20" s="1028">
        <v>2</v>
      </c>
      <c r="K20" s="1028">
        <v>1</v>
      </c>
      <c r="L20" s="1028">
        <v>2</v>
      </c>
      <c r="M20" s="1000">
        <v>14</v>
      </c>
      <c r="N20" s="996">
        <v>-18</v>
      </c>
      <c r="O20" s="1028">
        <v>9</v>
      </c>
      <c r="P20" s="998">
        <v>0</v>
      </c>
      <c r="Q20" s="996">
        <v>0</v>
      </c>
      <c r="R20" s="996">
        <v>0</v>
      </c>
      <c r="S20" s="996">
        <v>1</v>
      </c>
      <c r="T20" s="996">
        <v>6</v>
      </c>
      <c r="U20" s="996">
        <v>5</v>
      </c>
      <c r="V20" s="996">
        <v>11696</v>
      </c>
      <c r="W20" s="1054" t="s">
        <v>6171</v>
      </c>
      <c r="X20" s="1044" t="s">
        <v>6188</v>
      </c>
      <c r="Y20" s="1044" t="s">
        <v>6120</v>
      </c>
      <c r="Z20" s="1044"/>
      <c r="AA20" s="1127" t="s">
        <v>4837</v>
      </c>
      <c r="AB20" t="s">
        <v>6426</v>
      </c>
      <c r="AC20" s="996"/>
      <c r="AD20" s="996"/>
      <c r="AE20" s="996"/>
      <c r="AF20" s="996"/>
      <c r="AG20" s="996"/>
      <c r="AH20" s="996"/>
      <c r="AI20" s="996"/>
      <c r="AJ20" s="1003"/>
      <c r="AK20" s="1014" t="s">
        <v>6503</v>
      </c>
    </row>
    <row r="21" spans="1:37" x14ac:dyDescent="0.3">
      <c r="A21" t="s">
        <v>6058</v>
      </c>
      <c r="B21" s="989">
        <v>19</v>
      </c>
      <c r="C21" s="989">
        <v>19</v>
      </c>
      <c r="D21" s="1034">
        <v>45958</v>
      </c>
      <c r="E21" s="990" t="s">
        <v>626</v>
      </c>
      <c r="F21" s="990" t="s">
        <v>17</v>
      </c>
      <c r="G21" s="1043" t="s">
        <v>6120</v>
      </c>
      <c r="H21" s="1043" t="s">
        <v>16</v>
      </c>
      <c r="I21" s="1027">
        <v>1</v>
      </c>
      <c r="J21" s="1027">
        <v>0</v>
      </c>
      <c r="K21" s="1027">
        <v>1</v>
      </c>
      <c r="L21" s="1027">
        <v>0</v>
      </c>
      <c r="M21" s="1000">
        <v>14</v>
      </c>
      <c r="N21" s="990">
        <v>-18</v>
      </c>
      <c r="O21" s="1027">
        <v>12</v>
      </c>
      <c r="P21" s="1001">
        <v>1</v>
      </c>
      <c r="Q21" s="990">
        <v>0</v>
      </c>
      <c r="R21" s="990">
        <v>0</v>
      </c>
      <c r="S21" s="990">
        <v>0</v>
      </c>
      <c r="T21" s="990">
        <v>5</v>
      </c>
      <c r="U21" s="990">
        <v>1</v>
      </c>
      <c r="V21" s="990">
        <v>3752</v>
      </c>
      <c r="W21" s="1055" t="s">
        <v>6188</v>
      </c>
      <c r="X21" s="1043" t="s">
        <v>6120</v>
      </c>
      <c r="Y21" s="1043" t="s">
        <v>6188</v>
      </c>
      <c r="Z21" s="1043"/>
      <c r="AA21" s="1128" t="s">
        <v>6120</v>
      </c>
      <c r="AB21" t="s">
        <v>6427</v>
      </c>
      <c r="AC21" s="1002"/>
      <c r="AD21" s="1002"/>
      <c r="AE21" s="1002"/>
      <c r="AF21" s="990"/>
      <c r="AG21" s="990"/>
      <c r="AH21" s="990"/>
      <c r="AI21" s="990"/>
      <c r="AJ21" s="994"/>
      <c r="AK21" s="1013" t="s">
        <v>6505</v>
      </c>
    </row>
    <row r="22" spans="1:37" x14ac:dyDescent="0.3">
      <c r="A22" t="s">
        <v>6058</v>
      </c>
      <c r="B22" s="995">
        <v>20</v>
      </c>
      <c r="C22" s="995">
        <v>20</v>
      </c>
      <c r="D22" s="1033">
        <v>45961</v>
      </c>
      <c r="E22" s="996" t="s">
        <v>6086</v>
      </c>
      <c r="F22" s="996" t="s">
        <v>16</v>
      </c>
      <c r="G22" s="1044" t="s">
        <v>6146</v>
      </c>
      <c r="H22" s="1044" t="s">
        <v>743</v>
      </c>
      <c r="I22" s="1028">
        <v>2</v>
      </c>
      <c r="J22" s="1028">
        <v>3</v>
      </c>
      <c r="K22" s="1028">
        <v>2</v>
      </c>
      <c r="L22" s="1028">
        <v>3</v>
      </c>
      <c r="M22" s="1000">
        <v>14</v>
      </c>
      <c r="N22" s="996">
        <v>-18</v>
      </c>
      <c r="O22" s="1028">
        <v>12</v>
      </c>
      <c r="P22" s="998">
        <v>0</v>
      </c>
      <c r="Q22" s="996">
        <v>0</v>
      </c>
      <c r="R22" s="996">
        <v>0</v>
      </c>
      <c r="S22" s="996">
        <v>0</v>
      </c>
      <c r="T22" s="996">
        <v>1</v>
      </c>
      <c r="U22" s="996">
        <v>2</v>
      </c>
      <c r="V22" s="996">
        <v>3411</v>
      </c>
      <c r="W22" s="1054" t="s">
        <v>6188</v>
      </c>
      <c r="X22" s="1044" t="s">
        <v>6189</v>
      </c>
      <c r="Y22" s="1044" t="s">
        <v>6194</v>
      </c>
      <c r="Z22" s="1044"/>
      <c r="AA22" s="1127" t="s">
        <v>6507</v>
      </c>
      <c r="AB22" t="s">
        <v>6428</v>
      </c>
      <c r="AC22" t="s">
        <v>6429</v>
      </c>
      <c r="AD22" s="999"/>
      <c r="AE22" s="999"/>
      <c r="AF22" s="996"/>
      <c r="AG22" s="996"/>
      <c r="AH22" s="996"/>
      <c r="AI22" s="996"/>
      <c r="AJ22" s="1003"/>
      <c r="AK22" s="1014" t="s">
        <v>6506</v>
      </c>
    </row>
    <row r="23" spans="1:37" x14ac:dyDescent="0.3">
      <c r="A23" t="s">
        <v>6058</v>
      </c>
      <c r="B23" s="989">
        <v>21</v>
      </c>
      <c r="C23" s="989">
        <v>21</v>
      </c>
      <c r="D23" s="1034">
        <v>45963</v>
      </c>
      <c r="E23" s="990" t="s">
        <v>1274</v>
      </c>
      <c r="F23" s="990" t="s">
        <v>17</v>
      </c>
      <c r="G23" s="1043" t="s">
        <v>6102</v>
      </c>
      <c r="H23" s="1043" t="s">
        <v>743</v>
      </c>
      <c r="I23" s="1027">
        <v>1</v>
      </c>
      <c r="J23" s="1027">
        <v>3</v>
      </c>
      <c r="K23" s="1027">
        <v>1</v>
      </c>
      <c r="L23" s="1027">
        <v>3</v>
      </c>
      <c r="M23" s="1000">
        <v>14</v>
      </c>
      <c r="N23" s="990">
        <v>-21</v>
      </c>
      <c r="O23" s="1027">
        <v>12</v>
      </c>
      <c r="P23" s="1001">
        <v>0</v>
      </c>
      <c r="Q23" s="990">
        <v>1</v>
      </c>
      <c r="R23" s="990">
        <v>0</v>
      </c>
      <c r="S23" s="990">
        <v>1</v>
      </c>
      <c r="T23" s="990">
        <v>3</v>
      </c>
      <c r="U23" s="990">
        <v>5</v>
      </c>
      <c r="V23" s="990">
        <v>3769</v>
      </c>
      <c r="W23" s="1055" t="s">
        <v>6171</v>
      </c>
      <c r="X23" s="1043" t="s">
        <v>6120</v>
      </c>
      <c r="Y23" s="1043" t="s">
        <v>6189</v>
      </c>
      <c r="Z23" s="1043"/>
      <c r="AA23" s="1128" t="s">
        <v>3377</v>
      </c>
      <c r="AB23" t="s">
        <v>6430</v>
      </c>
      <c r="AC23" s="1002"/>
      <c r="AD23" s="1002"/>
      <c r="AE23" s="1002"/>
      <c r="AF23" s="990"/>
      <c r="AG23" s="990"/>
      <c r="AH23" s="990"/>
      <c r="AI23" s="990"/>
      <c r="AJ23" s="994"/>
      <c r="AK23" s="1013" t="s">
        <v>6508</v>
      </c>
    </row>
    <row r="24" spans="1:37" x14ac:dyDescent="0.3">
      <c r="A24" t="s">
        <v>6058</v>
      </c>
      <c r="B24" s="995">
        <v>22</v>
      </c>
      <c r="C24" s="995">
        <v>22</v>
      </c>
      <c r="D24" s="1033">
        <v>45975</v>
      </c>
      <c r="E24" s="996" t="s">
        <v>6091</v>
      </c>
      <c r="F24" s="996" t="s">
        <v>16</v>
      </c>
      <c r="G24" s="1044" t="s">
        <v>351</v>
      </c>
      <c r="H24" s="1044" t="s">
        <v>793</v>
      </c>
      <c r="I24" s="1028">
        <v>3</v>
      </c>
      <c r="J24" s="1028">
        <v>2</v>
      </c>
      <c r="K24" s="1028">
        <v>2</v>
      </c>
      <c r="L24" s="1028">
        <v>2</v>
      </c>
      <c r="M24" s="1000">
        <v>14</v>
      </c>
      <c r="N24" s="996">
        <v>-19</v>
      </c>
      <c r="O24" s="1028">
        <v>14</v>
      </c>
      <c r="P24" s="998">
        <v>0</v>
      </c>
      <c r="Q24" s="996">
        <v>0</v>
      </c>
      <c r="R24" s="996">
        <v>0</v>
      </c>
      <c r="S24" s="996">
        <v>0</v>
      </c>
      <c r="T24" s="996">
        <v>3</v>
      </c>
      <c r="U24" s="996">
        <v>4</v>
      </c>
      <c r="V24" s="996">
        <v>6155</v>
      </c>
      <c r="W24" s="1054" t="s">
        <v>6189</v>
      </c>
      <c r="X24" s="1044" t="s">
        <v>6187</v>
      </c>
      <c r="Y24" s="1044" t="s">
        <v>6120</v>
      </c>
      <c r="Z24" s="1044" t="s">
        <v>756</v>
      </c>
      <c r="AA24" s="1127" t="s">
        <v>6510</v>
      </c>
      <c r="AB24" t="s">
        <v>6431</v>
      </c>
      <c r="AC24" t="s">
        <v>6432</v>
      </c>
      <c r="AD24" t="s">
        <v>6433</v>
      </c>
      <c r="AE24" s="996"/>
      <c r="AF24" s="996"/>
      <c r="AG24" s="996"/>
      <c r="AH24" s="996"/>
      <c r="AI24" s="996"/>
      <c r="AJ24" s="1003"/>
      <c r="AK24" s="1014" t="s">
        <v>6509</v>
      </c>
    </row>
    <row r="25" spans="1:37" x14ac:dyDescent="0.3">
      <c r="A25" t="s">
        <v>6058</v>
      </c>
      <c r="B25" s="989">
        <v>23</v>
      </c>
      <c r="C25" s="989">
        <v>23</v>
      </c>
      <c r="D25" s="1034">
        <v>45977</v>
      </c>
      <c r="E25" s="990" t="s">
        <v>327</v>
      </c>
      <c r="F25" s="990" t="s">
        <v>17</v>
      </c>
      <c r="G25" s="1043" t="s">
        <v>6128</v>
      </c>
      <c r="H25" s="1043" t="s">
        <v>743</v>
      </c>
      <c r="I25" s="1027">
        <v>1</v>
      </c>
      <c r="J25" s="1027">
        <v>4</v>
      </c>
      <c r="K25" s="1027">
        <v>1</v>
      </c>
      <c r="L25" s="1027">
        <v>3</v>
      </c>
      <c r="M25" s="1000">
        <v>14</v>
      </c>
      <c r="N25" s="990">
        <v>-22</v>
      </c>
      <c r="O25" s="1027">
        <v>14</v>
      </c>
      <c r="P25" s="1001">
        <v>0</v>
      </c>
      <c r="Q25" s="990">
        <v>0</v>
      </c>
      <c r="R25" s="990">
        <v>0</v>
      </c>
      <c r="S25" s="990">
        <v>1</v>
      </c>
      <c r="T25" s="990">
        <v>5</v>
      </c>
      <c r="U25" s="990">
        <v>3</v>
      </c>
      <c r="V25" s="990">
        <v>5535</v>
      </c>
      <c r="W25" s="1055" t="s">
        <v>6120</v>
      </c>
      <c r="X25" s="1043" t="s">
        <v>6188</v>
      </c>
      <c r="Y25" s="1043" t="s">
        <v>6077</v>
      </c>
      <c r="Z25" s="1043"/>
      <c r="AA25" s="1128" t="s">
        <v>4516</v>
      </c>
      <c r="AB25" t="s">
        <v>6434</v>
      </c>
      <c r="AC25" s="990"/>
      <c r="AD25" s="990"/>
      <c r="AE25" s="990"/>
      <c r="AF25" s="990"/>
      <c r="AG25" s="990"/>
      <c r="AH25" s="990"/>
      <c r="AI25" s="990"/>
      <c r="AJ25" s="994"/>
      <c r="AK25" s="1022" t="s">
        <v>6511</v>
      </c>
    </row>
    <row r="26" spans="1:37" ht="15.75" customHeight="1" x14ac:dyDescent="0.3">
      <c r="A26" t="s">
        <v>6058</v>
      </c>
      <c r="B26" s="995">
        <v>24</v>
      </c>
      <c r="C26" s="995">
        <v>24</v>
      </c>
      <c r="D26" s="1033">
        <v>45981</v>
      </c>
      <c r="E26" s="996" t="s">
        <v>331</v>
      </c>
      <c r="F26" s="996" t="s">
        <v>16</v>
      </c>
      <c r="G26" s="1044" t="s">
        <v>6173</v>
      </c>
      <c r="H26" s="1044" t="s">
        <v>743</v>
      </c>
      <c r="I26" s="1028">
        <v>2</v>
      </c>
      <c r="J26" s="1028">
        <v>7</v>
      </c>
      <c r="K26" s="1028">
        <v>2</v>
      </c>
      <c r="L26" s="1028">
        <v>7</v>
      </c>
      <c r="M26" s="1007">
        <v>14</v>
      </c>
      <c r="N26" s="996">
        <v>-22</v>
      </c>
      <c r="O26" s="1028">
        <v>14</v>
      </c>
      <c r="P26" s="998">
        <v>0</v>
      </c>
      <c r="Q26" s="996">
        <v>0</v>
      </c>
      <c r="R26" s="996">
        <v>0</v>
      </c>
      <c r="S26" s="996">
        <v>2</v>
      </c>
      <c r="T26" s="996">
        <v>1</v>
      </c>
      <c r="U26" s="996">
        <v>4</v>
      </c>
      <c r="V26" s="996">
        <v>3184</v>
      </c>
      <c r="W26" s="1054" t="s">
        <v>6187</v>
      </c>
      <c r="X26" s="1044" t="s">
        <v>6077</v>
      </c>
      <c r="Y26" s="1044" t="s">
        <v>6097</v>
      </c>
      <c r="Z26" s="1044"/>
      <c r="AA26" s="1127" t="s">
        <v>6513</v>
      </c>
      <c r="AB26" t="s">
        <v>6435</v>
      </c>
      <c r="AC26" t="s">
        <v>6436</v>
      </c>
      <c r="AD26" s="999"/>
      <c r="AE26" s="996"/>
      <c r="AF26" s="996"/>
      <c r="AG26" s="996"/>
      <c r="AH26" s="996"/>
      <c r="AI26" s="996"/>
      <c r="AJ26" s="1008"/>
      <c r="AK26" s="1014" t="s">
        <v>6512</v>
      </c>
    </row>
    <row r="27" spans="1:37" x14ac:dyDescent="0.3">
      <c r="A27" t="s">
        <v>6058</v>
      </c>
      <c r="B27" s="989">
        <v>25</v>
      </c>
      <c r="C27" s="989">
        <v>25</v>
      </c>
      <c r="D27" s="1034">
        <v>45984</v>
      </c>
      <c r="E27" s="990" t="s">
        <v>334</v>
      </c>
      <c r="F27" s="990" t="s">
        <v>17</v>
      </c>
      <c r="G27" s="1043" t="s">
        <v>6133</v>
      </c>
      <c r="H27" s="1043" t="s">
        <v>16</v>
      </c>
      <c r="I27" s="1027">
        <v>5</v>
      </c>
      <c r="J27" s="1027">
        <v>2</v>
      </c>
      <c r="K27" s="1027">
        <v>5</v>
      </c>
      <c r="L27" s="1027">
        <v>2</v>
      </c>
      <c r="M27" s="1007">
        <v>14</v>
      </c>
      <c r="N27" s="990">
        <v>-22</v>
      </c>
      <c r="O27" s="1027">
        <v>17</v>
      </c>
      <c r="P27" s="1001">
        <v>1</v>
      </c>
      <c r="Q27" s="990">
        <v>1</v>
      </c>
      <c r="R27" s="990">
        <v>0</v>
      </c>
      <c r="S27" s="990">
        <v>2</v>
      </c>
      <c r="T27" s="990">
        <v>6</v>
      </c>
      <c r="U27" s="990">
        <v>7.5</v>
      </c>
      <c r="V27" s="990">
        <v>3233</v>
      </c>
      <c r="W27" s="1055" t="s">
        <v>6118</v>
      </c>
      <c r="X27" s="1043" t="s">
        <v>6100</v>
      </c>
      <c r="Y27" s="1043" t="s">
        <v>6188</v>
      </c>
      <c r="Z27" s="1043"/>
      <c r="AA27" s="1128" t="s">
        <v>4935</v>
      </c>
      <c r="AB27" t="s">
        <v>6437</v>
      </c>
      <c r="AC27" t="s">
        <v>6438</v>
      </c>
      <c r="AD27" t="s">
        <v>6439</v>
      </c>
      <c r="AE27" t="s">
        <v>6440</v>
      </c>
      <c r="AF27" t="s">
        <v>6441</v>
      </c>
      <c r="AG27" s="990"/>
      <c r="AH27" s="990"/>
      <c r="AI27" s="990"/>
      <c r="AJ27" s="1001"/>
      <c r="AK27" s="1013" t="s">
        <v>6514</v>
      </c>
    </row>
    <row r="28" spans="1:37" s="191" customFormat="1" x14ac:dyDescent="0.3">
      <c r="A28" s="191" t="s">
        <v>6058</v>
      </c>
      <c r="B28" s="1113">
        <v>26</v>
      </c>
      <c r="C28" s="1113">
        <v>26</v>
      </c>
      <c r="D28" s="1114">
        <v>45986</v>
      </c>
      <c r="E28" s="1115" t="s">
        <v>332</v>
      </c>
      <c r="F28" s="1115" t="s">
        <v>16</v>
      </c>
      <c r="G28" s="1116" t="s">
        <v>208</v>
      </c>
      <c r="H28" s="1116" t="s">
        <v>794</v>
      </c>
      <c r="I28" s="1117">
        <v>1</v>
      </c>
      <c r="J28" s="1117">
        <v>2</v>
      </c>
      <c r="K28" s="1117">
        <v>1</v>
      </c>
      <c r="L28" s="1117">
        <v>1</v>
      </c>
      <c r="M28" s="1107">
        <v>14</v>
      </c>
      <c r="N28" s="1118">
        <v>-21</v>
      </c>
      <c r="O28" s="1119">
        <v>18</v>
      </c>
      <c r="P28" s="1120">
        <v>0</v>
      </c>
      <c r="Q28" s="1115">
        <v>0</v>
      </c>
      <c r="R28" s="1115">
        <v>0</v>
      </c>
      <c r="S28" s="1115">
        <v>0</v>
      </c>
      <c r="T28" s="1115">
        <v>2</v>
      </c>
      <c r="U28" s="1115">
        <v>3</v>
      </c>
      <c r="V28" s="1115">
        <v>2426</v>
      </c>
      <c r="W28" s="1121" t="s">
        <v>6188</v>
      </c>
      <c r="X28" s="1116" t="s">
        <v>6120</v>
      </c>
      <c r="Y28" s="1116" t="s">
        <v>6189</v>
      </c>
      <c r="Z28" s="1116" t="s">
        <v>208</v>
      </c>
      <c r="AA28" s="1131" t="s">
        <v>6516</v>
      </c>
      <c r="AB28" s="191" t="s">
        <v>6442</v>
      </c>
      <c r="AC28" s="1115"/>
      <c r="AD28" s="1115"/>
      <c r="AE28" s="1115"/>
      <c r="AF28" s="1115"/>
      <c r="AG28" s="1115"/>
      <c r="AH28" s="1115"/>
      <c r="AI28" s="1115"/>
      <c r="AJ28" s="1122" t="s">
        <v>6443</v>
      </c>
      <c r="AK28" s="1123" t="s">
        <v>6515</v>
      </c>
    </row>
    <row r="29" spans="1:37" x14ac:dyDescent="0.3">
      <c r="A29" t="s">
        <v>6058</v>
      </c>
      <c r="B29" s="1039">
        <v>27</v>
      </c>
      <c r="C29" s="1039">
        <v>27</v>
      </c>
      <c r="D29" s="716">
        <v>45989</v>
      </c>
      <c r="E29" s="965" t="s">
        <v>6179</v>
      </c>
      <c r="F29" s="965" t="s">
        <v>17</v>
      </c>
      <c r="G29" s="1060" t="s">
        <v>6137</v>
      </c>
      <c r="H29" s="1060" t="s">
        <v>16</v>
      </c>
      <c r="I29" s="1037">
        <v>6</v>
      </c>
      <c r="J29" s="1037">
        <v>2</v>
      </c>
      <c r="K29" s="1037">
        <v>6</v>
      </c>
      <c r="L29" s="1037">
        <v>2</v>
      </c>
      <c r="M29" s="397">
        <v>14</v>
      </c>
      <c r="N29" s="965">
        <v>-21</v>
      </c>
      <c r="O29" s="1037">
        <v>21</v>
      </c>
      <c r="P29" s="1038">
        <v>1</v>
      </c>
      <c r="Q29" s="965">
        <v>0</v>
      </c>
      <c r="R29" s="965">
        <v>0</v>
      </c>
      <c r="S29" s="965">
        <v>0</v>
      </c>
      <c r="T29" s="965">
        <v>5</v>
      </c>
      <c r="U29" s="965">
        <v>2</v>
      </c>
      <c r="V29" s="965">
        <v>3442</v>
      </c>
      <c r="W29" s="1111" t="s">
        <v>6110</v>
      </c>
      <c r="X29" s="1060" t="s">
        <v>6118</v>
      </c>
      <c r="Y29" s="1060" t="s">
        <v>6187</v>
      </c>
      <c r="Z29" s="1060"/>
      <c r="AA29" s="1132" t="s">
        <v>6529</v>
      </c>
      <c r="AB29" t="s">
        <v>6444</v>
      </c>
      <c r="AC29" t="s">
        <v>6445</v>
      </c>
      <c r="AD29" t="s">
        <v>6446</v>
      </c>
      <c r="AE29" t="s">
        <v>6447</v>
      </c>
      <c r="AF29" t="s">
        <v>6448</v>
      </c>
      <c r="AG29" t="s">
        <v>6449</v>
      </c>
      <c r="AH29" s="965"/>
      <c r="AI29" s="965"/>
      <c r="AJ29" s="1038"/>
      <c r="AK29" s="1112" t="s">
        <v>6517</v>
      </c>
    </row>
    <row r="30" spans="1:37" x14ac:dyDescent="0.3">
      <c r="A30" t="s">
        <v>6058</v>
      </c>
      <c r="B30" s="995">
        <v>28</v>
      </c>
      <c r="C30" s="995">
        <v>28</v>
      </c>
      <c r="D30" s="1033">
        <v>45991</v>
      </c>
      <c r="E30" s="996" t="s">
        <v>6076</v>
      </c>
      <c r="F30" s="996" t="s">
        <v>17</v>
      </c>
      <c r="G30" s="1044" t="s">
        <v>6097</v>
      </c>
      <c r="H30" s="1044" t="s">
        <v>743</v>
      </c>
      <c r="I30" s="1028">
        <v>1</v>
      </c>
      <c r="J30" s="1028">
        <v>2</v>
      </c>
      <c r="K30" s="1028">
        <v>1</v>
      </c>
      <c r="L30" s="1028">
        <v>2</v>
      </c>
      <c r="M30" s="1000">
        <v>14</v>
      </c>
      <c r="N30" s="996">
        <v>-24</v>
      </c>
      <c r="O30" s="1028">
        <v>21</v>
      </c>
      <c r="P30" s="998">
        <v>0</v>
      </c>
      <c r="Q30" s="996">
        <v>0</v>
      </c>
      <c r="R30" s="996">
        <v>0</v>
      </c>
      <c r="S30" s="996">
        <v>1</v>
      </c>
      <c r="T30" s="996">
        <v>2</v>
      </c>
      <c r="U30" s="996">
        <v>3</v>
      </c>
      <c r="V30" s="996">
        <v>4021</v>
      </c>
      <c r="W30" s="1054" t="s">
        <v>6188</v>
      </c>
      <c r="X30" s="1044" t="s">
        <v>6171</v>
      </c>
      <c r="Y30" s="1044" t="s">
        <v>6120</v>
      </c>
      <c r="Z30" s="1044"/>
      <c r="AA30" s="1127" t="s">
        <v>4837</v>
      </c>
      <c r="AB30" t="s">
        <v>6450</v>
      </c>
      <c r="AC30" s="999"/>
      <c r="AD30" s="996"/>
      <c r="AE30" s="996"/>
      <c r="AF30" s="996"/>
      <c r="AG30" s="996"/>
      <c r="AH30" s="996"/>
      <c r="AI30" s="996"/>
      <c r="AJ30" s="1003"/>
      <c r="AK30" s="1014" t="s">
        <v>6517</v>
      </c>
    </row>
    <row r="31" spans="1:37" x14ac:dyDescent="0.3">
      <c r="A31" t="s">
        <v>6058</v>
      </c>
      <c r="B31" s="989">
        <v>29</v>
      </c>
      <c r="C31" s="989">
        <v>29</v>
      </c>
      <c r="D31" s="1034">
        <v>45996</v>
      </c>
      <c r="E31" s="990" t="s">
        <v>328</v>
      </c>
      <c r="F31" s="990" t="s">
        <v>17</v>
      </c>
      <c r="G31" s="1043" t="s">
        <v>6104</v>
      </c>
      <c r="H31" s="1043" t="s">
        <v>743</v>
      </c>
      <c r="I31" s="1027">
        <v>2</v>
      </c>
      <c r="J31" s="1027">
        <v>5</v>
      </c>
      <c r="K31" s="1027">
        <v>2</v>
      </c>
      <c r="L31" s="1027">
        <v>4</v>
      </c>
      <c r="M31" s="1000">
        <v>14</v>
      </c>
      <c r="N31" s="990">
        <v>-27</v>
      </c>
      <c r="O31" s="1027">
        <v>21</v>
      </c>
      <c r="P31" s="1001">
        <v>0</v>
      </c>
      <c r="Q31" s="990">
        <v>0</v>
      </c>
      <c r="R31" s="990">
        <v>0</v>
      </c>
      <c r="S31" s="990">
        <v>1</v>
      </c>
      <c r="T31" s="990">
        <v>1</v>
      </c>
      <c r="U31" s="990">
        <v>2</v>
      </c>
      <c r="V31" s="990">
        <v>3012</v>
      </c>
      <c r="W31" s="1055" t="s">
        <v>6120</v>
      </c>
      <c r="X31" s="1043" t="s">
        <v>6187</v>
      </c>
      <c r="Y31" s="1043" t="s">
        <v>6077</v>
      </c>
      <c r="Z31" s="1043"/>
      <c r="AA31" s="1128" t="s">
        <v>6015</v>
      </c>
      <c r="AB31" t="s">
        <v>6451</v>
      </c>
      <c r="AC31" t="s">
        <v>6452</v>
      </c>
      <c r="AD31" s="990"/>
      <c r="AE31" s="990"/>
      <c r="AF31" s="990"/>
      <c r="AG31" s="990"/>
      <c r="AH31" s="990"/>
      <c r="AI31" s="990"/>
      <c r="AJ31" s="994"/>
      <c r="AK31" s="1013" t="s">
        <v>6518</v>
      </c>
    </row>
    <row r="32" spans="1:37" x14ac:dyDescent="0.3">
      <c r="A32" t="s">
        <v>6058</v>
      </c>
      <c r="B32" s="995">
        <v>30</v>
      </c>
      <c r="C32" s="995">
        <v>30</v>
      </c>
      <c r="D32" s="1033">
        <v>45998</v>
      </c>
      <c r="E32" s="996" t="s">
        <v>610</v>
      </c>
      <c r="F32" s="996" t="s">
        <v>17</v>
      </c>
      <c r="G32" s="1044" t="s">
        <v>6113</v>
      </c>
      <c r="H32" s="1044" t="s">
        <v>16</v>
      </c>
      <c r="I32" s="1028">
        <v>3</v>
      </c>
      <c r="J32" s="1028">
        <v>2</v>
      </c>
      <c r="K32" s="1028">
        <v>3</v>
      </c>
      <c r="L32" s="1028">
        <v>2</v>
      </c>
      <c r="M32" s="1000">
        <v>14</v>
      </c>
      <c r="N32" s="996">
        <v>-27</v>
      </c>
      <c r="O32" s="1028">
        <v>24</v>
      </c>
      <c r="P32" s="998">
        <v>1</v>
      </c>
      <c r="Q32" s="996">
        <v>0</v>
      </c>
      <c r="R32" s="996">
        <v>0</v>
      </c>
      <c r="S32" s="996">
        <v>0</v>
      </c>
      <c r="T32" s="996">
        <v>4</v>
      </c>
      <c r="U32" s="996">
        <v>4</v>
      </c>
      <c r="V32" s="996">
        <v>3221</v>
      </c>
      <c r="W32" s="1054" t="s">
        <v>6118</v>
      </c>
      <c r="X32" s="1044" t="s">
        <v>6189</v>
      </c>
      <c r="Y32" s="1044" t="s">
        <v>6120</v>
      </c>
      <c r="Z32" s="1044"/>
      <c r="AA32" s="1127" t="s">
        <v>6530</v>
      </c>
      <c r="AB32" t="s">
        <v>6453</v>
      </c>
      <c r="AC32" t="s">
        <v>6454</v>
      </c>
      <c r="AD32" t="s">
        <v>6455</v>
      </c>
      <c r="AE32" s="996"/>
      <c r="AF32" s="996"/>
      <c r="AG32" s="996"/>
      <c r="AH32" s="996"/>
      <c r="AI32" s="996"/>
      <c r="AJ32" s="1003"/>
      <c r="AK32" s="1014" t="s">
        <v>6519</v>
      </c>
    </row>
    <row r="33" spans="1:37" x14ac:dyDescent="0.3">
      <c r="A33" t="s">
        <v>6058</v>
      </c>
      <c r="B33" s="989">
        <v>31</v>
      </c>
      <c r="C33" s="989">
        <v>31</v>
      </c>
      <c r="D33" s="1034">
        <v>46010</v>
      </c>
      <c r="E33" s="990" t="s">
        <v>325</v>
      </c>
      <c r="F33" s="1011" t="s">
        <v>17</v>
      </c>
      <c r="G33" s="1043" t="s">
        <v>6113</v>
      </c>
      <c r="H33" s="1043" t="s">
        <v>16</v>
      </c>
      <c r="I33" s="1027">
        <v>3</v>
      </c>
      <c r="J33" s="1027">
        <v>2</v>
      </c>
      <c r="K33" s="1027">
        <v>3</v>
      </c>
      <c r="L33" s="1027">
        <v>2</v>
      </c>
      <c r="M33" s="1000">
        <v>14</v>
      </c>
      <c r="N33" s="990">
        <v>-27</v>
      </c>
      <c r="O33" s="1027">
        <v>27</v>
      </c>
      <c r="P33" s="1001">
        <v>0</v>
      </c>
      <c r="Q33" s="990">
        <v>0</v>
      </c>
      <c r="R33" s="990">
        <v>0</v>
      </c>
      <c r="S33" s="990">
        <v>1</v>
      </c>
      <c r="T33" s="990">
        <v>4.5</v>
      </c>
      <c r="U33" s="990">
        <v>3</v>
      </c>
      <c r="V33" s="990">
        <v>4525</v>
      </c>
      <c r="W33" s="1055" t="s">
        <v>6118</v>
      </c>
      <c r="X33" s="1043" t="s">
        <v>6187</v>
      </c>
      <c r="Y33" s="1043" t="s">
        <v>6188</v>
      </c>
      <c r="Z33" s="1043"/>
      <c r="AA33" s="1128" t="s">
        <v>6531</v>
      </c>
      <c r="AB33" t="s">
        <v>6456</v>
      </c>
      <c r="AC33" t="s">
        <v>6457</v>
      </c>
      <c r="AD33" t="s">
        <v>6458</v>
      </c>
      <c r="AE33" s="990"/>
      <c r="AF33" s="990"/>
      <c r="AG33" s="990"/>
      <c r="AH33" s="990"/>
      <c r="AI33" s="990"/>
      <c r="AJ33" s="1001"/>
      <c r="AK33" s="1013" t="s">
        <v>6520</v>
      </c>
    </row>
    <row r="34" spans="1:37" x14ac:dyDescent="0.3">
      <c r="A34" t="s">
        <v>6058</v>
      </c>
      <c r="B34" s="995">
        <v>32</v>
      </c>
      <c r="C34" s="995">
        <v>32</v>
      </c>
      <c r="D34" s="1033">
        <v>46012</v>
      </c>
      <c r="E34" s="996" t="s">
        <v>626</v>
      </c>
      <c r="F34" s="996" t="s">
        <v>16</v>
      </c>
      <c r="G34" s="1044" t="s">
        <v>163</v>
      </c>
      <c r="H34" s="1044" t="s">
        <v>794</v>
      </c>
      <c r="I34" s="1028">
        <v>3</v>
      </c>
      <c r="J34" s="1028">
        <v>4</v>
      </c>
      <c r="K34" s="1028">
        <v>3</v>
      </c>
      <c r="L34" s="1028">
        <v>3</v>
      </c>
      <c r="M34" s="1000">
        <v>14</v>
      </c>
      <c r="N34" s="996">
        <v>-26</v>
      </c>
      <c r="O34" s="1028">
        <v>28</v>
      </c>
      <c r="P34" s="998">
        <v>0</v>
      </c>
      <c r="Q34" s="996">
        <v>0</v>
      </c>
      <c r="R34" s="996">
        <v>0</v>
      </c>
      <c r="S34" s="996">
        <v>0</v>
      </c>
      <c r="T34" s="996">
        <v>3</v>
      </c>
      <c r="U34" s="996">
        <v>2</v>
      </c>
      <c r="V34" s="996">
        <v>4891</v>
      </c>
      <c r="W34" s="1054" t="s">
        <v>6118</v>
      </c>
      <c r="X34" s="1044" t="s">
        <v>6187</v>
      </c>
      <c r="Y34" s="1044" t="s">
        <v>6189</v>
      </c>
      <c r="Z34" s="1044" t="s">
        <v>3213</v>
      </c>
      <c r="AA34" s="1127" t="s">
        <v>6532</v>
      </c>
      <c r="AB34" t="s">
        <v>6459</v>
      </c>
      <c r="AC34" t="s">
        <v>6460</v>
      </c>
      <c r="AD34" t="s">
        <v>6461</v>
      </c>
      <c r="AE34" s="996"/>
      <c r="AF34" s="996"/>
      <c r="AG34" s="996"/>
      <c r="AH34" s="996"/>
      <c r="AI34" s="996"/>
      <c r="AJ34" s="1003"/>
      <c r="AK34" s="1014" t="s">
        <v>6521</v>
      </c>
    </row>
    <row r="35" spans="1:37" x14ac:dyDescent="0.3">
      <c r="A35" t="s">
        <v>6058</v>
      </c>
      <c r="B35" s="989">
        <v>33</v>
      </c>
      <c r="C35" s="989">
        <v>33</v>
      </c>
      <c r="D35" s="1034">
        <v>46014</v>
      </c>
      <c r="E35" s="990" t="s">
        <v>6086</v>
      </c>
      <c r="F35" s="990" t="s">
        <v>17</v>
      </c>
      <c r="G35" s="1043" t="s">
        <v>6144</v>
      </c>
      <c r="H35" s="1043" t="s">
        <v>16</v>
      </c>
      <c r="I35" s="1027">
        <v>6</v>
      </c>
      <c r="J35" s="1027">
        <v>1</v>
      </c>
      <c r="K35" s="1027">
        <v>6</v>
      </c>
      <c r="L35" s="1027">
        <v>1</v>
      </c>
      <c r="M35" s="1000">
        <v>14</v>
      </c>
      <c r="N35" s="990">
        <v>-26</v>
      </c>
      <c r="O35" s="1027">
        <v>31</v>
      </c>
      <c r="P35" s="1001">
        <v>0</v>
      </c>
      <c r="Q35" s="990">
        <v>1</v>
      </c>
      <c r="R35" s="990">
        <v>0</v>
      </c>
      <c r="S35" s="990">
        <v>0</v>
      </c>
      <c r="T35" s="990">
        <v>2</v>
      </c>
      <c r="U35" s="990">
        <v>1</v>
      </c>
      <c r="V35" s="990">
        <v>4229</v>
      </c>
      <c r="W35" s="1055" t="s">
        <v>6089</v>
      </c>
      <c r="X35" s="1043" t="s">
        <v>6118</v>
      </c>
      <c r="Y35" s="1043" t="s">
        <v>6089</v>
      </c>
      <c r="Z35" s="1043"/>
      <c r="AA35" s="1128" t="s">
        <v>4545</v>
      </c>
      <c r="AB35" t="s">
        <v>6462</v>
      </c>
      <c r="AC35" t="s">
        <v>6463</v>
      </c>
      <c r="AD35" t="s">
        <v>6464</v>
      </c>
      <c r="AE35" t="s">
        <v>6465</v>
      </c>
      <c r="AF35" t="s">
        <v>6466</v>
      </c>
      <c r="AG35" t="s">
        <v>6467</v>
      </c>
      <c r="AH35" s="990"/>
      <c r="AI35" s="990"/>
      <c r="AJ35" s="994"/>
      <c r="AK35" s="1013" t="s">
        <v>6522</v>
      </c>
    </row>
    <row r="36" spans="1:37" x14ac:dyDescent="0.3">
      <c r="A36" t="s">
        <v>6058</v>
      </c>
      <c r="B36" s="995">
        <v>34</v>
      </c>
      <c r="C36" s="995">
        <v>34</v>
      </c>
      <c r="D36" s="1033">
        <v>46017</v>
      </c>
      <c r="E36" s="996" t="s">
        <v>1274</v>
      </c>
      <c r="F36" s="996" t="s">
        <v>16</v>
      </c>
      <c r="G36" s="1044" t="s">
        <v>6113</v>
      </c>
      <c r="H36" s="1044" t="s">
        <v>16</v>
      </c>
      <c r="I36" s="1028">
        <v>3</v>
      </c>
      <c r="J36" s="1028">
        <v>2</v>
      </c>
      <c r="K36" s="1028">
        <v>3</v>
      </c>
      <c r="L36" s="1028">
        <v>2</v>
      </c>
      <c r="M36" s="1000">
        <v>14</v>
      </c>
      <c r="N36" s="996">
        <v>-23</v>
      </c>
      <c r="O36" s="1028">
        <v>34</v>
      </c>
      <c r="P36" s="998">
        <v>1</v>
      </c>
      <c r="Q36" s="996">
        <v>0</v>
      </c>
      <c r="R36" s="996">
        <v>0</v>
      </c>
      <c r="S36" s="996">
        <v>2</v>
      </c>
      <c r="T36" s="996">
        <v>6</v>
      </c>
      <c r="U36" s="996">
        <v>4</v>
      </c>
      <c r="V36" s="996">
        <v>4254</v>
      </c>
      <c r="W36" s="1054" t="s">
        <v>6120</v>
      </c>
      <c r="X36" s="1044" t="s">
        <v>6118</v>
      </c>
      <c r="Y36" s="1044" t="s">
        <v>6189</v>
      </c>
      <c r="Z36" s="1044"/>
      <c r="AA36" s="1127" t="s">
        <v>4974</v>
      </c>
      <c r="AB36" t="s">
        <v>6468</v>
      </c>
      <c r="AC36" t="s">
        <v>6469</v>
      </c>
      <c r="AD36" t="s">
        <v>6470</v>
      </c>
      <c r="AE36" s="996"/>
      <c r="AF36" s="996"/>
      <c r="AG36" s="996"/>
      <c r="AH36" s="996"/>
      <c r="AI36" s="996"/>
      <c r="AJ36" s="1003"/>
      <c r="AK36" s="1014" t="s">
        <v>6523</v>
      </c>
    </row>
    <row r="37" spans="1:37" x14ac:dyDescent="0.3">
      <c r="A37" t="s">
        <v>6058</v>
      </c>
      <c r="B37" s="989">
        <v>35</v>
      </c>
      <c r="C37" s="989">
        <v>35</v>
      </c>
      <c r="D37" s="1034">
        <v>46019</v>
      </c>
      <c r="E37" s="990" t="s">
        <v>6091</v>
      </c>
      <c r="F37" s="990" t="s">
        <v>17</v>
      </c>
      <c r="G37" s="1043" t="s">
        <v>6148</v>
      </c>
      <c r="H37" s="1043" t="s">
        <v>16</v>
      </c>
      <c r="I37" s="1027">
        <v>4</v>
      </c>
      <c r="J37" s="1027">
        <v>1</v>
      </c>
      <c r="K37" s="1027">
        <v>2</v>
      </c>
      <c r="L37" s="1027">
        <v>1</v>
      </c>
      <c r="M37" s="1000">
        <v>14</v>
      </c>
      <c r="N37" s="990">
        <v>-23</v>
      </c>
      <c r="O37" s="1027">
        <v>37</v>
      </c>
      <c r="P37" s="1001">
        <v>1</v>
      </c>
      <c r="Q37" s="990">
        <v>0</v>
      </c>
      <c r="R37" s="990">
        <v>1</v>
      </c>
      <c r="S37" s="990">
        <v>0</v>
      </c>
      <c r="T37" s="990">
        <v>4.5</v>
      </c>
      <c r="U37" s="990">
        <v>2</v>
      </c>
      <c r="V37" s="990">
        <v>5944</v>
      </c>
      <c r="W37" s="1055" t="s">
        <v>6089</v>
      </c>
      <c r="X37" s="1043" t="s">
        <v>6189</v>
      </c>
      <c r="Y37" s="1043" t="s">
        <v>6089</v>
      </c>
      <c r="Z37" s="1043"/>
      <c r="AA37" s="1128" t="s">
        <v>4732</v>
      </c>
      <c r="AB37" t="s">
        <v>6471</v>
      </c>
      <c r="AC37" t="s">
        <v>6472</v>
      </c>
      <c r="AD37" t="s">
        <v>6474</v>
      </c>
      <c r="AE37" t="s">
        <v>6473</v>
      </c>
      <c r="AF37" s="990"/>
      <c r="AG37" s="990"/>
      <c r="AH37" s="990"/>
      <c r="AI37" s="990"/>
      <c r="AJ37" s="994"/>
      <c r="AK37" s="1013" t="s">
        <v>6524</v>
      </c>
    </row>
    <row r="38" spans="1:37" x14ac:dyDescent="0.3">
      <c r="A38" t="s">
        <v>6058</v>
      </c>
      <c r="B38" s="995">
        <v>36</v>
      </c>
      <c r="C38" s="995">
        <v>36</v>
      </c>
      <c r="D38" s="1033">
        <v>46021</v>
      </c>
      <c r="E38" s="996" t="s">
        <v>327</v>
      </c>
      <c r="F38" s="996" t="s">
        <v>16</v>
      </c>
      <c r="G38" s="1044" t="s">
        <v>6146</v>
      </c>
      <c r="H38" s="1044" t="s">
        <v>743</v>
      </c>
      <c r="I38" s="1028">
        <v>2</v>
      </c>
      <c r="J38" s="1028">
        <v>3</v>
      </c>
      <c r="K38" s="1028">
        <v>2</v>
      </c>
      <c r="L38" s="1028">
        <v>3</v>
      </c>
      <c r="M38" s="1000">
        <v>14</v>
      </c>
      <c r="N38" s="996">
        <v>-23</v>
      </c>
      <c r="O38" s="1028">
        <v>37</v>
      </c>
      <c r="P38" s="998">
        <v>0</v>
      </c>
      <c r="Q38" s="996">
        <v>1</v>
      </c>
      <c r="R38" s="996">
        <v>0</v>
      </c>
      <c r="S38" s="996">
        <v>3</v>
      </c>
      <c r="T38" s="996">
        <v>2</v>
      </c>
      <c r="U38" s="996">
        <v>4</v>
      </c>
      <c r="V38" s="996">
        <v>10092</v>
      </c>
      <c r="W38" s="1054" t="s">
        <v>6097</v>
      </c>
      <c r="X38" s="1044" t="s">
        <v>6188</v>
      </c>
      <c r="Y38" s="1044" t="s">
        <v>6187</v>
      </c>
      <c r="Z38" s="1044"/>
      <c r="AA38" s="1127" t="s">
        <v>3497</v>
      </c>
      <c r="AB38" t="s">
        <v>6475</v>
      </c>
      <c r="AC38" t="s">
        <v>6476</v>
      </c>
      <c r="AD38" s="996"/>
      <c r="AE38" s="996"/>
      <c r="AF38" s="996"/>
      <c r="AG38" s="996"/>
      <c r="AH38" s="996"/>
      <c r="AI38" s="996"/>
      <c r="AJ38" s="1003" t="s">
        <v>6533</v>
      </c>
      <c r="AK38" s="1014" t="s">
        <v>6525</v>
      </c>
    </row>
    <row r="39" spans="1:37" x14ac:dyDescent="0.3">
      <c r="A39" t="s">
        <v>6058</v>
      </c>
      <c r="B39" s="989">
        <v>37</v>
      </c>
      <c r="C39" s="989">
        <v>37</v>
      </c>
      <c r="D39" s="1034">
        <v>46024</v>
      </c>
      <c r="E39" s="990" t="s">
        <v>331</v>
      </c>
      <c r="F39" s="990" t="s">
        <v>17</v>
      </c>
      <c r="G39" s="1043" t="s">
        <v>6151</v>
      </c>
      <c r="H39" s="1043" t="s">
        <v>743</v>
      </c>
      <c r="I39" s="1027">
        <v>1</v>
      </c>
      <c r="J39" s="1027">
        <v>8</v>
      </c>
      <c r="K39" s="1027">
        <v>1</v>
      </c>
      <c r="L39" s="1027">
        <v>8</v>
      </c>
      <c r="M39" s="1000">
        <v>14</v>
      </c>
      <c r="N39" s="990">
        <v>-26</v>
      </c>
      <c r="O39" s="1027">
        <v>37</v>
      </c>
      <c r="P39" s="1001">
        <v>0</v>
      </c>
      <c r="Q39" s="990">
        <v>0</v>
      </c>
      <c r="R39" s="990">
        <v>2</v>
      </c>
      <c r="S39" s="990">
        <v>2</v>
      </c>
      <c r="T39" s="990">
        <v>4</v>
      </c>
      <c r="U39" s="990">
        <v>5</v>
      </c>
      <c r="V39" s="990">
        <v>5033</v>
      </c>
      <c r="W39" s="1055" t="s">
        <v>6102</v>
      </c>
      <c r="X39" s="1043" t="s">
        <v>6171</v>
      </c>
      <c r="Y39" s="1043" t="s">
        <v>6102</v>
      </c>
      <c r="Z39" s="1043"/>
      <c r="AA39" s="1128" t="s">
        <v>6534</v>
      </c>
      <c r="AB39" t="s">
        <v>6477</v>
      </c>
      <c r="AC39" s="990"/>
      <c r="AD39" s="990"/>
      <c r="AE39" s="990"/>
      <c r="AF39" s="990"/>
      <c r="AG39" s="990"/>
      <c r="AH39" s="990"/>
      <c r="AI39" s="990"/>
      <c r="AJ39" s="994"/>
      <c r="AK39" s="1013" t="s">
        <v>6526</v>
      </c>
    </row>
    <row r="40" spans="1:37" x14ac:dyDescent="0.3">
      <c r="A40" t="s">
        <v>6058</v>
      </c>
      <c r="B40" s="995">
        <v>38</v>
      </c>
      <c r="C40" s="995">
        <v>38</v>
      </c>
      <c r="D40" s="1033">
        <v>46026</v>
      </c>
      <c r="E40" s="996" t="s">
        <v>334</v>
      </c>
      <c r="F40" s="996" t="s">
        <v>16</v>
      </c>
      <c r="G40" s="1044" t="s">
        <v>171</v>
      </c>
      <c r="H40" s="1044" t="s">
        <v>794</v>
      </c>
      <c r="I40" s="1028">
        <v>2</v>
      </c>
      <c r="J40" s="1028">
        <v>3</v>
      </c>
      <c r="K40" s="1028">
        <v>2</v>
      </c>
      <c r="L40" s="1028">
        <v>2</v>
      </c>
      <c r="M40" s="1000">
        <v>14</v>
      </c>
      <c r="N40" s="996">
        <v>-25</v>
      </c>
      <c r="O40" s="1028">
        <v>38</v>
      </c>
      <c r="P40" s="998">
        <v>0</v>
      </c>
      <c r="Q40" s="996">
        <v>0</v>
      </c>
      <c r="R40" s="996">
        <v>0</v>
      </c>
      <c r="S40" s="996">
        <v>0</v>
      </c>
      <c r="T40" s="996">
        <v>2</v>
      </c>
      <c r="U40" s="996">
        <v>2</v>
      </c>
      <c r="V40" s="996">
        <v>5086</v>
      </c>
      <c r="W40" s="1054" t="s">
        <v>6188</v>
      </c>
      <c r="X40" s="1044" t="s">
        <v>6187</v>
      </c>
      <c r="Y40" s="1044" t="s">
        <v>6187</v>
      </c>
      <c r="Z40" s="1044" t="s">
        <v>3213</v>
      </c>
      <c r="AA40" s="1127" t="s">
        <v>5867</v>
      </c>
      <c r="AB40" t="s">
        <v>6478</v>
      </c>
      <c r="AC40" t="s">
        <v>6479</v>
      </c>
      <c r="AD40" s="996"/>
      <c r="AE40" s="996"/>
      <c r="AF40" s="996"/>
      <c r="AG40" s="996"/>
      <c r="AH40" s="996"/>
      <c r="AI40" s="996"/>
      <c r="AJ40" s="1003"/>
      <c r="AK40" s="1014" t="s">
        <v>6527</v>
      </c>
    </row>
    <row r="41" spans="1:37" s="191" customFormat="1" x14ac:dyDescent="0.3">
      <c r="A41" t="s">
        <v>6058</v>
      </c>
      <c r="B41" s="989">
        <v>39</v>
      </c>
      <c r="C41" s="989">
        <v>39</v>
      </c>
      <c r="D41" s="1034">
        <v>46028</v>
      </c>
      <c r="E41" s="990" t="s">
        <v>332</v>
      </c>
      <c r="F41" s="990" t="s">
        <v>17</v>
      </c>
      <c r="G41" s="1043" t="s">
        <v>6148</v>
      </c>
      <c r="H41" s="1043" t="s">
        <v>16</v>
      </c>
      <c r="I41" s="1027">
        <v>4</v>
      </c>
      <c r="J41" s="1027">
        <v>1</v>
      </c>
      <c r="K41" s="1027">
        <v>2</v>
      </c>
      <c r="L41" s="1027">
        <v>1</v>
      </c>
      <c r="M41" s="1000">
        <v>14</v>
      </c>
      <c r="N41" s="1009">
        <v>-25</v>
      </c>
      <c r="O41" s="1042">
        <v>41</v>
      </c>
      <c r="P41" s="1001">
        <v>1</v>
      </c>
      <c r="Q41" s="990">
        <v>0</v>
      </c>
      <c r="R41" s="990">
        <v>1</v>
      </c>
      <c r="S41" s="990">
        <v>0</v>
      </c>
      <c r="T41" s="990">
        <v>5</v>
      </c>
      <c r="U41" s="990">
        <v>3</v>
      </c>
      <c r="V41" s="990">
        <v>3564</v>
      </c>
      <c r="W41" s="1055" t="s">
        <v>6118</v>
      </c>
      <c r="X41" s="1043" t="s">
        <v>6188</v>
      </c>
      <c r="Y41" s="1043" t="s">
        <v>6089</v>
      </c>
      <c r="Z41" s="1043"/>
      <c r="AA41" s="1128" t="s">
        <v>5912</v>
      </c>
      <c r="AB41" t="s">
        <v>6480</v>
      </c>
      <c r="AC41" t="s">
        <v>6481</v>
      </c>
      <c r="AD41" t="s">
        <v>6483</v>
      </c>
      <c r="AE41" t="s">
        <v>6482</v>
      </c>
      <c r="AF41" s="990"/>
      <c r="AG41" s="990"/>
      <c r="AH41" s="990"/>
      <c r="AI41" s="990"/>
      <c r="AJ41" s="994"/>
      <c r="AK41" s="1002" t="s">
        <v>6528</v>
      </c>
    </row>
    <row r="42" spans="1:37" x14ac:dyDescent="0.3">
      <c r="A42" t="s">
        <v>6058</v>
      </c>
      <c r="B42" s="1004">
        <v>40</v>
      </c>
      <c r="C42" s="1004">
        <v>40</v>
      </c>
      <c r="D42" s="1035">
        <v>46031</v>
      </c>
      <c r="E42" s="981" t="s">
        <v>6179</v>
      </c>
      <c r="F42" s="981" t="s">
        <v>16</v>
      </c>
      <c r="G42" s="1045" t="s">
        <v>6173</v>
      </c>
      <c r="H42" s="1045" t="s">
        <v>743</v>
      </c>
      <c r="I42" s="1029">
        <v>2</v>
      </c>
      <c r="J42" s="1029">
        <v>7</v>
      </c>
      <c r="K42" s="1029">
        <v>2</v>
      </c>
      <c r="L42" s="1029">
        <v>7</v>
      </c>
      <c r="M42" s="1005">
        <v>14</v>
      </c>
      <c r="N42" s="981">
        <v>-25</v>
      </c>
      <c r="O42" s="1029">
        <v>41</v>
      </c>
      <c r="P42" s="984">
        <v>1</v>
      </c>
      <c r="Q42" s="981">
        <v>0</v>
      </c>
      <c r="R42" s="981">
        <v>0</v>
      </c>
      <c r="S42" s="981">
        <v>1</v>
      </c>
      <c r="T42" s="981">
        <v>2</v>
      </c>
      <c r="U42" s="981">
        <v>3</v>
      </c>
      <c r="V42" s="981">
        <v>6239</v>
      </c>
      <c r="W42" s="1056" t="s">
        <v>6189</v>
      </c>
      <c r="X42" s="1045" t="s">
        <v>6102</v>
      </c>
      <c r="Y42" s="1045" t="s">
        <v>6102</v>
      </c>
      <c r="Z42" s="1045"/>
      <c r="AA42" s="1133" t="s">
        <v>6314</v>
      </c>
      <c r="AB42" t="s">
        <v>6484</v>
      </c>
      <c r="AC42" t="s">
        <v>6485</v>
      </c>
      <c r="AD42" s="981"/>
      <c r="AE42" s="981"/>
      <c r="AF42" s="981"/>
      <c r="AG42" s="981"/>
      <c r="AH42" s="981"/>
      <c r="AI42" s="981"/>
      <c r="AJ42" s="1006"/>
      <c r="AK42" s="1024" t="s">
        <v>6308</v>
      </c>
    </row>
    <row r="43" spans="1:37" ht="17.399999999999999" customHeight="1" x14ac:dyDescent="0.3">
      <c r="A43" t="s">
        <v>6058</v>
      </c>
      <c r="B43" s="989">
        <v>41</v>
      </c>
      <c r="C43" s="989">
        <v>41</v>
      </c>
      <c r="D43" s="1034">
        <v>46033</v>
      </c>
      <c r="E43" s="990" t="s">
        <v>6076</v>
      </c>
      <c r="F43" s="990" t="s">
        <v>16</v>
      </c>
      <c r="G43" s="1043" t="s">
        <v>159</v>
      </c>
      <c r="H43" s="1043" t="s">
        <v>793</v>
      </c>
      <c r="I43" s="1027">
        <v>4</v>
      </c>
      <c r="J43" s="1027">
        <v>3</v>
      </c>
      <c r="K43" s="1027">
        <v>3</v>
      </c>
      <c r="L43" s="1027">
        <v>3</v>
      </c>
      <c r="M43" s="1000">
        <v>14</v>
      </c>
      <c r="N43" s="990">
        <v>-23</v>
      </c>
      <c r="O43" s="1027">
        <v>43</v>
      </c>
      <c r="P43" s="1001">
        <v>0</v>
      </c>
      <c r="Q43" s="990">
        <v>0</v>
      </c>
      <c r="R43" s="990">
        <v>0</v>
      </c>
      <c r="S43" s="990">
        <v>3</v>
      </c>
      <c r="T43" s="990">
        <v>2</v>
      </c>
      <c r="U43" s="990">
        <v>9.5</v>
      </c>
      <c r="V43" s="990">
        <v>5024</v>
      </c>
      <c r="W43" s="1055" t="s">
        <v>6171</v>
      </c>
      <c r="X43" s="1043" t="s">
        <v>6089</v>
      </c>
      <c r="Y43" s="1043" t="s">
        <v>6187</v>
      </c>
      <c r="Z43" s="1043" t="s">
        <v>355</v>
      </c>
      <c r="AA43" s="1128" t="s">
        <v>6285</v>
      </c>
      <c r="AB43" t="s">
        <v>6486</v>
      </c>
      <c r="AC43" t="s">
        <v>6487</v>
      </c>
      <c r="AD43" t="s">
        <v>6488</v>
      </c>
      <c r="AE43" s="990"/>
      <c r="AF43" s="990"/>
      <c r="AG43" s="990"/>
      <c r="AH43" s="990"/>
      <c r="AI43" s="990"/>
      <c r="AJ43" s="1097" t="s">
        <v>6286</v>
      </c>
      <c r="AK43" s="1013" t="s">
        <v>6287</v>
      </c>
    </row>
    <row r="44" spans="1:37" x14ac:dyDescent="0.3">
      <c r="A44" t="s">
        <v>6058</v>
      </c>
      <c r="B44" s="995">
        <v>42</v>
      </c>
      <c r="C44" s="995">
        <v>44</v>
      </c>
      <c r="D44" s="1033">
        <v>46035</v>
      </c>
      <c r="E44" s="996" t="s">
        <v>325</v>
      </c>
      <c r="F44" s="996" t="s">
        <v>16</v>
      </c>
      <c r="G44" s="1044" t="s">
        <v>6084</v>
      </c>
      <c r="H44" s="1044" t="s">
        <v>743</v>
      </c>
      <c r="I44" s="1028">
        <v>1</v>
      </c>
      <c r="J44" s="1028">
        <v>5</v>
      </c>
      <c r="K44" s="1028">
        <v>1</v>
      </c>
      <c r="L44" s="1028">
        <v>5</v>
      </c>
      <c r="M44" s="1000">
        <v>14</v>
      </c>
      <c r="N44" s="996">
        <v>-23</v>
      </c>
      <c r="O44" s="1028">
        <v>43</v>
      </c>
      <c r="P44" s="998">
        <v>0</v>
      </c>
      <c r="Q44" s="996">
        <v>0</v>
      </c>
      <c r="R44" s="996">
        <v>0</v>
      </c>
      <c r="S44" s="996">
        <v>3</v>
      </c>
      <c r="T44" s="996">
        <v>4</v>
      </c>
      <c r="U44" s="996">
        <v>4</v>
      </c>
      <c r="V44" s="996">
        <v>11604</v>
      </c>
      <c r="W44" s="1054" t="s">
        <v>6189</v>
      </c>
      <c r="X44" s="1044" t="s">
        <v>6187</v>
      </c>
      <c r="Y44" s="1044" t="s">
        <v>6079</v>
      </c>
      <c r="Z44" s="1044"/>
      <c r="AA44" s="1127" t="s">
        <v>6289</v>
      </c>
      <c r="AB44" t="s">
        <v>6489</v>
      </c>
      <c r="AC44" s="996"/>
      <c r="AD44" s="996"/>
      <c r="AE44" s="996"/>
      <c r="AF44" s="996"/>
      <c r="AG44" s="996"/>
      <c r="AH44" s="996"/>
      <c r="AI44" s="996"/>
      <c r="AJ44" s="1003"/>
      <c r="AK44" s="1014" t="s">
        <v>6288</v>
      </c>
    </row>
    <row r="45" spans="1:37" x14ac:dyDescent="0.3">
      <c r="A45" t="s">
        <v>6058</v>
      </c>
      <c r="B45" s="989">
        <v>43</v>
      </c>
      <c r="C45" s="989">
        <v>42</v>
      </c>
      <c r="D45" s="1034">
        <v>46038</v>
      </c>
      <c r="E45" s="990" t="s">
        <v>328</v>
      </c>
      <c r="F45" s="990" t="s">
        <v>16</v>
      </c>
      <c r="G45" s="1043" t="s">
        <v>6128</v>
      </c>
      <c r="H45" s="1043" t="s">
        <v>743</v>
      </c>
      <c r="I45" s="1027">
        <v>1</v>
      </c>
      <c r="J45" s="1027">
        <v>4</v>
      </c>
      <c r="K45" s="1027">
        <v>1</v>
      </c>
      <c r="L45" s="1027">
        <v>3</v>
      </c>
      <c r="M45" s="1000">
        <v>14</v>
      </c>
      <c r="N45" s="990">
        <v>-23</v>
      </c>
      <c r="O45" s="1027">
        <v>43</v>
      </c>
      <c r="P45" s="1001">
        <v>0</v>
      </c>
      <c r="Q45" s="990">
        <v>0</v>
      </c>
      <c r="R45" s="990">
        <v>0</v>
      </c>
      <c r="S45" s="990">
        <v>1</v>
      </c>
      <c r="T45" s="990">
        <v>4</v>
      </c>
      <c r="U45" s="990">
        <v>3</v>
      </c>
      <c r="V45" s="990">
        <v>9833</v>
      </c>
      <c r="W45" s="1055" t="s">
        <v>6188</v>
      </c>
      <c r="X45" s="1043" t="s">
        <v>6171</v>
      </c>
      <c r="Y45" s="1043" t="s">
        <v>6097</v>
      </c>
      <c r="Z45" s="1043"/>
      <c r="AA45" s="1128" t="s">
        <v>6292</v>
      </c>
      <c r="AB45" t="s">
        <v>6490</v>
      </c>
      <c r="AC45" s="990"/>
      <c r="AD45" s="990"/>
      <c r="AE45" s="990"/>
      <c r="AF45" s="990"/>
      <c r="AG45" s="990"/>
      <c r="AH45" s="990"/>
      <c r="AI45" s="990"/>
      <c r="AJ45" s="994"/>
      <c r="AK45" s="1013" t="s">
        <v>6293</v>
      </c>
    </row>
    <row r="46" spans="1:37" x14ac:dyDescent="0.3">
      <c r="A46" t="s">
        <v>6058</v>
      </c>
      <c r="B46" s="995">
        <v>44</v>
      </c>
      <c r="C46" s="995">
        <v>43</v>
      </c>
      <c r="D46" s="1033">
        <v>46040</v>
      </c>
      <c r="E46" s="996" t="s">
        <v>610</v>
      </c>
      <c r="F46" s="996" t="s">
        <v>16</v>
      </c>
      <c r="G46" s="1044" t="s">
        <v>6128</v>
      </c>
      <c r="H46" s="1044" t="s">
        <v>743</v>
      </c>
      <c r="I46" s="1028">
        <v>1</v>
      </c>
      <c r="J46" s="1028">
        <v>4</v>
      </c>
      <c r="K46" s="1028">
        <v>1</v>
      </c>
      <c r="L46" s="1028">
        <v>4</v>
      </c>
      <c r="M46" s="1000">
        <v>14</v>
      </c>
      <c r="N46" s="996">
        <v>-23</v>
      </c>
      <c r="O46" s="1028">
        <v>43</v>
      </c>
      <c r="P46" s="998">
        <v>0</v>
      </c>
      <c r="Q46" s="996">
        <v>0</v>
      </c>
      <c r="R46" s="996">
        <v>0</v>
      </c>
      <c r="S46" s="996">
        <v>0</v>
      </c>
      <c r="T46" s="996">
        <v>1</v>
      </c>
      <c r="U46" s="996">
        <v>5</v>
      </c>
      <c r="V46" s="996">
        <v>6625</v>
      </c>
      <c r="W46" s="1054" t="s">
        <v>6171</v>
      </c>
      <c r="X46" s="1044" t="s">
        <v>6171</v>
      </c>
      <c r="Y46" s="1044" t="s">
        <v>6120</v>
      </c>
      <c r="Z46" s="1044"/>
      <c r="AA46" s="1127" t="s">
        <v>3778</v>
      </c>
      <c r="AB46" t="s">
        <v>6491</v>
      </c>
      <c r="AC46" s="996"/>
      <c r="AD46" s="996"/>
      <c r="AE46" s="996"/>
      <c r="AF46" s="996"/>
      <c r="AG46" s="996"/>
      <c r="AH46" s="996"/>
      <c r="AI46" s="996"/>
      <c r="AJ46" s="1003"/>
      <c r="AK46" s="1014" t="s">
        <v>6294</v>
      </c>
    </row>
    <row r="47" spans="1:37" x14ac:dyDescent="0.3">
      <c r="A47" t="s">
        <v>6058</v>
      </c>
      <c r="B47" s="989">
        <v>45</v>
      </c>
      <c r="C47" s="989">
        <v>45</v>
      </c>
      <c r="D47" s="1034">
        <v>46047</v>
      </c>
      <c r="E47" s="990" t="s">
        <v>626</v>
      </c>
      <c r="F47" s="990" t="s">
        <v>17</v>
      </c>
      <c r="G47" s="1043" t="s">
        <v>6204</v>
      </c>
      <c r="H47" s="1043" t="s">
        <v>743</v>
      </c>
      <c r="I47" s="1027">
        <v>3</v>
      </c>
      <c r="J47" s="1027">
        <v>5</v>
      </c>
      <c r="K47" s="1027">
        <v>3</v>
      </c>
      <c r="L47" s="1027">
        <v>4</v>
      </c>
      <c r="M47" s="1000">
        <v>14</v>
      </c>
      <c r="N47" s="990">
        <v>-26</v>
      </c>
      <c r="O47" s="1027">
        <v>43</v>
      </c>
      <c r="P47" s="1001">
        <v>2</v>
      </c>
      <c r="Q47" s="990">
        <v>0</v>
      </c>
      <c r="R47" s="990">
        <v>1</v>
      </c>
      <c r="S47" s="990">
        <v>2</v>
      </c>
      <c r="T47" s="990">
        <v>4</v>
      </c>
      <c r="U47" s="990">
        <v>3</v>
      </c>
      <c r="V47" s="990">
        <v>3591</v>
      </c>
      <c r="W47" s="1055" t="s">
        <v>6189</v>
      </c>
      <c r="X47" s="1043" t="s">
        <v>6194</v>
      </c>
      <c r="Y47" s="1043" t="s">
        <v>6097</v>
      </c>
      <c r="Z47" s="1043"/>
      <c r="AA47" s="1128" t="s">
        <v>3102</v>
      </c>
      <c r="AB47" t="s">
        <v>6492</v>
      </c>
      <c r="AC47" t="s">
        <v>6493</v>
      </c>
      <c r="AD47" t="s">
        <v>6494</v>
      </c>
      <c r="AE47" s="990"/>
      <c r="AF47" s="990"/>
      <c r="AG47" s="990"/>
      <c r="AH47" s="990"/>
      <c r="AI47" s="990"/>
      <c r="AJ47" s="994" t="s">
        <v>6290</v>
      </c>
      <c r="AK47" s="1013" t="s">
        <v>6291</v>
      </c>
    </row>
    <row r="48" spans="1:37" x14ac:dyDescent="0.3">
      <c r="A48" t="s">
        <v>6058</v>
      </c>
      <c r="B48" s="995">
        <v>46</v>
      </c>
      <c r="C48" s="995">
        <v>46</v>
      </c>
      <c r="D48" s="1033">
        <v>46049</v>
      </c>
      <c r="E48" s="996" t="s">
        <v>6086</v>
      </c>
      <c r="F48" s="996" t="s">
        <v>16</v>
      </c>
      <c r="G48" s="1044" t="s">
        <v>6189</v>
      </c>
      <c r="H48" s="1044" t="s">
        <v>743</v>
      </c>
      <c r="I48" s="1028">
        <v>0</v>
      </c>
      <c r="J48" s="1028">
        <v>1</v>
      </c>
      <c r="K48" s="1028">
        <v>0</v>
      </c>
      <c r="L48" s="1028">
        <v>1</v>
      </c>
      <c r="M48" s="1000">
        <v>14</v>
      </c>
      <c r="N48" s="996">
        <v>-26</v>
      </c>
      <c r="O48" s="1028">
        <v>43</v>
      </c>
      <c r="P48" s="998">
        <v>0</v>
      </c>
      <c r="Q48" s="996">
        <v>0</v>
      </c>
      <c r="R48" s="996">
        <v>0</v>
      </c>
      <c r="S48" s="996">
        <v>0</v>
      </c>
      <c r="T48" s="996">
        <v>2</v>
      </c>
      <c r="U48" s="996">
        <v>3</v>
      </c>
      <c r="V48" s="996">
        <v>2771</v>
      </c>
      <c r="W48" s="1054" t="s">
        <v>6188</v>
      </c>
      <c r="X48" s="1044" t="s">
        <v>6189</v>
      </c>
      <c r="Y48" s="1044" t="s">
        <v>6188</v>
      </c>
      <c r="Z48" s="1044"/>
      <c r="AA48" s="1127" t="s">
        <v>6189</v>
      </c>
      <c r="AB48" s="1014" t="s">
        <v>515</v>
      </c>
      <c r="AC48" s="996"/>
      <c r="AD48" s="996"/>
      <c r="AE48" s="996"/>
      <c r="AF48" s="996"/>
      <c r="AG48" s="996"/>
      <c r="AH48" s="996"/>
      <c r="AI48" s="996"/>
      <c r="AJ48" s="1003"/>
      <c r="AK48" s="1014" t="s">
        <v>6295</v>
      </c>
    </row>
    <row r="49" spans="1:37" x14ac:dyDescent="0.3">
      <c r="A49" t="s">
        <v>6058</v>
      </c>
      <c r="B49" s="989">
        <v>47</v>
      </c>
      <c r="C49" s="989">
        <v>47</v>
      </c>
      <c r="D49" s="1034">
        <v>46051</v>
      </c>
      <c r="E49" s="990" t="s">
        <v>1274</v>
      </c>
      <c r="F49" s="990" t="s">
        <v>17</v>
      </c>
      <c r="G49" s="1043" t="s">
        <v>6092</v>
      </c>
      <c r="H49" s="1043" t="s">
        <v>743</v>
      </c>
      <c r="I49" s="1027">
        <v>3</v>
      </c>
      <c r="J49" s="1027">
        <v>6</v>
      </c>
      <c r="K49" s="1027">
        <v>3</v>
      </c>
      <c r="L49" s="1027">
        <v>5</v>
      </c>
      <c r="M49" s="1000">
        <v>14</v>
      </c>
      <c r="N49" s="990">
        <v>-29</v>
      </c>
      <c r="O49" s="1027">
        <v>43</v>
      </c>
      <c r="P49" s="1001">
        <v>1</v>
      </c>
      <c r="Q49" s="990">
        <v>0</v>
      </c>
      <c r="R49" s="990">
        <v>0</v>
      </c>
      <c r="S49" s="990">
        <v>1</v>
      </c>
      <c r="T49" s="990">
        <v>4</v>
      </c>
      <c r="U49" s="990">
        <v>1</v>
      </c>
      <c r="V49" s="990">
        <v>2810</v>
      </c>
      <c r="W49" s="1055" t="s">
        <v>6097</v>
      </c>
      <c r="X49" s="1043" t="s">
        <v>6171</v>
      </c>
      <c r="Y49" s="1043" t="s">
        <v>6194</v>
      </c>
      <c r="Z49" s="1043"/>
      <c r="AA49" s="1128" t="s">
        <v>6319</v>
      </c>
      <c r="AB49" t="s">
        <v>6495</v>
      </c>
      <c r="AC49" t="s">
        <v>6496</v>
      </c>
      <c r="AD49" t="s">
        <v>6497</v>
      </c>
      <c r="AE49" s="990"/>
      <c r="AF49" s="990"/>
      <c r="AG49" s="990"/>
      <c r="AH49" s="990"/>
      <c r="AI49" s="990"/>
      <c r="AJ49" s="994"/>
      <c r="AK49" s="1013" t="s">
        <v>6318</v>
      </c>
    </row>
    <row r="50" spans="1:37" x14ac:dyDescent="0.3">
      <c r="B50" s="995"/>
      <c r="C50" s="995"/>
      <c r="D50" s="1033"/>
      <c r="E50" s="996"/>
      <c r="F50" s="996"/>
      <c r="G50" s="1044"/>
      <c r="H50" s="1044"/>
      <c r="I50" s="1028"/>
      <c r="J50" s="1028"/>
      <c r="K50" s="1028"/>
      <c r="L50" s="1028"/>
      <c r="M50" s="1000"/>
      <c r="N50" s="996"/>
      <c r="O50" s="1028"/>
      <c r="P50" s="998"/>
      <c r="Q50" s="996"/>
      <c r="R50" s="996"/>
      <c r="S50" s="996"/>
      <c r="T50" s="996"/>
      <c r="U50" s="996"/>
      <c r="V50" s="996"/>
      <c r="W50" s="1054"/>
      <c r="X50" s="1044"/>
      <c r="Y50" s="1044"/>
      <c r="Z50" s="1044"/>
      <c r="AA50" s="1127"/>
      <c r="AB50" s="996"/>
      <c r="AC50" s="996"/>
      <c r="AD50" s="996"/>
      <c r="AE50" s="996"/>
      <c r="AF50" s="996"/>
      <c r="AG50" s="996"/>
      <c r="AH50" s="996"/>
      <c r="AI50" s="996"/>
      <c r="AJ50" s="1003"/>
      <c r="AK50" s="1014"/>
    </row>
    <row r="51" spans="1:37" x14ac:dyDescent="0.3">
      <c r="B51" s="989"/>
      <c r="C51" s="989"/>
      <c r="D51" s="1034"/>
      <c r="E51" s="990"/>
      <c r="F51" s="990"/>
      <c r="G51" s="1043"/>
      <c r="H51" s="1043"/>
      <c r="I51" s="1027"/>
      <c r="J51" s="1027"/>
      <c r="K51" s="1027"/>
      <c r="L51" s="1027"/>
      <c r="M51" s="1000"/>
      <c r="N51" s="990"/>
      <c r="O51" s="1027"/>
      <c r="P51" s="1001"/>
      <c r="Q51" s="990"/>
      <c r="R51" s="990"/>
      <c r="S51" s="990"/>
      <c r="T51" s="990"/>
      <c r="U51" s="990"/>
      <c r="V51" s="990"/>
      <c r="W51" s="1055"/>
      <c r="X51" s="1043"/>
      <c r="Y51" s="1043"/>
      <c r="Z51" s="1043"/>
      <c r="AA51" s="1128"/>
      <c r="AB51" s="990"/>
      <c r="AC51" s="990"/>
      <c r="AD51" s="990"/>
      <c r="AE51" s="990"/>
      <c r="AF51" s="990"/>
      <c r="AG51" s="990"/>
      <c r="AH51" s="990"/>
      <c r="AI51" s="990"/>
      <c r="AJ51" s="994"/>
      <c r="AK51" s="1013"/>
    </row>
    <row r="52" spans="1:37" x14ac:dyDescent="0.3">
      <c r="B52" s="995"/>
      <c r="C52" s="995"/>
      <c r="D52" s="1033"/>
      <c r="E52" s="996"/>
      <c r="F52" s="996"/>
      <c r="G52" s="1044"/>
      <c r="H52" s="1044"/>
      <c r="I52" s="1028"/>
      <c r="J52" s="1028"/>
      <c r="K52" s="1028"/>
      <c r="L52" s="1028"/>
      <c r="M52" s="1000"/>
      <c r="N52" s="996"/>
      <c r="O52" s="1028"/>
      <c r="P52" s="998"/>
      <c r="Q52" s="996"/>
      <c r="R52" s="996"/>
      <c r="S52" s="996"/>
      <c r="T52" s="996"/>
      <c r="U52" s="996"/>
      <c r="V52" s="996"/>
      <c r="W52" s="1054"/>
      <c r="X52" s="1044"/>
      <c r="Y52" s="1044"/>
      <c r="Z52" s="1044"/>
      <c r="AA52" s="1127"/>
      <c r="AB52" s="996"/>
      <c r="AC52" s="996"/>
      <c r="AD52" s="996"/>
      <c r="AE52" s="996"/>
      <c r="AF52" s="996"/>
      <c r="AG52" s="996"/>
      <c r="AH52" s="996"/>
      <c r="AI52" s="996"/>
      <c r="AJ52" s="998"/>
      <c r="AK52" s="1014"/>
    </row>
    <row r="53" spans="1:37" x14ac:dyDescent="0.3">
      <c r="B53" s="989"/>
      <c r="C53" s="989"/>
      <c r="D53" s="1034"/>
      <c r="E53" s="990"/>
      <c r="F53" s="990"/>
      <c r="G53" s="1043"/>
      <c r="H53" s="1043"/>
      <c r="I53" s="1027"/>
      <c r="J53" s="1027"/>
      <c r="K53" s="1027"/>
      <c r="L53" s="1027"/>
      <c r="M53" s="1000"/>
      <c r="N53" s="990"/>
      <c r="O53" s="1027"/>
      <c r="P53" s="1001"/>
      <c r="Q53" s="990"/>
      <c r="R53" s="990"/>
      <c r="S53" s="990"/>
      <c r="T53" s="990"/>
      <c r="U53" s="990"/>
      <c r="V53" s="990"/>
      <c r="W53" s="1055"/>
      <c r="X53" s="1043"/>
      <c r="Y53" s="1043"/>
      <c r="Z53" s="1043"/>
      <c r="AA53" s="1128"/>
      <c r="AB53" s="990"/>
      <c r="AC53" s="990"/>
      <c r="AD53" s="990"/>
      <c r="AE53" s="990"/>
      <c r="AF53" s="990"/>
      <c r="AG53" s="990"/>
      <c r="AH53" s="990"/>
      <c r="AI53" s="990"/>
      <c r="AJ53" s="994"/>
      <c r="AK53" s="1013"/>
    </row>
    <row r="54" spans="1:37" s="191" customFormat="1" x14ac:dyDescent="0.3">
      <c r="A54"/>
      <c r="B54" s="995"/>
      <c r="C54" s="995"/>
      <c r="D54" s="1033"/>
      <c r="E54" s="996"/>
      <c r="F54" s="996"/>
      <c r="G54" s="1044"/>
      <c r="H54" s="1044"/>
      <c r="I54" s="1028"/>
      <c r="J54" s="1028"/>
      <c r="K54" s="1028"/>
      <c r="L54" s="1028"/>
      <c r="M54" s="1000"/>
      <c r="N54" s="1009"/>
      <c r="O54" s="1042"/>
      <c r="P54" s="998"/>
      <c r="Q54" s="996"/>
      <c r="R54" s="996"/>
      <c r="S54" s="996"/>
      <c r="T54" s="996"/>
      <c r="U54" s="996"/>
      <c r="V54" s="996"/>
      <c r="W54" s="1054"/>
      <c r="X54" s="1044"/>
      <c r="Y54" s="1044"/>
      <c r="Z54" s="1044"/>
      <c r="AA54" s="1127"/>
      <c r="AB54" s="996"/>
      <c r="AC54" s="996"/>
      <c r="AD54" s="996"/>
      <c r="AE54" s="996"/>
      <c r="AF54" s="996"/>
      <c r="AG54" s="996"/>
      <c r="AH54" s="996"/>
      <c r="AI54" s="996"/>
      <c r="AJ54" s="1003"/>
      <c r="AK54" s="1014"/>
    </row>
    <row r="55" spans="1:37" x14ac:dyDescent="0.3">
      <c r="B55" s="1010"/>
      <c r="C55" s="993"/>
      <c r="D55" s="1036"/>
      <c r="E55" s="993"/>
      <c r="F55" s="993"/>
      <c r="G55" s="1046"/>
      <c r="H55" s="1046"/>
      <c r="I55" s="1030"/>
      <c r="J55" s="1030"/>
      <c r="K55" s="1030"/>
      <c r="L55" s="1030"/>
      <c r="M55" s="993"/>
      <c r="N55" s="993"/>
      <c r="O55" s="1030"/>
      <c r="P55" s="992"/>
      <c r="Q55" s="993"/>
      <c r="R55" s="993"/>
      <c r="S55" s="993"/>
      <c r="T55" s="993"/>
      <c r="U55" s="993"/>
      <c r="V55" s="993"/>
      <c r="W55" s="1053"/>
      <c r="X55" s="1046"/>
      <c r="Y55" s="1046"/>
      <c r="Z55" s="1046"/>
      <c r="AA55" s="1126"/>
      <c r="AB55" s="993"/>
      <c r="AC55" s="993"/>
      <c r="AD55" s="993"/>
      <c r="AE55" s="993"/>
      <c r="AF55" s="993"/>
      <c r="AG55" s="993"/>
      <c r="AH55" s="993"/>
      <c r="AI55" s="993"/>
      <c r="AJ55" s="1012"/>
      <c r="AK55" s="1023"/>
    </row>
    <row r="56" spans="1:37" x14ac:dyDescent="0.3">
      <c r="B56" s="995"/>
      <c r="C56" s="993"/>
      <c r="D56" s="1033"/>
      <c r="E56" s="996"/>
      <c r="F56" s="996"/>
      <c r="G56" s="1044"/>
      <c r="H56" s="1044"/>
      <c r="I56" s="1028"/>
      <c r="J56" s="1028"/>
      <c r="K56" s="1028"/>
      <c r="L56" s="1028"/>
      <c r="M56" s="996"/>
      <c r="N56" s="996"/>
      <c r="O56" s="1028"/>
      <c r="P56" s="998"/>
      <c r="Q56" s="996"/>
      <c r="R56" s="996"/>
      <c r="S56" s="996"/>
      <c r="T56" s="996"/>
      <c r="U56" s="996"/>
      <c r="V56" s="996"/>
      <c r="W56" s="1054"/>
      <c r="X56" s="1044"/>
      <c r="Y56" s="1044"/>
      <c r="Z56" s="1044"/>
      <c r="AA56" s="1127"/>
      <c r="AB56" s="999"/>
      <c r="AC56" s="999"/>
      <c r="AD56" s="999"/>
      <c r="AE56" s="999"/>
      <c r="AF56" s="996"/>
      <c r="AG56" s="996"/>
      <c r="AH56" s="996"/>
      <c r="AI56" s="996"/>
      <c r="AJ56" s="1003"/>
      <c r="AK56" s="1014"/>
    </row>
    <row r="57" spans="1:37" x14ac:dyDescent="0.3">
      <c r="B57" s="989"/>
      <c r="C57" s="993"/>
      <c r="D57" s="990"/>
      <c r="E57" s="990"/>
      <c r="F57" s="990"/>
      <c r="G57" s="1043"/>
      <c r="H57" s="1043"/>
      <c r="I57" s="1027"/>
      <c r="J57" s="1027"/>
      <c r="K57" s="1027"/>
      <c r="L57" s="1027"/>
      <c r="M57" s="990"/>
      <c r="N57" s="990"/>
      <c r="O57" s="1027"/>
      <c r="P57" s="1001"/>
      <c r="Q57" s="990"/>
      <c r="R57" s="990"/>
      <c r="S57" s="990"/>
      <c r="T57" s="990"/>
      <c r="U57" s="990"/>
      <c r="V57" s="990"/>
      <c r="W57" s="1055"/>
      <c r="X57" s="1043"/>
      <c r="Y57" s="1043"/>
      <c r="Z57" s="1043"/>
      <c r="AA57" s="1134"/>
      <c r="AB57" s="1002"/>
      <c r="AC57" s="1002"/>
      <c r="AD57" s="990"/>
      <c r="AE57" s="990"/>
      <c r="AF57" s="990"/>
      <c r="AG57" s="990"/>
      <c r="AH57" s="990"/>
      <c r="AI57" s="990"/>
      <c r="AJ57" s="994"/>
      <c r="AK57" s="1002"/>
    </row>
    <row r="58" spans="1:37" x14ac:dyDescent="0.3">
      <c r="B58" s="995"/>
      <c r="C58" s="993"/>
      <c r="D58" s="996"/>
      <c r="E58" s="996"/>
      <c r="F58" s="996"/>
      <c r="G58" s="1044"/>
      <c r="H58" s="1044"/>
      <c r="I58" s="1028"/>
      <c r="J58" s="1028"/>
      <c r="K58" s="1028"/>
      <c r="L58" s="1028"/>
      <c r="M58" s="997"/>
      <c r="N58" s="997"/>
      <c r="O58" s="1028"/>
      <c r="P58" s="998"/>
      <c r="Q58" s="996"/>
      <c r="R58" s="996"/>
      <c r="S58" s="996"/>
      <c r="T58" s="996"/>
      <c r="U58" s="996"/>
      <c r="V58" s="996"/>
      <c r="W58" s="1054"/>
      <c r="X58" s="1044"/>
      <c r="Y58" s="1044"/>
      <c r="Z58" s="1044"/>
      <c r="AA58" s="1135"/>
      <c r="AB58" s="999"/>
      <c r="AC58" s="996"/>
      <c r="AD58" s="996"/>
      <c r="AE58" s="996"/>
      <c r="AF58" s="996"/>
      <c r="AG58" s="996"/>
      <c r="AH58" s="996"/>
      <c r="AI58" s="996"/>
      <c r="AJ58" s="1003"/>
      <c r="AK58" s="999"/>
    </row>
    <row r="59" spans="1:37" s="168" customFormat="1" x14ac:dyDescent="0.3">
      <c r="A59"/>
      <c r="B59" s="989"/>
      <c r="C59" s="993"/>
      <c r="D59" s="990"/>
      <c r="E59" s="990"/>
      <c r="F59" s="990"/>
      <c r="G59" s="1043"/>
      <c r="H59" s="1043"/>
      <c r="I59" s="1027"/>
      <c r="J59" s="1027"/>
      <c r="K59" s="1027"/>
      <c r="L59" s="1027"/>
      <c r="M59" s="991"/>
      <c r="N59" s="991"/>
      <c r="O59" s="1027"/>
      <c r="P59" s="1001"/>
      <c r="Q59" s="990"/>
      <c r="R59" s="990"/>
      <c r="S59" s="990"/>
      <c r="T59" s="990"/>
      <c r="U59" s="990"/>
      <c r="V59" s="990"/>
      <c r="W59" s="1055"/>
      <c r="X59" s="1043"/>
      <c r="Y59" s="1043"/>
      <c r="Z59" s="1043"/>
      <c r="AA59" s="1134"/>
      <c r="AB59" s="1002"/>
      <c r="AC59" s="1002"/>
      <c r="AD59" s="1002"/>
      <c r="AE59" s="1002"/>
      <c r="AF59" s="1002"/>
      <c r="AG59" s="990"/>
      <c r="AH59" s="990"/>
      <c r="AI59" s="990"/>
      <c r="AJ59" s="994"/>
      <c r="AK59" s="990"/>
    </row>
    <row r="60" spans="1:37" s="168" customFormat="1" x14ac:dyDescent="0.3">
      <c r="A60"/>
      <c r="B60" s="995"/>
      <c r="C60" s="993"/>
      <c r="D60" s="996"/>
      <c r="E60" s="996"/>
      <c r="F60" s="996"/>
      <c r="G60" s="1044"/>
      <c r="H60" s="1044"/>
      <c r="I60" s="1028"/>
      <c r="J60" s="1028"/>
      <c r="K60" s="1028"/>
      <c r="L60" s="1028"/>
      <c r="M60" s="997"/>
      <c r="N60" s="997"/>
      <c r="O60" s="1028"/>
      <c r="P60" s="998"/>
      <c r="Q60" s="996"/>
      <c r="R60" s="996"/>
      <c r="S60" s="996"/>
      <c r="T60" s="996"/>
      <c r="U60" s="996"/>
      <c r="V60" s="996"/>
      <c r="W60" s="1054"/>
      <c r="X60" s="1044"/>
      <c r="Y60" s="1044"/>
      <c r="Z60" s="1044"/>
      <c r="AA60" s="1135"/>
      <c r="AB60" s="999"/>
      <c r="AC60" s="999"/>
      <c r="AD60" s="999"/>
      <c r="AE60" s="996"/>
      <c r="AF60" s="996"/>
      <c r="AG60" s="996"/>
      <c r="AH60" s="996"/>
      <c r="AI60" s="996"/>
      <c r="AJ60" s="1003"/>
      <c r="AK60" s="996"/>
    </row>
    <row r="61" spans="1:37" s="191" customFormat="1" x14ac:dyDescent="0.3">
      <c r="A61"/>
      <c r="B61" s="1015"/>
      <c r="C61" s="993"/>
      <c r="D61" s="1016"/>
      <c r="E61" s="1016"/>
      <c r="F61" s="1016"/>
      <c r="G61" s="1047"/>
      <c r="H61" s="1047"/>
      <c r="I61" s="1031"/>
      <c r="J61" s="1031"/>
      <c r="K61" s="1031"/>
      <c r="L61" s="1031"/>
      <c r="M61" s="1016"/>
      <c r="N61" s="1016"/>
      <c r="O61" s="1031"/>
      <c r="P61" s="1017"/>
      <c r="Q61" s="1016"/>
      <c r="R61" s="1016"/>
      <c r="S61" s="1016"/>
      <c r="T61" s="1016"/>
      <c r="U61" s="1016"/>
      <c r="V61" s="1016"/>
      <c r="W61" s="1057"/>
      <c r="X61" s="1047"/>
      <c r="Y61" s="1047"/>
      <c r="Z61" s="1047"/>
      <c r="AA61" s="1136"/>
      <c r="AB61" s="1025"/>
      <c r="AC61" s="1016"/>
      <c r="AD61" s="1016"/>
      <c r="AE61" s="1016"/>
      <c r="AF61" s="1016"/>
      <c r="AG61" s="1016"/>
      <c r="AH61" s="1016"/>
      <c r="AI61" s="1016"/>
      <c r="AJ61" s="1018"/>
      <c r="AK61" s="1025"/>
    </row>
    <row r="62" spans="1:37" s="168" customFormat="1" x14ac:dyDescent="0.3">
      <c r="A62" t="s">
        <v>817</v>
      </c>
      <c r="B62" s="1039"/>
      <c r="C62" s="965"/>
      <c r="D62" s="965"/>
      <c r="E62" s="965"/>
      <c r="F62" s="965"/>
      <c r="G62"/>
      <c r="H62" s="965"/>
      <c r="I62" s="1041">
        <f>SUBTOTAL(109,Zapasy20252026[Góly LIT])</f>
        <v>100</v>
      </c>
      <c r="J62" s="1041">
        <f>SUBTOTAL(109,Zapasy20252026[Góly soupeř])</f>
        <v>156</v>
      </c>
      <c r="K62" s="1037">
        <f>SUBTOTAL(109,Zapasy20252026[G LIT 60(BEZ EN)])</f>
        <v>92</v>
      </c>
      <c r="L62" s="1037">
        <f>SUBTOTAL(109,Zapasy20252026[G Soupeř 60(BEZ EN)])</f>
        <v>143</v>
      </c>
      <c r="M62" s="1098">
        <f>SUBTOTAL(101,Zapasy20252026[Umístění LIT])</f>
        <v>13.702127659574469</v>
      </c>
      <c r="N62"/>
      <c r="O62" s="1041">
        <f>SUBTOTAL(104,Zapasy20252026[Bodů celkově])</f>
        <v>43</v>
      </c>
      <c r="P62" s="1038">
        <f>SUBTOTAL(109,Zapasy20252026[Góly v přesilovce])</f>
        <v>17</v>
      </c>
      <c r="Q62" s="965">
        <f>SUBTOTAL(109,Zapasy20252026[Góly v oslabení])</f>
        <v>4</v>
      </c>
      <c r="R62" s="965">
        <f>SUBTOTAL(109,Zapasy20252026[Góly inkas. v přesilovce])</f>
        <v>8</v>
      </c>
      <c r="S62" s="965">
        <f>SUBTOTAL(109,Zapasy20252026[Góly inkas. v oslabení])</f>
        <v>40</v>
      </c>
      <c r="T62" s="965">
        <f>SUBTOTAL(109,Zapasy20252026[Počet přesilovek])</f>
        <v>151</v>
      </c>
      <c r="U62" s="965">
        <f>SUBTOTAL(109,Zapasy20252026[Počet oslabení])</f>
        <v>177</v>
      </c>
      <c r="V62" s="965">
        <f>SUBTOTAL(101,Zapasy20252026[Počet diváků])</f>
        <v>4880.3617021276596</v>
      </c>
      <c r="W62" s="1038" t="s">
        <v>6320</v>
      </c>
      <c r="X62" s="965" t="s">
        <v>6321</v>
      </c>
      <c r="Y62" s="965" t="s">
        <v>6322</v>
      </c>
      <c r="Z62" s="965" t="s">
        <v>6322</v>
      </c>
      <c r="AA62" s="1137"/>
      <c r="AB62"/>
      <c r="AC62"/>
      <c r="AD62"/>
      <c r="AE62"/>
      <c r="AF62"/>
      <c r="AG62" s="965"/>
      <c r="AH62" s="965"/>
      <c r="AI62" s="965"/>
      <c r="AJ62" s="1040"/>
      <c r="AK62">
        <f>SUBTOTAL(103,Zapasy20252026[Sestava])</f>
        <v>47</v>
      </c>
    </row>
    <row r="63" spans="1:37" s="168" customFormat="1" x14ac:dyDescent="0.3">
      <c r="A63" s="2"/>
      <c r="B63" s="1153"/>
      <c r="C63" s="1153"/>
      <c r="D63" s="2"/>
      <c r="E63" s="2"/>
      <c r="F63" s="2"/>
      <c r="G63" s="60"/>
      <c r="H63" s="60"/>
      <c r="I63" s="60"/>
      <c r="J63" s="60"/>
      <c r="K63" s="60"/>
      <c r="L63" s="60"/>
      <c r="M63" s="60"/>
      <c r="N63" s="60"/>
      <c r="O63" s="60"/>
      <c r="Q63" s="2"/>
      <c r="R63" s="2"/>
      <c r="S63" s="2"/>
      <c r="T63" s="2"/>
      <c r="U63" s="2"/>
      <c r="V63" s="242"/>
      <c r="W63" s="1058"/>
      <c r="X63" s="1058"/>
      <c r="Y63" s="1058"/>
      <c r="Z63" s="1058"/>
      <c r="AA63" s="1138"/>
      <c r="AB63"/>
      <c r="AC63"/>
      <c r="AD63" s="2"/>
      <c r="AE63" s="2"/>
      <c r="AF63" s="2"/>
      <c r="AG63" s="2"/>
      <c r="AH63" s="2"/>
      <c r="AI63" s="242"/>
      <c r="AJ63" s="8"/>
      <c r="AK63" s="2"/>
    </row>
    <row r="64" spans="1:37" x14ac:dyDescent="0.3">
      <c r="A64" s="2"/>
      <c r="B64" s="1153"/>
      <c r="C64" s="1153"/>
      <c r="G64" s="60"/>
      <c r="H64" s="60"/>
      <c r="I64" s="60"/>
      <c r="J64" s="60"/>
      <c r="K64" s="60"/>
      <c r="L64" s="60"/>
      <c r="M64" s="60"/>
      <c r="N64" s="60"/>
      <c r="O64" s="60"/>
      <c r="AB64"/>
      <c r="AC64"/>
      <c r="AD64"/>
      <c r="AE64"/>
      <c r="AK64" s="2"/>
    </row>
    <row r="65" spans="1:37" s="168" customFormat="1" x14ac:dyDescent="0.3">
      <c r="A65" s="2"/>
      <c r="B65" s="1153"/>
      <c r="C65" s="1153"/>
      <c r="D65" s="2"/>
      <c r="E65" s="2"/>
      <c r="F65" s="2"/>
      <c r="G65" s="60"/>
      <c r="H65" s="60"/>
      <c r="I65" s="60"/>
      <c r="J65" s="60"/>
      <c r="K65" s="60"/>
      <c r="L65" s="60"/>
      <c r="M65" s="60"/>
      <c r="N65" s="60"/>
      <c r="O65" s="60"/>
      <c r="Q65" s="2"/>
      <c r="R65" s="2"/>
      <c r="S65" s="2"/>
      <c r="T65" s="2"/>
      <c r="U65" s="2"/>
      <c r="V65" s="242"/>
      <c r="W65" s="1058"/>
      <c r="X65" s="1058"/>
      <c r="Y65" s="1058"/>
      <c r="Z65" s="1058"/>
      <c r="AA65" s="1138"/>
      <c r="AB65"/>
      <c r="AC65" s="2"/>
      <c r="AD65" s="2"/>
      <c r="AE65" s="2"/>
      <c r="AF65" s="2"/>
      <c r="AG65" s="2"/>
      <c r="AH65" s="2"/>
      <c r="AI65" s="242"/>
      <c r="AJ65" s="8"/>
      <c r="AK65" s="2"/>
    </row>
    <row r="66" spans="1:37" x14ac:dyDescent="0.3">
      <c r="B66" s="1153"/>
      <c r="C66" s="1153"/>
      <c r="AB66" s="8"/>
    </row>
    <row r="67" spans="1:37" s="168" customFormat="1" x14ac:dyDescent="0.3">
      <c r="A67" s="2"/>
      <c r="B67" s="1153"/>
      <c r="C67" s="1153"/>
      <c r="D67" s="2"/>
      <c r="E67" s="2"/>
      <c r="F67" s="2"/>
      <c r="G67" s="60"/>
      <c r="H67" s="60"/>
      <c r="I67" s="60"/>
      <c r="J67" s="60"/>
      <c r="K67" s="60"/>
      <c r="L67" s="60"/>
      <c r="M67" s="60"/>
      <c r="N67" s="60"/>
      <c r="O67" s="60"/>
      <c r="Q67" s="2"/>
      <c r="R67" s="2"/>
      <c r="S67" s="2"/>
      <c r="T67" s="2"/>
      <c r="U67" s="2"/>
      <c r="V67" s="242"/>
      <c r="W67" s="1058"/>
      <c r="X67" s="1058"/>
      <c r="Y67" s="1058"/>
      <c r="Z67" s="1058"/>
      <c r="AA67" s="1138"/>
      <c r="AB67"/>
      <c r="AC67"/>
      <c r="AD67" s="2"/>
      <c r="AE67" s="2"/>
      <c r="AF67" s="2"/>
      <c r="AG67" s="2"/>
      <c r="AH67" s="2"/>
      <c r="AI67" s="242"/>
      <c r="AJ67" s="8"/>
      <c r="AK67" s="2"/>
    </row>
    <row r="68" spans="1:37" x14ac:dyDescent="0.3">
      <c r="B68" s="1153"/>
      <c r="C68" s="1153"/>
      <c r="AB68"/>
      <c r="AC68"/>
      <c r="AD68"/>
      <c r="AE68"/>
      <c r="AF68"/>
    </row>
    <row r="69" spans="1:37" x14ac:dyDescent="0.3">
      <c r="A69" s="2"/>
      <c r="G69" s="60"/>
      <c r="H69" s="60"/>
      <c r="I69" s="60"/>
      <c r="J69" s="60"/>
      <c r="K69" s="60"/>
      <c r="L69" s="60"/>
      <c r="M69" s="60"/>
      <c r="N69" s="60"/>
      <c r="O69" s="60"/>
      <c r="AK69" s="2"/>
    </row>
    <row r="72" spans="1:37" x14ac:dyDescent="0.3">
      <c r="I72" s="1026"/>
      <c r="J72" s="1026"/>
      <c r="K72" s="1026"/>
      <c r="L72" s="1026"/>
    </row>
    <row r="73" spans="1:37" x14ac:dyDescent="0.3">
      <c r="I73" s="428"/>
      <c r="J73" s="428"/>
      <c r="K73" s="428"/>
      <c r="L73" s="428"/>
    </row>
    <row r="74" spans="1:37" x14ac:dyDescent="0.3">
      <c r="I74" s="60"/>
      <c r="J74" s="60"/>
      <c r="K74" s="60"/>
      <c r="L74" s="60"/>
    </row>
    <row r="75" spans="1:37" x14ac:dyDescent="0.3">
      <c r="I75" s="1026"/>
      <c r="J75" s="1026"/>
      <c r="K75" s="1026"/>
      <c r="L75" s="1026"/>
    </row>
    <row r="76" spans="1:37" x14ac:dyDescent="0.3">
      <c r="I76" s="428"/>
      <c r="J76" s="428"/>
      <c r="K76" s="428"/>
      <c r="L76" s="428"/>
    </row>
    <row r="77" spans="1:37" x14ac:dyDescent="0.3">
      <c r="I77" s="60"/>
      <c r="J77" s="60"/>
      <c r="K77" s="60"/>
      <c r="L77" s="60"/>
    </row>
    <row r="78" spans="1:37" x14ac:dyDescent="0.3">
      <c r="I78" s="1026"/>
      <c r="J78" s="1026"/>
      <c r="K78" s="1026"/>
      <c r="L78" s="1026"/>
    </row>
    <row r="79" spans="1:37" x14ac:dyDescent="0.3">
      <c r="I79" s="428"/>
      <c r="J79" s="428"/>
      <c r="K79" s="428"/>
      <c r="L79" s="428"/>
    </row>
    <row r="80" spans="1:37" x14ac:dyDescent="0.3">
      <c r="I80" s="60"/>
      <c r="J80" s="60"/>
      <c r="K80" s="60"/>
      <c r="L80" s="60"/>
    </row>
    <row r="81" spans="9:12" x14ac:dyDescent="0.3">
      <c r="I81" s="1026"/>
      <c r="J81" s="1026"/>
      <c r="K81" s="1026"/>
      <c r="L81" s="1026"/>
    </row>
    <row r="82" spans="9:12" x14ac:dyDescent="0.3">
      <c r="I82" s="60"/>
      <c r="J82" s="60"/>
      <c r="K82" s="60"/>
      <c r="L82" s="60"/>
    </row>
    <row r="83" spans="9:12" x14ac:dyDescent="0.3">
      <c r="I83" s="60"/>
      <c r="J83" s="60"/>
      <c r="K83" s="60"/>
      <c r="L83" s="60"/>
    </row>
    <row r="84" spans="9:12" x14ac:dyDescent="0.3">
      <c r="I84" s="1026"/>
      <c r="J84" s="1026"/>
      <c r="K84" s="1026"/>
      <c r="L84" s="1026"/>
    </row>
    <row r="85" spans="9:12" x14ac:dyDescent="0.3">
      <c r="I85" s="428"/>
      <c r="J85" s="428"/>
      <c r="K85" s="428"/>
      <c r="L85" s="428"/>
    </row>
    <row r="86" spans="9:12" x14ac:dyDescent="0.3">
      <c r="I86" s="428"/>
      <c r="J86" s="428"/>
      <c r="K86" s="428"/>
      <c r="L86" s="428"/>
    </row>
    <row r="99" spans="1:8" ht="15" thickBot="1" x14ac:dyDescent="0.35"/>
    <row r="100" spans="1:8" x14ac:dyDescent="0.3">
      <c r="A100" s="1167" t="s">
        <v>6056</v>
      </c>
      <c r="B100" s="1168"/>
      <c r="C100" s="1168"/>
      <c r="D100" s="1168"/>
      <c r="E100" s="1168"/>
      <c r="F100" s="1168"/>
      <c r="G100" s="1169"/>
    </row>
    <row r="101" spans="1:8" ht="15" thickBot="1" x14ac:dyDescent="0.35">
      <c r="A101" s="201"/>
      <c r="B101" s="202" t="s">
        <v>16</v>
      </c>
      <c r="C101" s="202" t="s">
        <v>793</v>
      </c>
      <c r="D101" s="202" t="s">
        <v>794</v>
      </c>
      <c r="E101" s="202" t="s">
        <v>743</v>
      </c>
      <c r="F101" s="202" t="s">
        <v>796</v>
      </c>
      <c r="G101" s="203" t="s">
        <v>795</v>
      </c>
    </row>
    <row r="102" spans="1:8" x14ac:dyDescent="0.3">
      <c r="A102" s="204" t="s">
        <v>792</v>
      </c>
      <c r="B102" s="205">
        <f>B103+B104</f>
        <v>2</v>
      </c>
      <c r="C102" s="205">
        <f t="shared" ref="C102:E102" si="0">C103+C104</f>
        <v>0</v>
      </c>
      <c r="D102" s="205">
        <f t="shared" si="0"/>
        <v>1</v>
      </c>
      <c r="E102" s="205">
        <f t="shared" si="0"/>
        <v>10</v>
      </c>
      <c r="F102" s="589">
        <f>F103+F104</f>
        <v>7</v>
      </c>
      <c r="G102" s="274" t="str">
        <f>CONCATENATE(SUM(I3:I15),":",SUM(J3:J15))</f>
        <v>20:43</v>
      </c>
      <c r="H102" s="1026"/>
    </row>
    <row r="103" spans="1:8" x14ac:dyDescent="0.3">
      <c r="A103" s="198" t="s">
        <v>797</v>
      </c>
      <c r="B103" s="183">
        <v>1</v>
      </c>
      <c r="C103" s="183">
        <v>0</v>
      </c>
      <c r="D103" s="183">
        <v>0</v>
      </c>
      <c r="E103" s="183">
        <v>7</v>
      </c>
      <c r="F103" s="383">
        <f>B103*3+C103*2+D103</f>
        <v>3</v>
      </c>
      <c r="G103" s="400"/>
      <c r="H103" s="428"/>
    </row>
    <row r="104" spans="1:8" ht="15" thickBot="1" x14ac:dyDescent="0.35">
      <c r="A104" s="199" t="s">
        <v>798</v>
      </c>
      <c r="B104" s="200">
        <v>1</v>
      </c>
      <c r="C104" s="200">
        <v>0</v>
      </c>
      <c r="D104" s="200">
        <v>1</v>
      </c>
      <c r="E104" s="200">
        <v>3</v>
      </c>
      <c r="F104" s="384">
        <f>B104*3+C104*2+D104</f>
        <v>4</v>
      </c>
      <c r="G104" s="249"/>
      <c r="H104" s="60"/>
    </row>
    <row r="105" spans="1:8" x14ac:dyDescent="0.3">
      <c r="A105" s="594" t="s">
        <v>799</v>
      </c>
      <c r="B105" s="595">
        <f>B106+B107</f>
        <v>2</v>
      </c>
      <c r="C105" s="595">
        <f t="shared" ref="C105:E105" si="1">C106+C107</f>
        <v>2</v>
      </c>
      <c r="D105" s="595">
        <f t="shared" si="1"/>
        <v>1</v>
      </c>
      <c r="E105" s="595">
        <f t="shared" si="1"/>
        <v>8</v>
      </c>
      <c r="F105" s="910">
        <f>F106+F107</f>
        <v>11</v>
      </c>
      <c r="G105" s="591" t="str">
        <f>CONCATENATE(SUM(I16:I28),":",SUM(J16:J28))</f>
        <v>25:42</v>
      </c>
      <c r="H105" s="1026"/>
    </row>
    <row r="106" spans="1:8" x14ac:dyDescent="0.3">
      <c r="A106" s="198" t="s">
        <v>797</v>
      </c>
      <c r="B106" s="183">
        <v>2</v>
      </c>
      <c r="C106" s="183">
        <v>1</v>
      </c>
      <c r="D106" s="183">
        <v>0</v>
      </c>
      <c r="E106" s="183">
        <v>3</v>
      </c>
      <c r="F106" s="383">
        <f>B106*3+C106*2+D106</f>
        <v>8</v>
      </c>
      <c r="G106" s="400"/>
      <c r="H106" s="428"/>
    </row>
    <row r="107" spans="1:8" ht="15" thickBot="1" x14ac:dyDescent="0.35">
      <c r="A107" s="199" t="s">
        <v>798</v>
      </c>
      <c r="B107" s="200">
        <v>0</v>
      </c>
      <c r="C107" s="200">
        <v>1</v>
      </c>
      <c r="D107" s="200">
        <v>1</v>
      </c>
      <c r="E107" s="200">
        <v>5</v>
      </c>
      <c r="F107" s="384">
        <f>B107*3+C107*2+D107</f>
        <v>3</v>
      </c>
      <c r="G107" s="249"/>
      <c r="H107" s="60"/>
    </row>
    <row r="108" spans="1:8" x14ac:dyDescent="0.3">
      <c r="A108" s="594" t="s">
        <v>800</v>
      </c>
      <c r="B108" s="595">
        <f>B109+B110</f>
        <v>7</v>
      </c>
      <c r="C108" s="595">
        <f t="shared" ref="C108:E108" si="2">C109+C110</f>
        <v>0</v>
      </c>
      <c r="D108" s="595">
        <f t="shared" si="2"/>
        <v>2</v>
      </c>
      <c r="E108" s="595">
        <f t="shared" si="2"/>
        <v>4</v>
      </c>
      <c r="F108" s="595">
        <f>F109+F110</f>
        <v>23</v>
      </c>
      <c r="G108" s="591" t="str">
        <f>CONCATENATE(SUM(I29:I41),":",SUM(J29:J41))</f>
        <v>40:36</v>
      </c>
      <c r="H108" s="1026"/>
    </row>
    <row r="109" spans="1:8" x14ac:dyDescent="0.3">
      <c r="A109" s="198" t="s">
        <v>797</v>
      </c>
      <c r="B109" s="183">
        <v>6</v>
      </c>
      <c r="C109" s="183">
        <v>0</v>
      </c>
      <c r="D109" s="183">
        <v>0</v>
      </c>
      <c r="E109" s="183">
        <v>3</v>
      </c>
      <c r="F109" s="383">
        <f>B109*3+C109*2+D109</f>
        <v>18</v>
      </c>
      <c r="G109" s="400"/>
      <c r="H109" s="428"/>
    </row>
    <row r="110" spans="1:8" ht="15" thickBot="1" x14ac:dyDescent="0.35">
      <c r="A110" s="199" t="s">
        <v>798</v>
      </c>
      <c r="B110" s="200">
        <v>1</v>
      </c>
      <c r="C110" s="200">
        <v>0</v>
      </c>
      <c r="D110" s="200">
        <v>2</v>
      </c>
      <c r="E110" s="200">
        <v>1</v>
      </c>
      <c r="F110" s="384">
        <f>B110*3+C110*2+D110</f>
        <v>5</v>
      </c>
      <c r="G110" s="249"/>
      <c r="H110" s="60"/>
    </row>
    <row r="111" spans="1:8" x14ac:dyDescent="0.3">
      <c r="A111" s="204" t="s">
        <v>801</v>
      </c>
      <c r="B111" s="205">
        <f>B112+B113</f>
        <v>0</v>
      </c>
      <c r="C111" s="205">
        <f>C112+C113</f>
        <v>1</v>
      </c>
      <c r="D111" s="205">
        <f t="shared" ref="D111:E111" si="3">D112+D113</f>
        <v>0</v>
      </c>
      <c r="E111" s="205">
        <f t="shared" si="3"/>
        <v>7</v>
      </c>
      <c r="F111" s="205">
        <f>F112+F113</f>
        <v>2</v>
      </c>
      <c r="G111" s="274" t="str">
        <f>CONCATENATE(SUM(I42:I54),":",SUM(J42:J54))</f>
        <v>15:35</v>
      </c>
      <c r="H111" s="1026"/>
    </row>
    <row r="112" spans="1:8" x14ac:dyDescent="0.3">
      <c r="A112" s="198" t="s">
        <v>797</v>
      </c>
      <c r="B112" s="183">
        <v>0</v>
      </c>
      <c r="C112" s="183">
        <v>0</v>
      </c>
      <c r="D112" s="183">
        <v>0</v>
      </c>
      <c r="E112" s="183">
        <v>2</v>
      </c>
      <c r="F112" s="383">
        <f>B112*3+C112*2+D112</f>
        <v>0</v>
      </c>
      <c r="G112" s="229"/>
      <c r="H112" s="60"/>
    </row>
    <row r="113" spans="1:8" ht="15" thickBot="1" x14ac:dyDescent="0.35">
      <c r="A113" s="592" t="s">
        <v>798</v>
      </c>
      <c r="B113" s="202">
        <v>0</v>
      </c>
      <c r="C113" s="202">
        <v>1</v>
      </c>
      <c r="D113" s="202">
        <v>0</v>
      </c>
      <c r="E113" s="202">
        <v>5</v>
      </c>
      <c r="F113" s="593">
        <f t="shared" ref="F113" si="4">B113*3+C113*2+D113</f>
        <v>2</v>
      </c>
      <c r="G113" s="590"/>
      <c r="H113" s="60"/>
    </row>
    <row r="114" spans="1:8" x14ac:dyDescent="0.3">
      <c r="A114" s="220" t="s">
        <v>804</v>
      </c>
      <c r="B114" s="221">
        <f>B102+B105+B108+B111</f>
        <v>11</v>
      </c>
      <c r="C114" s="221">
        <f t="shared" ref="C114:D116" si="5">C102+C105+C108+C111</f>
        <v>3</v>
      </c>
      <c r="D114" s="221">
        <f t="shared" si="5"/>
        <v>4</v>
      </c>
      <c r="E114" s="221">
        <f>E102+E105+E108+E111</f>
        <v>29</v>
      </c>
      <c r="F114" s="563">
        <f>B114*3+C114*2+D114</f>
        <v>43</v>
      </c>
      <c r="G114" s="274" t="str">
        <f>CONCATENATE(SUM(I3:I54),":",SUM(J3:J54))</f>
        <v>100:156</v>
      </c>
      <c r="H114" s="1026"/>
    </row>
    <row r="115" spans="1:8" x14ac:dyDescent="0.3">
      <c r="A115" s="223" t="s">
        <v>797</v>
      </c>
      <c r="B115" s="224">
        <f>B103+B106+B109+B112</f>
        <v>9</v>
      </c>
      <c r="C115" s="224">
        <f t="shared" si="5"/>
        <v>1</v>
      </c>
      <c r="D115" s="224">
        <f t="shared" si="5"/>
        <v>0</v>
      </c>
      <c r="E115" s="224">
        <f>E103+E106+E109+E112</f>
        <v>15</v>
      </c>
      <c r="F115" s="256">
        <f>B115*3+C115*2+D115</f>
        <v>29</v>
      </c>
      <c r="G115" s="400"/>
      <c r="H115" s="428"/>
    </row>
    <row r="116" spans="1:8" ht="15" thickBot="1" x14ac:dyDescent="0.35">
      <c r="A116" s="226" t="s">
        <v>798</v>
      </c>
      <c r="B116" s="227">
        <f>B104+B107+B110+B113</f>
        <v>2</v>
      </c>
      <c r="C116" s="227">
        <f t="shared" si="5"/>
        <v>2</v>
      </c>
      <c r="D116" s="227">
        <f t="shared" si="5"/>
        <v>4</v>
      </c>
      <c r="E116" s="227">
        <f>E104+E107+E110+E113</f>
        <v>14</v>
      </c>
      <c r="F116" s="258">
        <f>B116*3+C116*2+D116</f>
        <v>14</v>
      </c>
      <c r="G116" s="400"/>
      <c r="H116" s="428"/>
    </row>
    <row r="118" spans="1:8" ht="15" thickBot="1" x14ac:dyDescent="0.35"/>
    <row r="119" spans="1:8" ht="15" thickBot="1" x14ac:dyDescent="0.35">
      <c r="C119" s="382" t="s">
        <v>6174</v>
      </c>
      <c r="D119" s="398" t="s">
        <v>5588</v>
      </c>
    </row>
    <row r="120" spans="1:8" x14ac:dyDescent="0.3">
      <c r="C120" s="1048" t="str" cm="1">
        <f t="array" ref="C120:C150">_xlfn.UNIQUE(Zapasy20252026[Výsledek pro LIT])</f>
        <v>2:4</v>
      </c>
      <c r="D120" s="2">
        <f>COUNTIF(Zapasy20252026[Výsledek pro LIT], C120)</f>
        <v>1</v>
      </c>
    </row>
    <row r="121" spans="1:8" x14ac:dyDescent="0.3">
      <c r="C121" s="2" t="str">
        <v>0:4</v>
      </c>
      <c r="D121" s="2">
        <f>COUNTIF(Zapasy20252026[Výsledek pro LIT], C121)</f>
        <v>1</v>
      </c>
    </row>
    <row r="122" spans="1:8" x14ac:dyDescent="0.3">
      <c r="C122" s="2" t="str">
        <v>0:3</v>
      </c>
      <c r="D122" s="2">
        <f>COUNTIF(Zapasy20252026[Výsledek pro LIT], C122)</f>
        <v>2</v>
      </c>
    </row>
    <row r="123" spans="1:8" x14ac:dyDescent="0.3">
      <c r="C123" s="2" t="str">
        <v>4:2</v>
      </c>
      <c r="D123" s="2">
        <f>COUNTIF(Zapasy20252026[Výsledek pro LIT], C123)</f>
        <v>2</v>
      </c>
    </row>
    <row r="124" spans="1:8" x14ac:dyDescent="0.3">
      <c r="C124" s="2" t="str">
        <v>1:5</v>
      </c>
      <c r="D124" s="2">
        <f>COUNTIF(Zapasy20252026[Výsledek pro LIT], C124)</f>
        <v>2</v>
      </c>
    </row>
    <row r="125" spans="1:8" x14ac:dyDescent="0.3">
      <c r="C125" s="2" t="str">
        <v>0:2</v>
      </c>
      <c r="D125" s="2">
        <f>COUNTIF(Zapasy20252026[Výsledek pro LIT], C125)</f>
        <v>1</v>
      </c>
    </row>
    <row r="126" spans="1:8" x14ac:dyDescent="0.3">
      <c r="C126" s="2" t="str">
        <v>3:6</v>
      </c>
      <c r="D126" s="2">
        <f>COUNTIF(Zapasy20252026[Výsledek pro LIT], C126)</f>
        <v>2</v>
      </c>
      <c r="F126" s="1049" t="s">
        <v>6151</v>
      </c>
      <c r="G126" s="2" t="str">
        <f>LEFT(F126,1)</f>
        <v>1</v>
      </c>
    </row>
    <row r="127" spans="1:8" x14ac:dyDescent="0.3">
      <c r="C127" s="2" t="str">
        <v>1:2pp</v>
      </c>
      <c r="D127" s="2">
        <f>COUNTIF(Zapasy20252026[Výsledek pro LIT], C127)</f>
        <v>1</v>
      </c>
      <c r="F127" s="1050" t="s">
        <v>161</v>
      </c>
      <c r="G127" s="2" t="str">
        <f>IF(RIGHT(F127,2)="pp","ANO",IF(RIGHT(F127,2)="sn","ANO","NE"))</f>
        <v>ANO</v>
      </c>
    </row>
    <row r="128" spans="1:8" x14ac:dyDescent="0.3">
      <c r="C128" s="2" t="str">
        <v>1:2</v>
      </c>
      <c r="D128" s="2">
        <f>COUNTIF(Zapasy20252026[Výsledek pro LIT], C128)</f>
        <v>3</v>
      </c>
      <c r="F128" s="2" t="str">
        <f>MID(F127,3,1)</f>
        <v>3</v>
      </c>
    </row>
    <row r="129" spans="3:4" x14ac:dyDescent="0.3">
      <c r="C129" s="2" t="str">
        <v>1:3</v>
      </c>
      <c r="D129" s="2">
        <f>COUNTIF(Zapasy20252026[Výsledek pro LIT], C129)</f>
        <v>3</v>
      </c>
    </row>
    <row r="130" spans="3:4" x14ac:dyDescent="0.3">
      <c r="C130" s="2" t="str">
        <v>2:5</v>
      </c>
      <c r="D130" s="2">
        <f>COUNTIF(Zapasy20252026[Výsledek pro LIT], C130)</f>
        <v>2</v>
      </c>
    </row>
    <row r="131" spans="3:4" x14ac:dyDescent="0.3">
      <c r="C131" s="2" t="str">
        <v>2:8</v>
      </c>
      <c r="D131" s="2">
        <f>COUNTIF(Zapasy20252026[Výsledek pro LIT], C131)</f>
        <v>1</v>
      </c>
    </row>
    <row r="132" spans="3:4" x14ac:dyDescent="0.3">
      <c r="C132" s="2" t="str">
        <v>2:3</v>
      </c>
      <c r="D132" s="2">
        <f>COUNTIF(Zapasy20252026[Výsledek pro LIT], C132)</f>
        <v>3</v>
      </c>
    </row>
    <row r="133" spans="3:4" x14ac:dyDescent="0.3">
      <c r="C133" s="2" t="str">
        <v>4:3pp</v>
      </c>
      <c r="D133" s="2">
        <f>COUNTIF(Zapasy20252026[Výsledek pro LIT], C133)</f>
        <v>1</v>
      </c>
    </row>
    <row r="134" spans="3:4" x14ac:dyDescent="0.3">
      <c r="C134" s="2" t="str">
        <v>1:0</v>
      </c>
      <c r="D134" s="2">
        <f>COUNTIF(Zapasy20252026[Výsledek pro LIT], C134)</f>
        <v>1</v>
      </c>
    </row>
    <row r="135" spans="3:4" x14ac:dyDescent="0.3">
      <c r="C135" s="2" t="str">
        <v>3:2pp</v>
      </c>
      <c r="D135" s="2">
        <f>COUNTIF(Zapasy20252026[Výsledek pro LIT], C135)</f>
        <v>1</v>
      </c>
    </row>
    <row r="136" spans="3:4" x14ac:dyDescent="0.3">
      <c r="C136" s="2" t="str">
        <v>1:4</v>
      </c>
      <c r="D136" s="2">
        <f>COUNTIF(Zapasy20252026[Výsledek pro LIT], C136)</f>
        <v>3</v>
      </c>
    </row>
    <row r="137" spans="3:4" x14ac:dyDescent="0.3">
      <c r="C137" s="2" t="str">
        <v>2:7</v>
      </c>
      <c r="D137" s="2">
        <f>COUNTIF(Zapasy20252026[Výsledek pro LIT], C137)</f>
        <v>2</v>
      </c>
    </row>
    <row r="138" spans="3:4" x14ac:dyDescent="0.3">
      <c r="C138" s="2" t="str">
        <v>5:2</v>
      </c>
      <c r="D138" s="2">
        <f>COUNTIF(Zapasy20252026[Výsledek pro LIT], C138)</f>
        <v>1</v>
      </c>
    </row>
    <row r="139" spans="3:4" x14ac:dyDescent="0.3">
      <c r="C139" s="2" t="str">
        <v>1:2sn</v>
      </c>
      <c r="D139" s="2">
        <f>COUNTIF(Zapasy20252026[Výsledek pro LIT], C139)</f>
        <v>1</v>
      </c>
    </row>
    <row r="140" spans="3:4" x14ac:dyDescent="0.3">
      <c r="C140" s="2" t="str">
        <v>6:2</v>
      </c>
      <c r="D140" s="2">
        <f>COUNTIF(Zapasy20252026[Výsledek pro LIT], C140)</f>
        <v>1</v>
      </c>
    </row>
    <row r="141" spans="3:4" x14ac:dyDescent="0.3">
      <c r="C141" s="2" t="str">
        <v>3:2</v>
      </c>
      <c r="D141" s="2">
        <f>COUNTIF(Zapasy20252026[Výsledek pro LIT], C141)</f>
        <v>3</v>
      </c>
    </row>
    <row r="142" spans="3:4" x14ac:dyDescent="0.3">
      <c r="C142" s="2" t="str">
        <v>3:4pp</v>
      </c>
      <c r="D142" s="2">
        <f>COUNTIF(Zapasy20252026[Výsledek pro LIT], C142)</f>
        <v>1</v>
      </c>
    </row>
    <row r="143" spans="3:4" x14ac:dyDescent="0.3">
      <c r="C143" s="2" t="str">
        <v>6:1</v>
      </c>
      <c r="D143" s="2">
        <f>COUNTIF(Zapasy20252026[Výsledek pro LIT], C143)</f>
        <v>1</v>
      </c>
    </row>
    <row r="144" spans="3:4" x14ac:dyDescent="0.3">
      <c r="C144" s="2" t="str">
        <v>4:1</v>
      </c>
      <c r="D144" s="2">
        <f>COUNTIF(Zapasy20252026[Výsledek pro LIT], C144)</f>
        <v>2</v>
      </c>
    </row>
    <row r="145" spans="2:4" x14ac:dyDescent="0.3">
      <c r="C145" s="2" t="str">
        <v>1:8</v>
      </c>
      <c r="D145" s="2">
        <f>COUNTIF(Zapasy20252026[Výsledek pro LIT], C145)</f>
        <v>1</v>
      </c>
    </row>
    <row r="146" spans="2:4" x14ac:dyDescent="0.3">
      <c r="C146" s="2" t="str">
        <v>2:3pp</v>
      </c>
      <c r="D146" s="2">
        <f>COUNTIF(Zapasy20252026[Výsledek pro LIT], C146)</f>
        <v>1</v>
      </c>
    </row>
    <row r="147" spans="2:4" x14ac:dyDescent="0.3">
      <c r="C147" s="2" t="str">
        <v>4:3sn</v>
      </c>
      <c r="D147" s="2">
        <f>COUNTIF(Zapasy20252026[Výsledek pro LIT], C147)</f>
        <v>1</v>
      </c>
    </row>
    <row r="148" spans="2:4" x14ac:dyDescent="0.3">
      <c r="C148" s="2" t="str">
        <v>3:5</v>
      </c>
      <c r="D148" s="2">
        <f>COUNTIF(Zapasy20252026[Výsledek pro LIT], C148)</f>
        <v>1</v>
      </c>
    </row>
    <row r="149" spans="2:4" x14ac:dyDescent="0.3">
      <c r="C149" s="2" t="str">
        <v>0:1</v>
      </c>
      <c r="D149" s="2">
        <f>COUNTIF(Zapasy20252026[Výsledek pro LIT], C149)</f>
        <v>1</v>
      </c>
    </row>
    <row r="150" spans="2:4" x14ac:dyDescent="0.3">
      <c r="C150" s="2">
        <v>0</v>
      </c>
    </row>
    <row r="160" spans="2:4" x14ac:dyDescent="0.3">
      <c r="B160" t="s">
        <v>6059</v>
      </c>
      <c r="C160" s="2" t="s">
        <v>6060</v>
      </c>
      <c r="D160" s="2" t="s">
        <v>6061</v>
      </c>
    </row>
    <row r="161" spans="1:5" x14ac:dyDescent="0.3">
      <c r="A161" s="2" t="s">
        <v>6063</v>
      </c>
      <c r="B161" s="1061"/>
    </row>
    <row r="162" spans="1:5" x14ac:dyDescent="0.3">
      <c r="A162" s="2" t="s">
        <v>6064</v>
      </c>
      <c r="E162" s="244"/>
    </row>
    <row r="173" spans="1:5" ht="15" thickBot="1" x14ac:dyDescent="0.35"/>
    <row r="174" spans="1:5" ht="15" thickBot="1" x14ac:dyDescent="0.35">
      <c r="B174" s="789"/>
      <c r="C174" s="380" t="s">
        <v>3438</v>
      </c>
      <c r="D174" s="240" t="s">
        <v>3437</v>
      </c>
    </row>
    <row r="175" spans="1:5" x14ac:dyDescent="0.3">
      <c r="B175" s="121" t="s">
        <v>5836</v>
      </c>
      <c r="C175" s="587">
        <v>0.375</v>
      </c>
      <c r="D175" s="792">
        <v>0.39285714285714285</v>
      </c>
    </row>
    <row r="176" spans="1:5" x14ac:dyDescent="0.3">
      <c r="B176" s="121" t="s">
        <v>5293</v>
      </c>
      <c r="C176" s="587">
        <v>0.5636363636363636</v>
      </c>
      <c r="D176" s="792">
        <v>0.47272727272727272</v>
      </c>
    </row>
    <row r="177" spans="2:4" x14ac:dyDescent="0.3">
      <c r="B177" s="121" t="s">
        <v>4708</v>
      </c>
      <c r="C177" s="587">
        <v>0.4</v>
      </c>
      <c r="D177" s="792">
        <v>0.45454545454545453</v>
      </c>
    </row>
    <row r="178" spans="2:4" x14ac:dyDescent="0.3">
      <c r="B178" s="121" t="s">
        <v>4409</v>
      </c>
      <c r="C178" s="587">
        <v>0.5178571428571429</v>
      </c>
      <c r="D178" s="792">
        <v>0.5892857142857143</v>
      </c>
    </row>
    <row r="179" spans="2:4" x14ac:dyDescent="0.3">
      <c r="B179" s="121" t="s">
        <v>4410</v>
      </c>
      <c r="C179" s="587">
        <v>0.38181818181818183</v>
      </c>
      <c r="D179" s="792">
        <v>0.47272727272727272</v>
      </c>
    </row>
    <row r="180" spans="2:4" x14ac:dyDescent="0.3">
      <c r="B180" s="121" t="s">
        <v>4411</v>
      </c>
      <c r="C180" s="587">
        <v>0.51923076923076927</v>
      </c>
      <c r="D180" s="792">
        <v>0.55769230769230771</v>
      </c>
    </row>
    <row r="181" spans="2:4" x14ac:dyDescent="0.3">
      <c r="B181" s="121" t="s">
        <v>4412</v>
      </c>
      <c r="C181" s="587">
        <v>0.38461538461538464</v>
      </c>
      <c r="D181" s="792">
        <v>0.53846153846153844</v>
      </c>
    </row>
    <row r="182" spans="2:4" ht="15" thickBot="1" x14ac:dyDescent="0.35">
      <c r="B182" s="790" t="s">
        <v>4413</v>
      </c>
      <c r="C182" s="791">
        <v>0.375</v>
      </c>
      <c r="D182" s="396">
        <v>0.609375</v>
      </c>
    </row>
    <row r="183" spans="2:4" ht="15" thickBot="1" x14ac:dyDescent="0.35">
      <c r="B183" s="240" t="s">
        <v>5592</v>
      </c>
      <c r="C183" s="918">
        <v>0.2982456140350877</v>
      </c>
      <c r="D183" s="918">
        <v>0.38596491228070173</v>
      </c>
    </row>
    <row r="184" spans="2:4" ht="15" thickBot="1" x14ac:dyDescent="0.35">
      <c r="B184" s="240" t="s">
        <v>5398</v>
      </c>
      <c r="C184" s="918">
        <v>0.55072463768115898</v>
      </c>
      <c r="D184" s="918">
        <v>0.28985507246376802</v>
      </c>
    </row>
  </sheetData>
  <mergeCells count="11">
    <mergeCell ref="A100:G100"/>
    <mergeCell ref="AB1:AI1"/>
    <mergeCell ref="B68:C68"/>
    <mergeCell ref="B63:C63"/>
    <mergeCell ref="B64:C64"/>
    <mergeCell ref="B65:C65"/>
    <mergeCell ref="B66:C66"/>
    <mergeCell ref="B67:C67"/>
    <mergeCell ref="P1:Q1"/>
    <mergeCell ref="R1:S1"/>
    <mergeCell ref="T1:V1"/>
  </mergeCells>
  <phoneticPr fontId="79" type="noConversion"/>
  <conditionalFormatting sqref="D101 E103:E104 E106:E107 E109:E110 E112:E113">
    <cfRule type="cellIs" dxfId="84" priority="2" operator="equal">
      <formula>"ne"</formula>
    </cfRule>
    <cfRule type="cellIs" dxfId="83" priority="3" operator="equal">
      <formula>"pá"</formula>
    </cfRule>
  </conditionalFormatting>
  <conditionalFormatting sqref="F3:F61 F63:F69 E101">
    <cfRule type="cellIs" dxfId="82" priority="4" operator="equal">
      <formula>"D"</formula>
    </cfRule>
  </conditionalFormatting>
  <conditionalFormatting sqref="F103:F104 F106:F107 F109:F110 F112:F125">
    <cfRule type="cellIs" dxfId="81" priority="1" operator="equal">
      <formula>"D"</formula>
    </cfRule>
  </conditionalFormatting>
  <conditionalFormatting sqref="F128:F204">
    <cfRule type="cellIs" dxfId="80" priority="5" operator="equal">
      <formula>"D"</formula>
    </cfRule>
  </conditionalFormatting>
  <conditionalFormatting sqref="G16:L16 G20:L21">
    <cfRule type="cellIs" dxfId="79" priority="6" operator="equal">
      <formula>"D"</formula>
    </cfRule>
  </conditionalFormatting>
  <pageMargins left="0.7" right="0.7" top="0.78740157499999996" bottom="0.78740157499999996" header="0.3" footer="0.3"/>
  <pageSetup orientation="portrait" r:id="rId1"/>
  <drawing r:id="rId2"/>
  <tableParts count="1">
    <tablePart r:id="rId3"/>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D2E86-D58A-44D3-B9FC-F3635E47FCE9}">
  <dimension ref="A1:AK457"/>
  <sheetViews>
    <sheetView topLeftCell="A428" workbookViewId="0">
      <selection activeCell="K449" sqref="K449"/>
    </sheetView>
  </sheetViews>
  <sheetFormatPr defaultRowHeight="14.4" x14ac:dyDescent="0.3"/>
  <cols>
    <col min="1" max="1" width="12" bestFit="1" customWidth="1"/>
    <col min="2" max="2" width="10.6640625" bestFit="1" customWidth="1"/>
    <col min="3" max="3" width="9.33203125" bestFit="1" customWidth="1"/>
    <col min="4" max="4" width="10.109375" bestFit="1" customWidth="1"/>
    <col min="5" max="5" width="13.88671875" bestFit="1" customWidth="1"/>
    <col min="6" max="6" width="15.109375" bestFit="1" customWidth="1"/>
    <col min="7" max="7" width="17.109375" bestFit="1" customWidth="1"/>
    <col min="8" max="8" width="10.6640625" bestFit="1" customWidth="1"/>
    <col min="9" max="9" width="9.88671875" bestFit="1" customWidth="1"/>
    <col min="10" max="10" width="13.33203125" bestFit="1" customWidth="1"/>
    <col min="11" max="11" width="17.109375" bestFit="1" customWidth="1"/>
    <col min="12" max="12" width="20.6640625" bestFit="1" customWidth="1"/>
    <col min="13" max="13" width="13.5546875" bestFit="1" customWidth="1"/>
    <col min="14" max="14" width="16.33203125" bestFit="1" customWidth="1"/>
    <col min="15" max="15" width="14.5546875" bestFit="1" customWidth="1"/>
    <col min="16" max="16" width="17.44140625" bestFit="1" customWidth="1"/>
    <col min="17" max="17" width="16" bestFit="1" customWidth="1"/>
    <col min="18" max="18" width="22.88671875" bestFit="1" customWidth="1"/>
    <col min="19" max="19" width="21.44140625" bestFit="1" customWidth="1"/>
    <col min="20" max="20" width="17.109375" bestFit="1" customWidth="1"/>
    <col min="21" max="21" width="15.5546875" bestFit="1" customWidth="1"/>
    <col min="22" max="22" width="14.109375" bestFit="1" customWidth="1"/>
    <col min="23" max="25" width="10.6640625" bestFit="1" customWidth="1"/>
    <col min="26" max="26" width="12.5546875" bestFit="1" customWidth="1"/>
    <col min="27" max="27" width="45.109375" bestFit="1" customWidth="1"/>
    <col min="28" max="28" width="74.5546875" bestFit="1" customWidth="1"/>
    <col min="29" max="29" width="73.6640625" bestFit="1" customWidth="1"/>
    <col min="30" max="30" width="77.44140625" bestFit="1" customWidth="1"/>
    <col min="31" max="31" width="72.6640625" bestFit="1" customWidth="1"/>
    <col min="32" max="32" width="63.109375" bestFit="1" customWidth="1"/>
    <col min="33" max="33" width="65.109375" bestFit="1" customWidth="1"/>
    <col min="34" max="34" width="55.33203125" bestFit="1" customWidth="1"/>
    <col min="35" max="35" width="51.6640625" bestFit="1" customWidth="1"/>
    <col min="36" max="37" width="80.88671875" bestFit="1" customWidth="1"/>
  </cols>
  <sheetData>
    <row r="1" spans="1:37" x14ac:dyDescent="0.3">
      <c r="A1" t="s">
        <v>1053</v>
      </c>
      <c r="B1" t="s">
        <v>785</v>
      </c>
      <c r="C1" t="s">
        <v>14</v>
      </c>
      <c r="D1" t="s">
        <v>11</v>
      </c>
      <c r="E1" t="s">
        <v>15</v>
      </c>
      <c r="F1" t="s">
        <v>13</v>
      </c>
      <c r="G1" t="s">
        <v>157</v>
      </c>
      <c r="H1" t="s">
        <v>1047</v>
      </c>
      <c r="I1" t="s">
        <v>6063</v>
      </c>
      <c r="J1" t="s">
        <v>6064</v>
      </c>
      <c r="K1" t="s">
        <v>6177</v>
      </c>
      <c r="L1" t="s">
        <v>6178</v>
      </c>
      <c r="M1" t="s">
        <v>707</v>
      </c>
      <c r="N1" t="s">
        <v>708</v>
      </c>
      <c r="O1" t="s">
        <v>759</v>
      </c>
      <c r="P1" t="s">
        <v>6180</v>
      </c>
      <c r="Q1" t="s">
        <v>6181</v>
      </c>
      <c r="R1" t="s">
        <v>6182</v>
      </c>
      <c r="S1" t="s">
        <v>6183</v>
      </c>
      <c r="T1" t="s">
        <v>6184</v>
      </c>
      <c r="U1" t="s">
        <v>6185</v>
      </c>
      <c r="V1" t="s">
        <v>6186</v>
      </c>
      <c r="W1" t="s">
        <v>6059</v>
      </c>
      <c r="X1" t="s">
        <v>6060</v>
      </c>
      <c r="Y1" t="s">
        <v>6061</v>
      </c>
      <c r="Z1" t="s">
        <v>6062</v>
      </c>
      <c r="AA1" t="s">
        <v>698</v>
      </c>
      <c r="AB1" t="s">
        <v>699</v>
      </c>
      <c r="AC1" t="s">
        <v>700</v>
      </c>
      <c r="AD1" t="s">
        <v>701</v>
      </c>
      <c r="AE1" t="s">
        <v>702</v>
      </c>
      <c r="AF1" t="s">
        <v>703</v>
      </c>
      <c r="AG1" t="s">
        <v>704</v>
      </c>
      <c r="AH1" t="s">
        <v>854</v>
      </c>
      <c r="AI1" t="s">
        <v>5166</v>
      </c>
      <c r="AJ1" t="s">
        <v>3878</v>
      </c>
      <c r="AK1" t="s">
        <v>4614</v>
      </c>
    </row>
    <row r="2" spans="1:37" x14ac:dyDescent="0.3">
      <c r="A2" t="s">
        <v>6200</v>
      </c>
      <c r="B2">
        <v>1</v>
      </c>
      <c r="C2" t="s">
        <v>6284</v>
      </c>
      <c r="D2" s="1032">
        <v>43357</v>
      </c>
      <c r="E2" t="s">
        <v>6086</v>
      </c>
      <c r="F2" t="s">
        <v>16</v>
      </c>
      <c r="G2" t="s">
        <v>6192</v>
      </c>
      <c r="H2" t="s">
        <v>16</v>
      </c>
      <c r="I2">
        <v>4</v>
      </c>
      <c r="J2">
        <v>3</v>
      </c>
      <c r="K2">
        <v>4</v>
      </c>
      <c r="L2">
        <v>3</v>
      </c>
      <c r="M2">
        <v>5</v>
      </c>
      <c r="N2">
        <v>3</v>
      </c>
      <c r="O2">
        <v>3</v>
      </c>
      <c r="P2">
        <v>0</v>
      </c>
      <c r="Q2">
        <v>1</v>
      </c>
      <c r="R2">
        <v>1</v>
      </c>
      <c r="S2">
        <v>1</v>
      </c>
      <c r="T2">
        <v>4</v>
      </c>
      <c r="U2">
        <v>5</v>
      </c>
      <c r="V2">
        <v>3552</v>
      </c>
      <c r="W2" t="s">
        <v>6118</v>
      </c>
      <c r="X2" t="s">
        <v>6194</v>
      </c>
      <c r="Y2" t="s">
        <v>6188</v>
      </c>
      <c r="AA2" t="s">
        <v>746</v>
      </c>
      <c r="AB2" t="s">
        <v>994</v>
      </c>
      <c r="AC2" t="s">
        <v>753</v>
      </c>
      <c r="AD2" t="s">
        <v>754</v>
      </c>
      <c r="AE2" t="s">
        <v>755</v>
      </c>
      <c r="AK2" t="s">
        <v>1117</v>
      </c>
    </row>
    <row r="3" spans="1:37" x14ac:dyDescent="0.3">
      <c r="A3" t="s">
        <v>6200</v>
      </c>
      <c r="B3">
        <v>2</v>
      </c>
      <c r="C3" t="s">
        <v>6233</v>
      </c>
      <c r="D3" s="1032">
        <v>43359</v>
      </c>
      <c r="E3" t="s">
        <v>326</v>
      </c>
      <c r="F3" t="s">
        <v>17</v>
      </c>
      <c r="G3" t="s">
        <v>6133</v>
      </c>
      <c r="H3" t="s">
        <v>16</v>
      </c>
      <c r="I3">
        <v>5</v>
      </c>
      <c r="J3">
        <v>2</v>
      </c>
      <c r="K3">
        <v>4</v>
      </c>
      <c r="L3">
        <v>2</v>
      </c>
      <c r="M3">
        <v>1</v>
      </c>
      <c r="N3">
        <v>3</v>
      </c>
      <c r="O3">
        <v>6</v>
      </c>
      <c r="P3">
        <v>1</v>
      </c>
      <c r="Q3">
        <v>0</v>
      </c>
      <c r="R3">
        <v>0</v>
      </c>
      <c r="S3">
        <v>2</v>
      </c>
      <c r="T3">
        <v>4</v>
      </c>
      <c r="U3">
        <v>5</v>
      </c>
      <c r="V3">
        <v>5725</v>
      </c>
      <c r="W3" t="s">
        <v>6089</v>
      </c>
      <c r="X3" t="s">
        <v>6187</v>
      </c>
      <c r="Y3" t="s">
        <v>6118</v>
      </c>
      <c r="AA3" t="s">
        <v>747</v>
      </c>
      <c r="AB3" t="s">
        <v>750</v>
      </c>
      <c r="AC3" t="s">
        <v>749</v>
      </c>
      <c r="AD3" t="s">
        <v>751</v>
      </c>
      <c r="AE3" t="s">
        <v>752</v>
      </c>
      <c r="AF3" t="s">
        <v>765</v>
      </c>
      <c r="AK3" t="s">
        <v>744</v>
      </c>
    </row>
    <row r="4" spans="1:37" x14ac:dyDescent="0.3">
      <c r="A4" t="s">
        <v>6200</v>
      </c>
      <c r="B4">
        <v>3</v>
      </c>
      <c r="C4" t="s">
        <v>6234</v>
      </c>
      <c r="D4" s="1032">
        <v>43364</v>
      </c>
      <c r="E4" t="s">
        <v>327</v>
      </c>
      <c r="F4" t="s">
        <v>16</v>
      </c>
      <c r="G4" t="s">
        <v>6137</v>
      </c>
      <c r="H4" t="s">
        <v>16</v>
      </c>
      <c r="I4">
        <v>6</v>
      </c>
      <c r="J4">
        <v>2</v>
      </c>
      <c r="K4">
        <v>6</v>
      </c>
      <c r="L4">
        <v>2</v>
      </c>
      <c r="M4">
        <v>1</v>
      </c>
      <c r="N4">
        <v>6</v>
      </c>
      <c r="O4">
        <v>9</v>
      </c>
      <c r="P4">
        <v>2</v>
      </c>
      <c r="Q4">
        <v>0</v>
      </c>
      <c r="R4">
        <v>0</v>
      </c>
      <c r="S4">
        <v>0</v>
      </c>
      <c r="T4">
        <v>3</v>
      </c>
      <c r="U4">
        <v>3</v>
      </c>
      <c r="V4">
        <v>7305</v>
      </c>
      <c r="W4" t="s">
        <v>6110</v>
      </c>
      <c r="X4" t="s">
        <v>6120</v>
      </c>
      <c r="Y4" t="s">
        <v>6194</v>
      </c>
      <c r="AA4" t="s">
        <v>745</v>
      </c>
      <c r="AB4" t="s">
        <v>764</v>
      </c>
      <c r="AC4" t="s">
        <v>766</v>
      </c>
      <c r="AD4" t="s">
        <v>767</v>
      </c>
      <c r="AE4" t="s">
        <v>768</v>
      </c>
      <c r="AF4" t="s">
        <v>769</v>
      </c>
      <c r="AG4" t="s">
        <v>770</v>
      </c>
      <c r="AK4" t="s">
        <v>762</v>
      </c>
    </row>
    <row r="5" spans="1:37" x14ac:dyDescent="0.3">
      <c r="A5" t="s">
        <v>6200</v>
      </c>
      <c r="B5">
        <v>4</v>
      </c>
      <c r="C5" t="s">
        <v>6283</v>
      </c>
      <c r="D5" s="1032">
        <v>43366</v>
      </c>
      <c r="E5" t="s">
        <v>612</v>
      </c>
      <c r="F5" t="s">
        <v>17</v>
      </c>
      <c r="G5" t="s">
        <v>6148</v>
      </c>
      <c r="H5" t="s">
        <v>16</v>
      </c>
      <c r="I5">
        <v>4</v>
      </c>
      <c r="J5">
        <v>1</v>
      </c>
      <c r="K5">
        <v>4</v>
      </c>
      <c r="L5">
        <v>1</v>
      </c>
      <c r="M5">
        <v>1</v>
      </c>
      <c r="N5">
        <v>6</v>
      </c>
      <c r="O5">
        <v>12</v>
      </c>
      <c r="P5">
        <v>2</v>
      </c>
      <c r="Q5">
        <v>0</v>
      </c>
      <c r="R5">
        <v>0</v>
      </c>
      <c r="S5">
        <v>0</v>
      </c>
      <c r="T5">
        <v>7</v>
      </c>
      <c r="U5">
        <v>5</v>
      </c>
      <c r="V5">
        <v>6011</v>
      </c>
      <c r="W5" t="s">
        <v>6120</v>
      </c>
      <c r="X5" t="s">
        <v>6118</v>
      </c>
      <c r="Y5" t="s">
        <v>6120</v>
      </c>
      <c r="AA5" t="s">
        <v>748</v>
      </c>
      <c r="AB5" t="s">
        <v>771</v>
      </c>
      <c r="AC5" t="s">
        <v>773</v>
      </c>
      <c r="AD5" t="s">
        <v>772</v>
      </c>
      <c r="AE5" t="s">
        <v>774</v>
      </c>
      <c r="AK5" t="s">
        <v>763</v>
      </c>
    </row>
    <row r="6" spans="1:37" x14ac:dyDescent="0.3">
      <c r="A6" t="s">
        <v>6200</v>
      </c>
      <c r="B6">
        <v>5</v>
      </c>
      <c r="C6" t="s">
        <v>6235</v>
      </c>
      <c r="D6" s="1032">
        <v>43371</v>
      </c>
      <c r="E6" t="s">
        <v>6076</v>
      </c>
      <c r="F6" t="s">
        <v>16</v>
      </c>
      <c r="G6" t="s">
        <v>164</v>
      </c>
      <c r="H6" t="s">
        <v>793</v>
      </c>
      <c r="I6">
        <v>4</v>
      </c>
      <c r="J6">
        <v>3</v>
      </c>
      <c r="K6">
        <v>3</v>
      </c>
      <c r="L6">
        <v>3</v>
      </c>
      <c r="M6">
        <v>1</v>
      </c>
      <c r="N6">
        <v>8</v>
      </c>
      <c r="O6">
        <v>14</v>
      </c>
      <c r="P6">
        <v>1</v>
      </c>
      <c r="Q6">
        <v>0</v>
      </c>
      <c r="R6">
        <v>1</v>
      </c>
      <c r="S6">
        <v>1</v>
      </c>
      <c r="T6">
        <v>5</v>
      </c>
      <c r="U6">
        <v>5</v>
      </c>
      <c r="V6">
        <v>4545</v>
      </c>
      <c r="W6" t="s">
        <v>6187</v>
      </c>
      <c r="X6" t="s">
        <v>6171</v>
      </c>
      <c r="Y6" t="s">
        <v>6089</v>
      </c>
      <c r="Z6" t="s">
        <v>756</v>
      </c>
      <c r="AA6" t="s">
        <v>757</v>
      </c>
      <c r="AB6" t="s">
        <v>778</v>
      </c>
      <c r="AC6" t="s">
        <v>779</v>
      </c>
      <c r="AD6" t="s">
        <v>780</v>
      </c>
      <c r="AE6" t="s">
        <v>781</v>
      </c>
      <c r="AK6" t="s">
        <v>760</v>
      </c>
    </row>
    <row r="7" spans="1:37" x14ac:dyDescent="0.3">
      <c r="A7" t="s">
        <v>6200</v>
      </c>
      <c r="B7">
        <v>6</v>
      </c>
      <c r="C7" t="s">
        <v>6246</v>
      </c>
      <c r="D7" s="1032">
        <v>43373</v>
      </c>
      <c r="E7" t="s">
        <v>626</v>
      </c>
      <c r="F7" t="s">
        <v>17</v>
      </c>
      <c r="G7" t="s">
        <v>6118</v>
      </c>
      <c r="H7" t="s">
        <v>16</v>
      </c>
      <c r="I7">
        <v>2</v>
      </c>
      <c r="J7">
        <v>1</v>
      </c>
      <c r="K7">
        <v>2</v>
      </c>
      <c r="L7">
        <v>1</v>
      </c>
      <c r="M7">
        <v>1</v>
      </c>
      <c r="N7">
        <v>8</v>
      </c>
      <c r="O7">
        <v>17</v>
      </c>
      <c r="P7">
        <v>1</v>
      </c>
      <c r="Q7">
        <v>0</v>
      </c>
      <c r="R7">
        <v>0</v>
      </c>
      <c r="S7">
        <v>0</v>
      </c>
      <c r="T7">
        <v>6</v>
      </c>
      <c r="U7">
        <v>1</v>
      </c>
      <c r="V7">
        <v>5568</v>
      </c>
      <c r="W7" t="s">
        <v>6189</v>
      </c>
      <c r="X7" t="s">
        <v>6120</v>
      </c>
      <c r="Y7" t="s">
        <v>6120</v>
      </c>
      <c r="AA7" t="s">
        <v>758</v>
      </c>
      <c r="AB7" t="s">
        <v>782</v>
      </c>
      <c r="AC7" t="s">
        <v>784</v>
      </c>
      <c r="AK7" t="s">
        <v>761</v>
      </c>
    </row>
    <row r="8" spans="1:37" x14ac:dyDescent="0.3">
      <c r="A8" t="s">
        <v>6200</v>
      </c>
      <c r="B8">
        <v>7</v>
      </c>
      <c r="C8" t="s">
        <v>6236</v>
      </c>
      <c r="D8" s="1032">
        <v>43378</v>
      </c>
      <c r="E8" t="s">
        <v>334</v>
      </c>
      <c r="F8" t="s">
        <v>17</v>
      </c>
      <c r="G8" t="s">
        <v>6171</v>
      </c>
      <c r="H8" t="s">
        <v>743</v>
      </c>
      <c r="I8">
        <v>0</v>
      </c>
      <c r="J8">
        <v>2</v>
      </c>
      <c r="K8">
        <v>0</v>
      </c>
      <c r="L8">
        <v>2</v>
      </c>
      <c r="M8">
        <v>2</v>
      </c>
      <c r="N8">
        <v>5</v>
      </c>
      <c r="O8">
        <v>17</v>
      </c>
      <c r="P8">
        <v>0</v>
      </c>
      <c r="Q8">
        <v>0</v>
      </c>
      <c r="R8">
        <v>0</v>
      </c>
      <c r="S8">
        <v>1</v>
      </c>
      <c r="T8">
        <v>5</v>
      </c>
      <c r="U8">
        <v>4</v>
      </c>
      <c r="V8">
        <v>5235</v>
      </c>
      <c r="W8" t="s">
        <v>6171</v>
      </c>
      <c r="X8" t="s">
        <v>6188</v>
      </c>
      <c r="Y8" t="s">
        <v>6188</v>
      </c>
      <c r="AA8" t="s">
        <v>6171</v>
      </c>
      <c r="AB8" t="s">
        <v>515</v>
      </c>
      <c r="AK8" t="s">
        <v>776</v>
      </c>
    </row>
    <row r="9" spans="1:37" x14ac:dyDescent="0.3">
      <c r="A9" t="s">
        <v>6200</v>
      </c>
      <c r="B9">
        <v>8</v>
      </c>
      <c r="C9" t="s">
        <v>6237</v>
      </c>
      <c r="D9" s="1032">
        <v>43380</v>
      </c>
      <c r="E9" t="s">
        <v>1274</v>
      </c>
      <c r="F9" t="s">
        <v>17</v>
      </c>
      <c r="G9" t="s">
        <v>6118</v>
      </c>
      <c r="H9" t="s">
        <v>16</v>
      </c>
      <c r="I9">
        <v>2</v>
      </c>
      <c r="J9">
        <v>1</v>
      </c>
      <c r="K9">
        <v>2</v>
      </c>
      <c r="L9">
        <v>1</v>
      </c>
      <c r="M9">
        <v>1</v>
      </c>
      <c r="N9">
        <v>5</v>
      </c>
      <c r="O9">
        <v>20</v>
      </c>
      <c r="P9">
        <v>1</v>
      </c>
      <c r="Q9">
        <v>0</v>
      </c>
      <c r="R9">
        <v>0</v>
      </c>
      <c r="S9">
        <v>0</v>
      </c>
      <c r="T9">
        <v>5</v>
      </c>
      <c r="U9">
        <v>4</v>
      </c>
      <c r="V9">
        <v>5024</v>
      </c>
      <c r="W9" t="s">
        <v>6188</v>
      </c>
      <c r="X9" t="s">
        <v>6187</v>
      </c>
      <c r="Y9" t="s">
        <v>6120</v>
      </c>
      <c r="AA9" t="s">
        <v>758</v>
      </c>
      <c r="AB9" t="s">
        <v>790</v>
      </c>
      <c r="AC9" t="s">
        <v>791</v>
      </c>
      <c r="AK9" t="s">
        <v>777</v>
      </c>
    </row>
    <row r="10" spans="1:37" x14ac:dyDescent="0.3">
      <c r="A10" t="s">
        <v>6200</v>
      </c>
      <c r="B10">
        <v>9</v>
      </c>
      <c r="C10" t="s">
        <v>6238</v>
      </c>
      <c r="D10" s="1032">
        <v>43385</v>
      </c>
      <c r="E10" t="s">
        <v>6179</v>
      </c>
      <c r="F10" t="s">
        <v>16</v>
      </c>
      <c r="G10" t="s">
        <v>6102</v>
      </c>
      <c r="H10" t="s">
        <v>743</v>
      </c>
      <c r="I10">
        <v>1</v>
      </c>
      <c r="J10">
        <v>3</v>
      </c>
      <c r="K10">
        <v>1</v>
      </c>
      <c r="L10">
        <v>3</v>
      </c>
      <c r="M10">
        <v>2</v>
      </c>
      <c r="N10">
        <v>5</v>
      </c>
      <c r="O10">
        <v>20</v>
      </c>
      <c r="P10">
        <v>0</v>
      </c>
      <c r="Q10">
        <v>0</v>
      </c>
      <c r="R10">
        <v>0</v>
      </c>
      <c r="S10">
        <v>1</v>
      </c>
      <c r="T10">
        <v>3</v>
      </c>
      <c r="U10">
        <v>5</v>
      </c>
      <c r="V10">
        <v>7700</v>
      </c>
      <c r="W10" t="s">
        <v>6189</v>
      </c>
      <c r="X10" t="s">
        <v>6189</v>
      </c>
      <c r="Y10" t="s">
        <v>6187</v>
      </c>
      <c r="AA10" t="s">
        <v>787</v>
      </c>
      <c r="AB10" t="s">
        <v>829</v>
      </c>
      <c r="AK10" t="s">
        <v>788</v>
      </c>
    </row>
    <row r="11" spans="1:37" x14ac:dyDescent="0.3">
      <c r="A11" t="s">
        <v>6200</v>
      </c>
      <c r="B11">
        <v>10</v>
      </c>
      <c r="C11" t="s">
        <v>6239</v>
      </c>
      <c r="D11" s="1032">
        <v>43387</v>
      </c>
      <c r="E11" t="s">
        <v>610</v>
      </c>
      <c r="F11" t="s">
        <v>16</v>
      </c>
      <c r="G11" t="s">
        <v>6206</v>
      </c>
      <c r="H11" t="s">
        <v>743</v>
      </c>
      <c r="I11">
        <v>0</v>
      </c>
      <c r="J11">
        <v>5</v>
      </c>
      <c r="K11">
        <v>0</v>
      </c>
      <c r="L11">
        <v>5</v>
      </c>
      <c r="M11">
        <v>4</v>
      </c>
      <c r="N11">
        <v>5</v>
      </c>
      <c r="O11">
        <v>20</v>
      </c>
      <c r="P11">
        <v>0</v>
      </c>
      <c r="Q11">
        <v>0</v>
      </c>
      <c r="R11">
        <v>0</v>
      </c>
      <c r="S11">
        <v>2</v>
      </c>
      <c r="T11">
        <v>5</v>
      </c>
      <c r="U11">
        <v>6</v>
      </c>
      <c r="V11">
        <v>6815</v>
      </c>
      <c r="W11" t="s">
        <v>6077</v>
      </c>
      <c r="X11" t="s">
        <v>6188</v>
      </c>
      <c r="Y11" t="s">
        <v>6189</v>
      </c>
      <c r="AA11" t="s">
        <v>6206</v>
      </c>
      <c r="AB11" t="s">
        <v>515</v>
      </c>
      <c r="AK11" t="s">
        <v>789</v>
      </c>
    </row>
    <row r="12" spans="1:37" x14ac:dyDescent="0.3">
      <c r="A12" t="s">
        <v>6200</v>
      </c>
      <c r="B12">
        <v>11</v>
      </c>
      <c r="C12" t="s">
        <v>6240</v>
      </c>
      <c r="D12" s="1032">
        <v>43393</v>
      </c>
      <c r="E12" t="s">
        <v>325</v>
      </c>
      <c r="F12" t="s">
        <v>17</v>
      </c>
      <c r="G12" t="s">
        <v>6171</v>
      </c>
      <c r="H12" t="s">
        <v>743</v>
      </c>
      <c r="I12">
        <v>0</v>
      </c>
      <c r="J12">
        <v>2</v>
      </c>
      <c r="K12">
        <v>0</v>
      </c>
      <c r="L12">
        <v>2</v>
      </c>
      <c r="M12">
        <v>5</v>
      </c>
      <c r="N12">
        <v>2</v>
      </c>
      <c r="O12">
        <v>20</v>
      </c>
      <c r="P12">
        <v>0</v>
      </c>
      <c r="Q12">
        <v>0</v>
      </c>
      <c r="R12">
        <v>0</v>
      </c>
      <c r="S12">
        <v>0</v>
      </c>
      <c r="T12">
        <v>4</v>
      </c>
      <c r="U12">
        <v>4</v>
      </c>
      <c r="V12">
        <v>5948</v>
      </c>
      <c r="W12" t="s">
        <v>6188</v>
      </c>
      <c r="X12" t="s">
        <v>6189</v>
      </c>
      <c r="Y12" t="s">
        <v>6189</v>
      </c>
      <c r="AA12" t="s">
        <v>6171</v>
      </c>
      <c r="AB12" t="s">
        <v>515</v>
      </c>
      <c r="AK12" t="s">
        <v>830</v>
      </c>
    </row>
    <row r="13" spans="1:37" x14ac:dyDescent="0.3">
      <c r="A13" t="s">
        <v>6200</v>
      </c>
      <c r="B13">
        <v>12</v>
      </c>
      <c r="C13" t="s">
        <v>6241</v>
      </c>
      <c r="D13" s="1032">
        <v>43394</v>
      </c>
      <c r="E13" t="s">
        <v>331</v>
      </c>
      <c r="F13" t="s">
        <v>16</v>
      </c>
      <c r="G13" t="s">
        <v>6128</v>
      </c>
      <c r="H13" t="s">
        <v>743</v>
      </c>
      <c r="I13">
        <v>1</v>
      </c>
      <c r="J13">
        <v>4</v>
      </c>
      <c r="K13">
        <v>1</v>
      </c>
      <c r="L13">
        <v>4</v>
      </c>
      <c r="M13">
        <v>6</v>
      </c>
      <c r="N13">
        <v>2</v>
      </c>
      <c r="O13">
        <v>20</v>
      </c>
      <c r="P13">
        <v>0</v>
      </c>
      <c r="Q13">
        <v>0</v>
      </c>
      <c r="R13">
        <v>2</v>
      </c>
      <c r="S13">
        <v>1</v>
      </c>
      <c r="T13">
        <v>4</v>
      </c>
      <c r="U13">
        <v>7</v>
      </c>
      <c r="V13">
        <v>6221</v>
      </c>
      <c r="W13" t="s">
        <v>6120</v>
      </c>
      <c r="X13" t="s">
        <v>6171</v>
      </c>
      <c r="Y13" t="s">
        <v>6171</v>
      </c>
      <c r="AA13" t="s">
        <v>828</v>
      </c>
      <c r="AB13" t="s">
        <v>843</v>
      </c>
      <c r="AK13" t="s">
        <v>831</v>
      </c>
    </row>
    <row r="14" spans="1:37" x14ac:dyDescent="0.3">
      <c r="A14" t="s">
        <v>6200</v>
      </c>
      <c r="B14">
        <v>13</v>
      </c>
      <c r="C14" t="s">
        <v>6254</v>
      </c>
      <c r="D14" s="1032">
        <v>43396</v>
      </c>
      <c r="E14" t="s">
        <v>325</v>
      </c>
      <c r="F14" t="s">
        <v>16</v>
      </c>
      <c r="G14" t="s">
        <v>6118</v>
      </c>
      <c r="H14" t="s">
        <v>16</v>
      </c>
      <c r="I14">
        <v>2</v>
      </c>
      <c r="J14">
        <v>1</v>
      </c>
      <c r="K14">
        <v>2</v>
      </c>
      <c r="L14">
        <v>1</v>
      </c>
      <c r="M14">
        <v>5</v>
      </c>
      <c r="N14">
        <v>5</v>
      </c>
      <c r="O14">
        <v>23</v>
      </c>
      <c r="P14">
        <v>2</v>
      </c>
      <c r="Q14">
        <v>0</v>
      </c>
      <c r="R14">
        <v>0</v>
      </c>
      <c r="S14">
        <v>0</v>
      </c>
      <c r="T14">
        <v>5</v>
      </c>
      <c r="U14">
        <v>4</v>
      </c>
      <c r="V14">
        <v>8239</v>
      </c>
      <c r="W14" t="s">
        <v>6189</v>
      </c>
      <c r="X14" t="s">
        <v>6120</v>
      </c>
      <c r="Y14" t="s">
        <v>6120</v>
      </c>
      <c r="AA14" t="s">
        <v>758</v>
      </c>
      <c r="AB14" t="s">
        <v>850</v>
      </c>
      <c r="AC14" t="s">
        <v>851</v>
      </c>
      <c r="AK14" t="s">
        <v>832</v>
      </c>
    </row>
    <row r="15" spans="1:37" x14ac:dyDescent="0.3">
      <c r="A15" t="s">
        <v>6200</v>
      </c>
      <c r="B15">
        <v>14</v>
      </c>
      <c r="C15" t="s">
        <v>6242</v>
      </c>
      <c r="D15" s="1032">
        <v>43399</v>
      </c>
      <c r="E15" t="s">
        <v>328</v>
      </c>
      <c r="F15" t="s">
        <v>17</v>
      </c>
      <c r="G15" t="s">
        <v>6120</v>
      </c>
      <c r="H15" t="s">
        <v>16</v>
      </c>
      <c r="I15">
        <v>1</v>
      </c>
      <c r="J15">
        <v>0</v>
      </c>
      <c r="K15">
        <v>1</v>
      </c>
      <c r="L15">
        <v>0</v>
      </c>
      <c r="M15">
        <v>3</v>
      </c>
      <c r="N15">
        <v>5</v>
      </c>
      <c r="O15">
        <v>26</v>
      </c>
      <c r="P15">
        <v>0</v>
      </c>
      <c r="Q15">
        <v>1</v>
      </c>
      <c r="R15">
        <v>0</v>
      </c>
      <c r="S15">
        <v>0</v>
      </c>
      <c r="T15">
        <v>3</v>
      </c>
      <c r="U15">
        <v>4</v>
      </c>
      <c r="V15">
        <v>5011</v>
      </c>
      <c r="W15" t="s">
        <v>6188</v>
      </c>
      <c r="X15" t="s">
        <v>6120</v>
      </c>
      <c r="Y15" t="s">
        <v>6188</v>
      </c>
      <c r="AA15" t="s">
        <v>6120</v>
      </c>
      <c r="AB15" t="s">
        <v>842</v>
      </c>
      <c r="AK15" t="s">
        <v>844</v>
      </c>
    </row>
    <row r="16" spans="1:37" x14ac:dyDescent="0.3">
      <c r="A16" t="s">
        <v>6200</v>
      </c>
      <c r="B16">
        <v>15</v>
      </c>
      <c r="C16" t="s">
        <v>6243</v>
      </c>
      <c r="D16" s="1032">
        <v>43401</v>
      </c>
      <c r="E16" t="s">
        <v>6086</v>
      </c>
      <c r="F16" t="s">
        <v>17</v>
      </c>
      <c r="G16" t="s">
        <v>6079</v>
      </c>
      <c r="H16" t="s">
        <v>743</v>
      </c>
      <c r="I16">
        <v>0</v>
      </c>
      <c r="J16">
        <v>3</v>
      </c>
      <c r="K16">
        <v>0</v>
      </c>
      <c r="L16">
        <v>2</v>
      </c>
      <c r="M16">
        <v>4</v>
      </c>
      <c r="N16">
        <v>2</v>
      </c>
      <c r="O16">
        <v>26</v>
      </c>
      <c r="P16">
        <v>0</v>
      </c>
      <c r="Q16">
        <v>0</v>
      </c>
      <c r="R16">
        <v>0</v>
      </c>
      <c r="S16">
        <v>2</v>
      </c>
      <c r="T16">
        <v>4</v>
      </c>
      <c r="U16">
        <v>4</v>
      </c>
      <c r="V16">
        <v>5123</v>
      </c>
      <c r="W16" t="s">
        <v>6189</v>
      </c>
      <c r="X16" t="s">
        <v>6188</v>
      </c>
      <c r="Y16" t="s">
        <v>6171</v>
      </c>
      <c r="AA16" t="s">
        <v>6079</v>
      </c>
      <c r="AB16" t="s">
        <v>515</v>
      </c>
      <c r="AK16" t="s">
        <v>845</v>
      </c>
    </row>
    <row r="17" spans="1:37" x14ac:dyDescent="0.3">
      <c r="A17" t="s">
        <v>6200</v>
      </c>
      <c r="B17">
        <v>16</v>
      </c>
      <c r="C17" t="s">
        <v>6245</v>
      </c>
      <c r="D17" s="1032">
        <v>43403</v>
      </c>
      <c r="E17" t="s">
        <v>326</v>
      </c>
      <c r="F17" t="s">
        <v>16</v>
      </c>
      <c r="G17" t="s">
        <v>6104</v>
      </c>
      <c r="H17" t="s">
        <v>743</v>
      </c>
      <c r="I17">
        <v>2</v>
      </c>
      <c r="J17">
        <v>5</v>
      </c>
      <c r="K17">
        <v>2</v>
      </c>
      <c r="L17">
        <v>5</v>
      </c>
      <c r="M17">
        <v>5</v>
      </c>
      <c r="N17">
        <v>2</v>
      </c>
      <c r="O17">
        <v>26</v>
      </c>
      <c r="P17">
        <v>0</v>
      </c>
      <c r="Q17">
        <v>0</v>
      </c>
      <c r="R17">
        <v>0</v>
      </c>
      <c r="S17">
        <v>2</v>
      </c>
      <c r="T17">
        <v>3</v>
      </c>
      <c r="U17">
        <v>5</v>
      </c>
      <c r="V17">
        <v>3291</v>
      </c>
      <c r="W17" t="s">
        <v>6189</v>
      </c>
      <c r="X17" t="s">
        <v>6146</v>
      </c>
      <c r="Y17" t="s">
        <v>6189</v>
      </c>
      <c r="AA17" t="s">
        <v>846</v>
      </c>
      <c r="AB17" t="s">
        <v>860</v>
      </c>
      <c r="AC17" t="s">
        <v>861</v>
      </c>
      <c r="AK17" t="s">
        <v>859</v>
      </c>
    </row>
    <row r="18" spans="1:37" x14ac:dyDescent="0.3">
      <c r="A18" t="s">
        <v>6200</v>
      </c>
      <c r="B18">
        <v>17</v>
      </c>
      <c r="C18" t="s">
        <v>6244</v>
      </c>
      <c r="D18" s="1032">
        <v>43407</v>
      </c>
      <c r="E18" t="s">
        <v>327</v>
      </c>
      <c r="F18" t="s">
        <v>17</v>
      </c>
      <c r="G18" t="s">
        <v>6211</v>
      </c>
      <c r="H18" t="s">
        <v>743</v>
      </c>
      <c r="I18">
        <v>3</v>
      </c>
      <c r="J18">
        <v>4</v>
      </c>
      <c r="K18">
        <v>3</v>
      </c>
      <c r="L18">
        <v>4</v>
      </c>
      <c r="M18">
        <v>7</v>
      </c>
      <c r="N18">
        <v>-1</v>
      </c>
      <c r="O18">
        <v>26</v>
      </c>
      <c r="P18">
        <v>0</v>
      </c>
      <c r="Q18">
        <v>0</v>
      </c>
      <c r="R18">
        <v>0</v>
      </c>
      <c r="S18">
        <v>0</v>
      </c>
      <c r="T18">
        <v>6</v>
      </c>
      <c r="U18">
        <v>3</v>
      </c>
      <c r="V18">
        <v>4728</v>
      </c>
      <c r="W18" t="s">
        <v>6189</v>
      </c>
      <c r="X18" t="s">
        <v>6118</v>
      </c>
      <c r="Y18" t="s">
        <v>6097</v>
      </c>
      <c r="AA18" t="s">
        <v>848</v>
      </c>
      <c r="AB18" t="s">
        <v>862</v>
      </c>
      <c r="AC18" t="s">
        <v>863</v>
      </c>
      <c r="AD18" t="s">
        <v>864</v>
      </c>
      <c r="AK18" t="s">
        <v>852</v>
      </c>
    </row>
    <row r="19" spans="1:37" x14ac:dyDescent="0.3">
      <c r="A19" t="s">
        <v>6200</v>
      </c>
      <c r="B19">
        <v>18</v>
      </c>
      <c r="C19" t="s">
        <v>6247</v>
      </c>
      <c r="D19" s="1032">
        <v>43408</v>
      </c>
      <c r="E19" t="s">
        <v>612</v>
      </c>
      <c r="F19" t="s">
        <v>16</v>
      </c>
      <c r="G19" t="s">
        <v>160</v>
      </c>
      <c r="H19" t="s">
        <v>793</v>
      </c>
      <c r="I19">
        <v>2</v>
      </c>
      <c r="J19">
        <v>1</v>
      </c>
      <c r="K19">
        <v>1</v>
      </c>
      <c r="L19">
        <v>1</v>
      </c>
      <c r="M19">
        <v>7</v>
      </c>
      <c r="N19">
        <v>1</v>
      </c>
      <c r="O19">
        <v>28</v>
      </c>
      <c r="P19">
        <v>0</v>
      </c>
      <c r="Q19">
        <v>0</v>
      </c>
      <c r="R19">
        <v>0</v>
      </c>
      <c r="S19">
        <v>0</v>
      </c>
      <c r="T19">
        <v>4</v>
      </c>
      <c r="U19">
        <v>2</v>
      </c>
      <c r="V19">
        <v>5250</v>
      </c>
      <c r="W19" t="s">
        <v>6188</v>
      </c>
      <c r="X19" t="s">
        <v>6188</v>
      </c>
      <c r="Y19" t="s">
        <v>6187</v>
      </c>
      <c r="Z19" t="s">
        <v>756</v>
      </c>
      <c r="AA19" t="s">
        <v>847</v>
      </c>
      <c r="AB19" t="s">
        <v>865</v>
      </c>
      <c r="AC19" t="s">
        <v>849</v>
      </c>
      <c r="AK19" t="s">
        <v>857</v>
      </c>
    </row>
    <row r="20" spans="1:37" x14ac:dyDescent="0.3">
      <c r="A20" t="s">
        <v>6200</v>
      </c>
      <c r="B20">
        <v>19</v>
      </c>
      <c r="C20" t="s">
        <v>6248</v>
      </c>
      <c r="D20" s="1032">
        <v>43418</v>
      </c>
      <c r="E20" t="s">
        <v>6076</v>
      </c>
      <c r="F20" t="s">
        <v>17</v>
      </c>
      <c r="G20" t="s">
        <v>6131</v>
      </c>
      <c r="H20" t="s">
        <v>16</v>
      </c>
      <c r="I20">
        <v>7</v>
      </c>
      <c r="J20">
        <v>2</v>
      </c>
      <c r="K20">
        <v>7</v>
      </c>
      <c r="L20">
        <v>2</v>
      </c>
      <c r="M20">
        <v>6</v>
      </c>
      <c r="N20">
        <v>1</v>
      </c>
      <c r="O20">
        <v>31</v>
      </c>
      <c r="P20">
        <v>4</v>
      </c>
      <c r="Q20">
        <v>0</v>
      </c>
      <c r="R20">
        <v>0</v>
      </c>
      <c r="S20">
        <v>1</v>
      </c>
      <c r="T20">
        <v>7</v>
      </c>
      <c r="U20">
        <v>6</v>
      </c>
      <c r="V20">
        <v>4846</v>
      </c>
      <c r="W20" t="s">
        <v>6100</v>
      </c>
      <c r="X20" t="s">
        <v>6118</v>
      </c>
      <c r="Y20" t="s">
        <v>6089</v>
      </c>
      <c r="AA20" t="s">
        <v>856</v>
      </c>
      <c r="AB20" t="s">
        <v>886</v>
      </c>
      <c r="AC20" t="s">
        <v>887</v>
      </c>
      <c r="AD20" t="s">
        <v>888</v>
      </c>
      <c r="AE20" t="s">
        <v>889</v>
      </c>
      <c r="AF20" t="s">
        <v>890</v>
      </c>
      <c r="AG20" t="s">
        <v>891</v>
      </c>
      <c r="AH20" t="s">
        <v>892</v>
      </c>
      <c r="AK20" t="s">
        <v>858</v>
      </c>
    </row>
    <row r="21" spans="1:37" x14ac:dyDescent="0.3">
      <c r="A21" t="s">
        <v>6200</v>
      </c>
      <c r="B21">
        <v>20</v>
      </c>
      <c r="C21" t="s">
        <v>6249</v>
      </c>
      <c r="D21" s="1032">
        <v>43420</v>
      </c>
      <c r="E21" t="s">
        <v>626</v>
      </c>
      <c r="F21" t="s">
        <v>16</v>
      </c>
      <c r="G21" t="s">
        <v>6102</v>
      </c>
      <c r="H21" t="s">
        <v>743</v>
      </c>
      <c r="I21">
        <v>1</v>
      </c>
      <c r="J21">
        <v>3</v>
      </c>
      <c r="K21">
        <v>1</v>
      </c>
      <c r="L21">
        <v>3</v>
      </c>
      <c r="M21">
        <v>7</v>
      </c>
      <c r="N21">
        <v>1</v>
      </c>
      <c r="O21">
        <v>31</v>
      </c>
      <c r="P21">
        <v>0</v>
      </c>
      <c r="Q21">
        <v>0</v>
      </c>
      <c r="R21">
        <v>0</v>
      </c>
      <c r="S21">
        <v>1</v>
      </c>
      <c r="T21">
        <v>3</v>
      </c>
      <c r="U21">
        <v>5</v>
      </c>
      <c r="V21">
        <v>4271</v>
      </c>
      <c r="W21" t="s">
        <v>6189</v>
      </c>
      <c r="X21" t="s">
        <v>6171</v>
      </c>
      <c r="Y21" t="s">
        <v>6120</v>
      </c>
      <c r="AA21" t="s">
        <v>787</v>
      </c>
      <c r="AB21" t="s">
        <v>885</v>
      </c>
      <c r="AK21" t="s">
        <v>867</v>
      </c>
    </row>
    <row r="22" spans="1:37" x14ac:dyDescent="0.3">
      <c r="A22" t="s">
        <v>6200</v>
      </c>
      <c r="B22">
        <v>21</v>
      </c>
      <c r="C22" t="s">
        <v>6250</v>
      </c>
      <c r="D22" s="1032">
        <v>43421</v>
      </c>
      <c r="E22" t="s">
        <v>334</v>
      </c>
      <c r="F22" t="s">
        <v>16</v>
      </c>
      <c r="G22" t="s">
        <v>6082</v>
      </c>
      <c r="H22" t="s">
        <v>743</v>
      </c>
      <c r="I22">
        <v>2</v>
      </c>
      <c r="J22">
        <v>4</v>
      </c>
      <c r="K22">
        <v>2</v>
      </c>
      <c r="L22">
        <v>4</v>
      </c>
      <c r="M22">
        <v>7</v>
      </c>
      <c r="N22">
        <v>1</v>
      </c>
      <c r="O22">
        <v>31</v>
      </c>
      <c r="P22">
        <v>1</v>
      </c>
      <c r="Q22">
        <v>0</v>
      </c>
      <c r="R22">
        <v>0</v>
      </c>
      <c r="S22">
        <v>0</v>
      </c>
      <c r="T22">
        <v>1</v>
      </c>
      <c r="U22">
        <v>2</v>
      </c>
      <c r="V22">
        <v>5017</v>
      </c>
      <c r="W22" t="s">
        <v>6189</v>
      </c>
      <c r="X22" t="s">
        <v>6187</v>
      </c>
      <c r="Y22" t="s">
        <v>6097</v>
      </c>
      <c r="AA22" t="s">
        <v>866</v>
      </c>
      <c r="AB22" t="s">
        <v>883</v>
      </c>
      <c r="AC22" t="s">
        <v>884</v>
      </c>
      <c r="AK22" t="s">
        <v>868</v>
      </c>
    </row>
    <row r="23" spans="1:37" x14ac:dyDescent="0.3">
      <c r="A23" t="s">
        <v>6200</v>
      </c>
      <c r="B23">
        <v>22</v>
      </c>
      <c r="C23" t="s">
        <v>6251</v>
      </c>
      <c r="D23" s="1032">
        <v>43427</v>
      </c>
      <c r="E23" t="s">
        <v>1274</v>
      </c>
      <c r="F23" t="s">
        <v>16</v>
      </c>
      <c r="G23" t="s">
        <v>6146</v>
      </c>
      <c r="H23" t="s">
        <v>743</v>
      </c>
      <c r="I23">
        <v>2</v>
      </c>
      <c r="J23">
        <v>3</v>
      </c>
      <c r="K23">
        <v>2</v>
      </c>
      <c r="L23">
        <v>3</v>
      </c>
      <c r="M23">
        <v>8</v>
      </c>
      <c r="N23">
        <v>1</v>
      </c>
      <c r="O23">
        <v>31</v>
      </c>
      <c r="P23">
        <v>0</v>
      </c>
      <c r="Q23">
        <v>0</v>
      </c>
      <c r="R23">
        <v>0</v>
      </c>
      <c r="S23">
        <v>0</v>
      </c>
      <c r="T23">
        <v>4</v>
      </c>
      <c r="U23">
        <v>3</v>
      </c>
      <c r="V23">
        <v>5022</v>
      </c>
      <c r="W23" t="s">
        <v>6188</v>
      </c>
      <c r="X23" t="s">
        <v>6120</v>
      </c>
      <c r="Y23" t="s">
        <v>6102</v>
      </c>
      <c r="AA23" t="s">
        <v>877</v>
      </c>
      <c r="AB23" t="s">
        <v>894</v>
      </c>
      <c r="AC23" t="s">
        <v>895</v>
      </c>
      <c r="AK23" t="s">
        <v>881</v>
      </c>
    </row>
    <row r="24" spans="1:37" x14ac:dyDescent="0.3">
      <c r="A24" t="s">
        <v>6200</v>
      </c>
      <c r="B24">
        <v>23</v>
      </c>
      <c r="C24" t="s">
        <v>6252</v>
      </c>
      <c r="D24" s="1032">
        <v>43429</v>
      </c>
      <c r="E24" t="s">
        <v>6179</v>
      </c>
      <c r="F24" t="s">
        <v>17</v>
      </c>
      <c r="G24" t="s">
        <v>6146</v>
      </c>
      <c r="H24" t="s">
        <v>743</v>
      </c>
      <c r="I24">
        <v>2</v>
      </c>
      <c r="J24">
        <v>3</v>
      </c>
      <c r="K24">
        <v>2</v>
      </c>
      <c r="L24">
        <v>3</v>
      </c>
      <c r="M24">
        <v>9</v>
      </c>
      <c r="N24">
        <v>-2</v>
      </c>
      <c r="O24">
        <v>31</v>
      </c>
      <c r="P24">
        <v>1</v>
      </c>
      <c r="Q24">
        <v>0</v>
      </c>
      <c r="R24">
        <v>0</v>
      </c>
      <c r="S24">
        <v>2</v>
      </c>
      <c r="T24">
        <v>5</v>
      </c>
      <c r="U24">
        <v>4</v>
      </c>
      <c r="V24">
        <v>5345</v>
      </c>
      <c r="W24" t="s">
        <v>6187</v>
      </c>
      <c r="X24" t="s">
        <v>6187</v>
      </c>
      <c r="Y24" t="s">
        <v>6189</v>
      </c>
      <c r="AA24" t="s">
        <v>878</v>
      </c>
      <c r="AB24" t="s">
        <v>896</v>
      </c>
      <c r="AC24" t="s">
        <v>897</v>
      </c>
      <c r="AK24" t="s">
        <v>882</v>
      </c>
    </row>
    <row r="25" spans="1:37" x14ac:dyDescent="0.3">
      <c r="A25" t="s">
        <v>6200</v>
      </c>
      <c r="B25">
        <v>24</v>
      </c>
      <c r="C25" t="s">
        <v>6253</v>
      </c>
      <c r="D25" s="1032">
        <v>43434</v>
      </c>
      <c r="E25" t="s">
        <v>610</v>
      </c>
      <c r="F25" t="s">
        <v>17</v>
      </c>
      <c r="G25" t="s">
        <v>6137</v>
      </c>
      <c r="H25" t="s">
        <v>16</v>
      </c>
      <c r="I25">
        <v>6</v>
      </c>
      <c r="J25">
        <v>2</v>
      </c>
      <c r="K25">
        <v>6</v>
      </c>
      <c r="L25">
        <v>2</v>
      </c>
      <c r="M25">
        <v>10</v>
      </c>
      <c r="N25">
        <v>-2</v>
      </c>
      <c r="O25">
        <v>34</v>
      </c>
      <c r="P25">
        <v>1</v>
      </c>
      <c r="Q25">
        <v>0</v>
      </c>
      <c r="R25">
        <v>0</v>
      </c>
      <c r="S25">
        <v>1</v>
      </c>
      <c r="T25">
        <v>6</v>
      </c>
      <c r="U25">
        <v>2</v>
      </c>
      <c r="V25">
        <v>4645</v>
      </c>
      <c r="W25" t="s">
        <v>6089</v>
      </c>
      <c r="X25" t="s">
        <v>6113</v>
      </c>
      <c r="Y25" t="s">
        <v>6120</v>
      </c>
      <c r="AA25" t="s">
        <v>879</v>
      </c>
      <c r="AB25" t="s">
        <v>898</v>
      </c>
      <c r="AC25" t="s">
        <v>899</v>
      </c>
      <c r="AD25" t="s">
        <v>900</v>
      </c>
      <c r="AE25" t="s">
        <v>901</v>
      </c>
      <c r="AF25" t="s">
        <v>902</v>
      </c>
      <c r="AG25" t="s">
        <v>903</v>
      </c>
      <c r="AK25" t="s">
        <v>880</v>
      </c>
    </row>
    <row r="26" spans="1:37" x14ac:dyDescent="0.3">
      <c r="A26" t="s">
        <v>6200</v>
      </c>
      <c r="B26">
        <v>25</v>
      </c>
      <c r="C26" t="s">
        <v>6255</v>
      </c>
      <c r="D26" s="1032">
        <v>43441</v>
      </c>
      <c r="E26" t="s">
        <v>331</v>
      </c>
      <c r="F26" t="s">
        <v>17</v>
      </c>
      <c r="G26" t="s">
        <v>208</v>
      </c>
      <c r="H26" t="s">
        <v>794</v>
      </c>
      <c r="I26">
        <v>1</v>
      </c>
      <c r="J26">
        <v>2</v>
      </c>
      <c r="K26">
        <v>1</v>
      </c>
      <c r="L26">
        <v>1</v>
      </c>
      <c r="M26">
        <v>11</v>
      </c>
      <c r="N26">
        <v>-4</v>
      </c>
      <c r="O26">
        <v>35</v>
      </c>
      <c r="P26">
        <v>0</v>
      </c>
      <c r="Q26">
        <v>1</v>
      </c>
      <c r="R26">
        <v>0</v>
      </c>
      <c r="S26">
        <v>0</v>
      </c>
      <c r="T26">
        <v>3</v>
      </c>
      <c r="U26">
        <v>4</v>
      </c>
      <c r="V26">
        <v>5534</v>
      </c>
      <c r="W26" t="s">
        <v>6188</v>
      </c>
      <c r="X26" t="s">
        <v>6188</v>
      </c>
      <c r="Y26" t="s">
        <v>6187</v>
      </c>
      <c r="Z26" t="s">
        <v>158</v>
      </c>
      <c r="AA26" t="s">
        <v>1038</v>
      </c>
      <c r="AB26" t="s">
        <v>905</v>
      </c>
      <c r="AK26" t="s">
        <v>904</v>
      </c>
    </row>
    <row r="27" spans="1:37" x14ac:dyDescent="0.3">
      <c r="A27" t="s">
        <v>6200</v>
      </c>
      <c r="B27">
        <v>26</v>
      </c>
      <c r="C27" t="s">
        <v>6256</v>
      </c>
      <c r="D27" s="1032">
        <v>43443</v>
      </c>
      <c r="E27" t="s">
        <v>328</v>
      </c>
      <c r="F27" t="s">
        <v>16</v>
      </c>
      <c r="G27" t="s">
        <v>6110</v>
      </c>
      <c r="H27" t="s">
        <v>16</v>
      </c>
      <c r="I27">
        <v>3</v>
      </c>
      <c r="J27">
        <v>0</v>
      </c>
      <c r="K27">
        <v>3</v>
      </c>
      <c r="L27">
        <v>0</v>
      </c>
      <c r="M27">
        <v>10</v>
      </c>
      <c r="N27">
        <v>-1</v>
      </c>
      <c r="O27">
        <v>38</v>
      </c>
      <c r="P27">
        <v>1</v>
      </c>
      <c r="Q27">
        <v>1</v>
      </c>
      <c r="R27">
        <v>0</v>
      </c>
      <c r="S27">
        <v>0</v>
      </c>
      <c r="T27">
        <v>3</v>
      </c>
      <c r="U27">
        <v>6</v>
      </c>
      <c r="V27">
        <v>4599</v>
      </c>
      <c r="W27" t="s">
        <v>6089</v>
      </c>
      <c r="X27" t="s">
        <v>6120</v>
      </c>
      <c r="Y27" t="s">
        <v>6188</v>
      </c>
      <c r="AA27" t="s">
        <v>6110</v>
      </c>
      <c r="AB27" t="s">
        <v>906</v>
      </c>
      <c r="AC27" t="s">
        <v>907</v>
      </c>
      <c r="AD27" t="s">
        <v>908</v>
      </c>
      <c r="AK27" t="s">
        <v>909</v>
      </c>
    </row>
    <row r="28" spans="1:37" x14ac:dyDescent="0.3">
      <c r="A28" t="s">
        <v>6200</v>
      </c>
      <c r="B28">
        <v>27</v>
      </c>
      <c r="C28" t="s">
        <v>6257</v>
      </c>
      <c r="D28" s="1032">
        <v>43453</v>
      </c>
      <c r="E28" t="s">
        <v>6086</v>
      </c>
      <c r="F28" t="s">
        <v>16</v>
      </c>
      <c r="G28" t="s">
        <v>6104</v>
      </c>
      <c r="H28" t="s">
        <v>743</v>
      </c>
      <c r="I28">
        <v>2</v>
      </c>
      <c r="J28">
        <v>5</v>
      </c>
      <c r="K28">
        <v>2</v>
      </c>
      <c r="L28">
        <v>4</v>
      </c>
      <c r="M28">
        <v>10</v>
      </c>
      <c r="N28">
        <v>-1</v>
      </c>
      <c r="O28">
        <v>38</v>
      </c>
      <c r="P28">
        <v>1</v>
      </c>
      <c r="Q28">
        <v>1</v>
      </c>
      <c r="R28">
        <v>0</v>
      </c>
      <c r="S28">
        <v>2</v>
      </c>
      <c r="T28">
        <v>3</v>
      </c>
      <c r="U28">
        <v>6</v>
      </c>
      <c r="V28">
        <v>2534</v>
      </c>
      <c r="W28" t="s">
        <v>6171</v>
      </c>
      <c r="X28" t="s">
        <v>6187</v>
      </c>
      <c r="Y28" t="s">
        <v>6097</v>
      </c>
      <c r="AA28" t="s">
        <v>976</v>
      </c>
      <c r="AB28" t="s">
        <v>980</v>
      </c>
      <c r="AC28" t="s">
        <v>981</v>
      </c>
      <c r="AK28" t="s">
        <v>909</v>
      </c>
    </row>
    <row r="29" spans="1:37" x14ac:dyDescent="0.3">
      <c r="A29" t="s">
        <v>6200</v>
      </c>
      <c r="B29">
        <v>28</v>
      </c>
      <c r="C29" t="s">
        <v>6258</v>
      </c>
      <c r="D29" s="1032">
        <v>43455</v>
      </c>
      <c r="E29" t="s">
        <v>326</v>
      </c>
      <c r="F29" t="s">
        <v>17</v>
      </c>
      <c r="G29" t="s">
        <v>6212</v>
      </c>
      <c r="H29" t="s">
        <v>16</v>
      </c>
      <c r="I29">
        <v>5</v>
      </c>
      <c r="J29">
        <v>3</v>
      </c>
      <c r="K29">
        <v>5</v>
      </c>
      <c r="L29">
        <v>3</v>
      </c>
      <c r="M29">
        <v>9</v>
      </c>
      <c r="N29">
        <v>-1</v>
      </c>
      <c r="O29">
        <v>41</v>
      </c>
      <c r="P29">
        <v>2</v>
      </c>
      <c r="Q29">
        <v>1</v>
      </c>
      <c r="R29">
        <v>0</v>
      </c>
      <c r="S29">
        <v>1</v>
      </c>
      <c r="T29">
        <v>6</v>
      </c>
      <c r="U29">
        <v>7</v>
      </c>
      <c r="V29">
        <v>5176</v>
      </c>
      <c r="W29" t="s">
        <v>6194</v>
      </c>
      <c r="X29" t="s">
        <v>6120</v>
      </c>
      <c r="Y29" t="s">
        <v>6118</v>
      </c>
      <c r="AA29" t="s">
        <v>978</v>
      </c>
      <c r="AB29" t="s">
        <v>982</v>
      </c>
      <c r="AC29" t="s">
        <v>987</v>
      </c>
      <c r="AD29" t="s">
        <v>988</v>
      </c>
      <c r="AE29" t="s">
        <v>989</v>
      </c>
      <c r="AF29" t="s">
        <v>990</v>
      </c>
      <c r="AK29" t="s">
        <v>977</v>
      </c>
    </row>
    <row r="30" spans="1:37" x14ac:dyDescent="0.3">
      <c r="A30" t="s">
        <v>6200</v>
      </c>
      <c r="B30">
        <v>29</v>
      </c>
      <c r="C30" t="s">
        <v>6259</v>
      </c>
      <c r="D30" s="1032">
        <v>43460</v>
      </c>
      <c r="E30" t="s">
        <v>327</v>
      </c>
      <c r="F30" t="s">
        <v>16</v>
      </c>
      <c r="G30" t="s">
        <v>6113</v>
      </c>
      <c r="H30" t="s">
        <v>16</v>
      </c>
      <c r="I30">
        <v>3</v>
      </c>
      <c r="J30">
        <v>2</v>
      </c>
      <c r="K30">
        <v>3</v>
      </c>
      <c r="L30">
        <v>2</v>
      </c>
      <c r="M30">
        <v>8</v>
      </c>
      <c r="N30">
        <v>2</v>
      </c>
      <c r="O30">
        <v>44</v>
      </c>
      <c r="P30">
        <v>1</v>
      </c>
      <c r="Q30">
        <v>0</v>
      </c>
      <c r="R30">
        <v>0</v>
      </c>
      <c r="S30">
        <v>1</v>
      </c>
      <c r="T30">
        <v>1</v>
      </c>
      <c r="U30">
        <v>3</v>
      </c>
      <c r="V30">
        <v>7898</v>
      </c>
      <c r="W30" t="s">
        <v>6110</v>
      </c>
      <c r="X30" t="s">
        <v>6188</v>
      </c>
      <c r="Y30" t="s">
        <v>6171</v>
      </c>
      <c r="AA30" t="s">
        <v>979</v>
      </c>
      <c r="AB30" t="s">
        <v>991</v>
      </c>
      <c r="AC30" t="s">
        <v>992</v>
      </c>
      <c r="AD30" t="s">
        <v>993</v>
      </c>
      <c r="AK30" t="s">
        <v>983</v>
      </c>
    </row>
    <row r="31" spans="1:37" x14ac:dyDescent="0.3">
      <c r="A31" t="s">
        <v>6200</v>
      </c>
      <c r="B31">
        <v>30</v>
      </c>
      <c r="C31" t="s">
        <v>6260</v>
      </c>
      <c r="D31" s="1032">
        <v>43462</v>
      </c>
      <c r="E31" t="s">
        <v>612</v>
      </c>
      <c r="F31" t="s">
        <v>17</v>
      </c>
      <c r="G31" t="s">
        <v>6189</v>
      </c>
      <c r="H31" t="s">
        <v>743</v>
      </c>
      <c r="I31">
        <v>0</v>
      </c>
      <c r="J31">
        <v>1</v>
      </c>
      <c r="K31">
        <v>0</v>
      </c>
      <c r="L31">
        <v>1</v>
      </c>
      <c r="M31">
        <v>9</v>
      </c>
      <c r="N31">
        <v>-1</v>
      </c>
      <c r="O31">
        <v>44</v>
      </c>
      <c r="P31">
        <v>0</v>
      </c>
      <c r="Q31">
        <v>0</v>
      </c>
      <c r="R31">
        <v>0</v>
      </c>
      <c r="S31">
        <v>0</v>
      </c>
      <c r="T31">
        <v>4</v>
      </c>
      <c r="U31">
        <v>3</v>
      </c>
      <c r="V31">
        <v>6011</v>
      </c>
      <c r="W31" t="s">
        <v>6188</v>
      </c>
      <c r="X31" t="s">
        <v>6188</v>
      </c>
      <c r="Y31" t="s">
        <v>6189</v>
      </c>
      <c r="AA31" t="s">
        <v>6189</v>
      </c>
      <c r="AB31" t="s">
        <v>515</v>
      </c>
      <c r="AK31" t="s">
        <v>983</v>
      </c>
    </row>
    <row r="32" spans="1:37" x14ac:dyDescent="0.3">
      <c r="A32" t="s">
        <v>6200</v>
      </c>
      <c r="B32">
        <v>31</v>
      </c>
      <c r="C32" t="s">
        <v>6261</v>
      </c>
      <c r="D32" s="1032">
        <v>43464</v>
      </c>
      <c r="E32" t="s">
        <v>6076</v>
      </c>
      <c r="F32" t="s">
        <v>16</v>
      </c>
      <c r="G32" t="s">
        <v>6113</v>
      </c>
      <c r="H32" t="s">
        <v>16</v>
      </c>
      <c r="I32">
        <v>3</v>
      </c>
      <c r="J32">
        <v>2</v>
      </c>
      <c r="K32">
        <v>3</v>
      </c>
      <c r="L32">
        <v>2</v>
      </c>
      <c r="M32">
        <v>7</v>
      </c>
      <c r="N32">
        <v>2</v>
      </c>
      <c r="O32">
        <v>47</v>
      </c>
      <c r="P32">
        <v>0</v>
      </c>
      <c r="Q32">
        <v>2</v>
      </c>
      <c r="R32">
        <v>0</v>
      </c>
      <c r="S32">
        <v>1</v>
      </c>
      <c r="T32">
        <v>3</v>
      </c>
      <c r="U32">
        <v>5</v>
      </c>
      <c r="V32">
        <v>5395</v>
      </c>
      <c r="W32" t="s">
        <v>6188</v>
      </c>
      <c r="X32" t="s">
        <v>6187</v>
      </c>
      <c r="Y32" t="s">
        <v>6118</v>
      </c>
      <c r="AA32" t="s">
        <v>986</v>
      </c>
      <c r="AB32" t="s">
        <v>1002</v>
      </c>
      <c r="AC32" t="s">
        <v>1003</v>
      </c>
      <c r="AD32" t="s">
        <v>1006</v>
      </c>
      <c r="AK32" t="s">
        <v>1004</v>
      </c>
    </row>
    <row r="33" spans="1:37" x14ac:dyDescent="0.3">
      <c r="A33" t="s">
        <v>6200</v>
      </c>
      <c r="B33">
        <v>32</v>
      </c>
      <c r="C33" t="s">
        <v>6262</v>
      </c>
      <c r="D33" s="1032">
        <v>43469</v>
      </c>
      <c r="E33" t="s">
        <v>626</v>
      </c>
      <c r="F33" t="s">
        <v>17</v>
      </c>
      <c r="G33" t="s">
        <v>6128</v>
      </c>
      <c r="H33" t="s">
        <v>743</v>
      </c>
      <c r="I33">
        <v>1</v>
      </c>
      <c r="J33">
        <v>4</v>
      </c>
      <c r="K33">
        <v>1</v>
      </c>
      <c r="L33">
        <v>3</v>
      </c>
      <c r="M33">
        <v>8</v>
      </c>
      <c r="N33">
        <v>-1</v>
      </c>
      <c r="O33">
        <v>47</v>
      </c>
      <c r="P33">
        <v>0</v>
      </c>
      <c r="Q33">
        <v>0</v>
      </c>
      <c r="R33">
        <v>1</v>
      </c>
      <c r="S33">
        <v>1</v>
      </c>
      <c r="T33">
        <v>5</v>
      </c>
      <c r="U33">
        <v>4</v>
      </c>
      <c r="V33">
        <v>5134</v>
      </c>
      <c r="W33" t="s">
        <v>6188</v>
      </c>
      <c r="X33" t="s">
        <v>6171</v>
      </c>
      <c r="Y33" t="s">
        <v>6097</v>
      </c>
      <c r="AA33" t="s">
        <v>996</v>
      </c>
      <c r="AB33" t="s">
        <v>1012</v>
      </c>
      <c r="AK33" t="s">
        <v>1005</v>
      </c>
    </row>
    <row r="34" spans="1:37" x14ac:dyDescent="0.3">
      <c r="A34" t="s">
        <v>6200</v>
      </c>
      <c r="B34">
        <v>33</v>
      </c>
      <c r="C34" t="s">
        <v>6263</v>
      </c>
      <c r="D34" s="1032">
        <v>43471</v>
      </c>
      <c r="E34" t="s">
        <v>334</v>
      </c>
      <c r="F34" t="s">
        <v>16</v>
      </c>
      <c r="G34" t="s">
        <v>6128</v>
      </c>
      <c r="H34" t="s">
        <v>743</v>
      </c>
      <c r="I34">
        <v>1</v>
      </c>
      <c r="J34">
        <v>4</v>
      </c>
      <c r="K34">
        <v>1</v>
      </c>
      <c r="L34">
        <v>4</v>
      </c>
      <c r="M34">
        <v>10</v>
      </c>
      <c r="N34">
        <v>-1</v>
      </c>
      <c r="O34">
        <v>47</v>
      </c>
      <c r="P34">
        <v>0</v>
      </c>
      <c r="Q34">
        <v>0</v>
      </c>
      <c r="R34">
        <v>0</v>
      </c>
      <c r="S34">
        <v>1</v>
      </c>
      <c r="T34">
        <v>4</v>
      </c>
      <c r="U34">
        <v>3</v>
      </c>
      <c r="V34">
        <v>4620</v>
      </c>
      <c r="W34" t="s">
        <v>6171</v>
      </c>
      <c r="X34" t="s">
        <v>6187</v>
      </c>
      <c r="Y34" t="s">
        <v>6189</v>
      </c>
      <c r="AA34" t="s">
        <v>995</v>
      </c>
      <c r="AB34" t="s">
        <v>1013</v>
      </c>
      <c r="AK34" t="s">
        <v>1007</v>
      </c>
    </row>
    <row r="35" spans="1:37" x14ac:dyDescent="0.3">
      <c r="A35" t="s">
        <v>6200</v>
      </c>
      <c r="B35">
        <v>34</v>
      </c>
      <c r="C35" t="s">
        <v>6264</v>
      </c>
      <c r="D35" s="1032">
        <v>43476</v>
      </c>
      <c r="E35" t="s">
        <v>1274</v>
      </c>
      <c r="F35" t="s">
        <v>17</v>
      </c>
      <c r="G35" t="s">
        <v>6097</v>
      </c>
      <c r="H35" t="s">
        <v>743</v>
      </c>
      <c r="I35">
        <v>1</v>
      </c>
      <c r="J35">
        <v>2</v>
      </c>
      <c r="K35">
        <v>1</v>
      </c>
      <c r="L35">
        <v>2</v>
      </c>
      <c r="M35">
        <v>10</v>
      </c>
      <c r="N35">
        <v>-4</v>
      </c>
      <c r="O35">
        <v>47</v>
      </c>
      <c r="P35">
        <v>0</v>
      </c>
      <c r="Q35">
        <v>0</v>
      </c>
      <c r="R35">
        <v>0</v>
      </c>
      <c r="S35">
        <v>0</v>
      </c>
      <c r="T35">
        <v>1</v>
      </c>
      <c r="U35">
        <v>3</v>
      </c>
      <c r="V35">
        <v>4623</v>
      </c>
      <c r="W35" t="s">
        <v>6187</v>
      </c>
      <c r="X35" t="s">
        <v>6188</v>
      </c>
      <c r="Y35" t="s">
        <v>6189</v>
      </c>
      <c r="AA35" t="s">
        <v>1009</v>
      </c>
      <c r="AB35" t="s">
        <v>1019</v>
      </c>
      <c r="AK35" t="s">
        <v>1010</v>
      </c>
    </row>
    <row r="36" spans="1:37" x14ac:dyDescent="0.3">
      <c r="A36" t="s">
        <v>6200</v>
      </c>
      <c r="B36">
        <v>35</v>
      </c>
      <c r="C36" t="s">
        <v>6265</v>
      </c>
      <c r="D36" s="1032">
        <v>43478</v>
      </c>
      <c r="E36" t="s">
        <v>6179</v>
      </c>
      <c r="F36" t="s">
        <v>16</v>
      </c>
      <c r="G36" t="s">
        <v>6212</v>
      </c>
      <c r="H36" t="s">
        <v>16</v>
      </c>
      <c r="I36">
        <v>5</v>
      </c>
      <c r="J36">
        <v>3</v>
      </c>
      <c r="K36">
        <v>4</v>
      </c>
      <c r="L36">
        <v>3</v>
      </c>
      <c r="M36">
        <v>10</v>
      </c>
      <c r="N36">
        <v>-1</v>
      </c>
      <c r="O36">
        <v>50</v>
      </c>
      <c r="P36">
        <v>0</v>
      </c>
      <c r="Q36">
        <v>1</v>
      </c>
      <c r="R36">
        <v>0</v>
      </c>
      <c r="S36">
        <v>0</v>
      </c>
      <c r="T36">
        <v>4</v>
      </c>
      <c r="U36">
        <v>6</v>
      </c>
      <c r="V36">
        <v>7700</v>
      </c>
      <c r="W36" t="s">
        <v>6100</v>
      </c>
      <c r="X36" t="s">
        <v>6189</v>
      </c>
      <c r="Y36" t="s">
        <v>6118</v>
      </c>
      <c r="AA36" t="s">
        <v>1008</v>
      </c>
      <c r="AB36" t="s">
        <v>1020</v>
      </c>
      <c r="AC36" t="s">
        <v>1021</v>
      </c>
      <c r="AD36" t="s">
        <v>1022</v>
      </c>
      <c r="AE36" t="s">
        <v>1023</v>
      </c>
      <c r="AF36" t="s">
        <v>1024</v>
      </c>
      <c r="AK36" t="s">
        <v>1011</v>
      </c>
    </row>
    <row r="37" spans="1:37" x14ac:dyDescent="0.3">
      <c r="A37" t="s">
        <v>6200</v>
      </c>
      <c r="B37">
        <v>36</v>
      </c>
      <c r="C37" t="s">
        <v>6266</v>
      </c>
      <c r="D37" s="1032">
        <v>43483</v>
      </c>
      <c r="E37" t="s">
        <v>610</v>
      </c>
      <c r="F37" t="s">
        <v>16</v>
      </c>
      <c r="G37" t="s">
        <v>6113</v>
      </c>
      <c r="H37" t="s">
        <v>16</v>
      </c>
      <c r="I37">
        <v>3</v>
      </c>
      <c r="J37">
        <v>2</v>
      </c>
      <c r="K37">
        <v>3</v>
      </c>
      <c r="L37">
        <v>2</v>
      </c>
      <c r="M37">
        <v>10</v>
      </c>
      <c r="N37">
        <v>2</v>
      </c>
      <c r="O37">
        <v>53</v>
      </c>
      <c r="P37">
        <v>1</v>
      </c>
      <c r="Q37">
        <v>0</v>
      </c>
      <c r="R37">
        <v>0</v>
      </c>
      <c r="S37">
        <v>1</v>
      </c>
      <c r="T37">
        <v>5</v>
      </c>
      <c r="U37">
        <v>5</v>
      </c>
      <c r="V37">
        <v>6174</v>
      </c>
      <c r="W37" t="s">
        <v>6097</v>
      </c>
      <c r="X37" t="s">
        <v>6120</v>
      </c>
      <c r="Y37" t="s">
        <v>6120</v>
      </c>
      <c r="AA37" t="s">
        <v>1018</v>
      </c>
      <c r="AB37" t="s">
        <v>1027</v>
      </c>
      <c r="AC37" t="s">
        <v>1028</v>
      </c>
      <c r="AD37" t="s">
        <v>1029</v>
      </c>
      <c r="AK37" t="s">
        <v>1017</v>
      </c>
    </row>
    <row r="38" spans="1:37" x14ac:dyDescent="0.3">
      <c r="A38" t="s">
        <v>6200</v>
      </c>
      <c r="B38">
        <v>37</v>
      </c>
      <c r="C38" t="s">
        <v>6267</v>
      </c>
      <c r="D38" s="1032">
        <v>43485</v>
      </c>
      <c r="E38" t="s">
        <v>325</v>
      </c>
      <c r="F38" t="s">
        <v>17</v>
      </c>
      <c r="G38" t="s">
        <v>6128</v>
      </c>
      <c r="H38" t="s">
        <v>743</v>
      </c>
      <c r="I38">
        <v>1</v>
      </c>
      <c r="J38">
        <v>4</v>
      </c>
      <c r="K38">
        <v>1</v>
      </c>
      <c r="L38">
        <v>3</v>
      </c>
      <c r="M38">
        <v>11</v>
      </c>
      <c r="N38">
        <v>-1</v>
      </c>
      <c r="O38">
        <v>53</v>
      </c>
      <c r="P38">
        <v>1</v>
      </c>
      <c r="Q38">
        <v>0</v>
      </c>
      <c r="R38">
        <v>0</v>
      </c>
      <c r="S38">
        <v>0</v>
      </c>
      <c r="T38">
        <v>4</v>
      </c>
      <c r="U38">
        <v>2</v>
      </c>
      <c r="V38">
        <v>6011</v>
      </c>
      <c r="W38" t="s">
        <v>6171</v>
      </c>
      <c r="X38" t="s">
        <v>6120</v>
      </c>
      <c r="Y38" t="s">
        <v>6171</v>
      </c>
      <c r="AA38" t="s">
        <v>995</v>
      </c>
      <c r="AB38" t="s">
        <v>1030</v>
      </c>
      <c r="AK38" t="s">
        <v>1016</v>
      </c>
    </row>
    <row r="39" spans="1:37" x14ac:dyDescent="0.3">
      <c r="A39" t="s">
        <v>6200</v>
      </c>
      <c r="B39">
        <v>38</v>
      </c>
      <c r="C39" t="s">
        <v>6268</v>
      </c>
      <c r="D39" s="1032">
        <v>43490</v>
      </c>
      <c r="E39" t="s">
        <v>331</v>
      </c>
      <c r="F39" t="s">
        <v>16</v>
      </c>
      <c r="G39" t="s">
        <v>6213</v>
      </c>
      <c r="H39" t="s">
        <v>743</v>
      </c>
      <c r="I39">
        <v>1</v>
      </c>
      <c r="J39">
        <v>7</v>
      </c>
      <c r="K39">
        <v>1</v>
      </c>
      <c r="L39">
        <v>7</v>
      </c>
      <c r="M39">
        <v>11</v>
      </c>
      <c r="N39">
        <v>-1</v>
      </c>
      <c r="O39">
        <v>53</v>
      </c>
      <c r="P39">
        <v>0</v>
      </c>
      <c r="Q39">
        <v>0</v>
      </c>
      <c r="R39">
        <v>1</v>
      </c>
      <c r="S39">
        <v>3</v>
      </c>
      <c r="T39">
        <v>3</v>
      </c>
      <c r="U39">
        <v>7</v>
      </c>
      <c r="V39">
        <v>5432</v>
      </c>
      <c r="W39" t="s">
        <v>6189</v>
      </c>
      <c r="X39" t="s">
        <v>6102</v>
      </c>
      <c r="Y39" t="s">
        <v>6079</v>
      </c>
      <c r="AA39" t="s">
        <v>1025</v>
      </c>
      <c r="AB39" t="s">
        <v>1036</v>
      </c>
      <c r="AK39" t="s">
        <v>1031</v>
      </c>
    </row>
    <row r="40" spans="1:37" x14ac:dyDescent="0.3">
      <c r="A40" t="s">
        <v>6200</v>
      </c>
      <c r="B40">
        <v>39</v>
      </c>
      <c r="C40" t="s">
        <v>6269</v>
      </c>
      <c r="D40" s="1032">
        <v>43492</v>
      </c>
      <c r="E40" t="s">
        <v>328</v>
      </c>
      <c r="F40" t="s">
        <v>17</v>
      </c>
      <c r="G40" t="s">
        <v>6190</v>
      </c>
      <c r="H40" t="s">
        <v>16</v>
      </c>
      <c r="I40">
        <v>5</v>
      </c>
      <c r="J40">
        <v>1</v>
      </c>
      <c r="K40">
        <v>5</v>
      </c>
      <c r="L40">
        <v>1</v>
      </c>
      <c r="M40">
        <v>10</v>
      </c>
      <c r="N40">
        <v>-1</v>
      </c>
      <c r="O40">
        <v>56</v>
      </c>
      <c r="P40">
        <v>0</v>
      </c>
      <c r="Q40">
        <v>0</v>
      </c>
      <c r="R40">
        <v>0</v>
      </c>
      <c r="S40">
        <v>0</v>
      </c>
      <c r="T40">
        <v>4</v>
      </c>
      <c r="U40">
        <v>1</v>
      </c>
      <c r="V40">
        <v>4532</v>
      </c>
      <c r="W40" t="s">
        <v>6118</v>
      </c>
      <c r="X40" t="s">
        <v>6188</v>
      </c>
      <c r="Y40" t="s">
        <v>6110</v>
      </c>
      <c r="AA40" t="s">
        <v>1026</v>
      </c>
      <c r="AB40" t="s">
        <v>1042</v>
      </c>
      <c r="AC40" t="s">
        <v>1043</v>
      </c>
      <c r="AD40" t="s">
        <v>1044</v>
      </c>
      <c r="AE40" t="s">
        <v>1045</v>
      </c>
      <c r="AF40" t="s">
        <v>1046</v>
      </c>
      <c r="AK40" t="s">
        <v>1032</v>
      </c>
    </row>
    <row r="41" spans="1:37" x14ac:dyDescent="0.3">
      <c r="A41" t="s">
        <v>6200</v>
      </c>
      <c r="B41">
        <v>40</v>
      </c>
      <c r="C41" t="s">
        <v>6270</v>
      </c>
      <c r="D41" s="1032">
        <v>43494</v>
      </c>
      <c r="E41" t="s">
        <v>6086</v>
      </c>
      <c r="F41" t="s">
        <v>17</v>
      </c>
      <c r="G41" t="s">
        <v>6077</v>
      </c>
      <c r="H41" t="s">
        <v>743</v>
      </c>
      <c r="I41">
        <v>0</v>
      </c>
      <c r="J41">
        <v>4</v>
      </c>
      <c r="K41">
        <v>0</v>
      </c>
      <c r="L41">
        <v>4</v>
      </c>
      <c r="M41">
        <v>10</v>
      </c>
      <c r="N41">
        <v>-4</v>
      </c>
      <c r="O41">
        <v>56</v>
      </c>
      <c r="P41">
        <v>0</v>
      </c>
      <c r="Q41">
        <v>0</v>
      </c>
      <c r="R41">
        <v>0</v>
      </c>
      <c r="S41">
        <v>1</v>
      </c>
      <c r="T41">
        <v>5</v>
      </c>
      <c r="U41">
        <v>1</v>
      </c>
      <c r="V41">
        <v>3936</v>
      </c>
      <c r="W41" t="s">
        <v>6188</v>
      </c>
      <c r="X41" t="s">
        <v>6189</v>
      </c>
      <c r="Y41" t="s">
        <v>6079</v>
      </c>
      <c r="AA41" t="s">
        <v>6077</v>
      </c>
      <c r="AB41" t="s">
        <v>515</v>
      </c>
      <c r="AK41" t="s">
        <v>1035</v>
      </c>
    </row>
    <row r="42" spans="1:37" x14ac:dyDescent="0.3">
      <c r="A42" t="s">
        <v>6200</v>
      </c>
      <c r="B42">
        <v>41</v>
      </c>
      <c r="C42" t="s">
        <v>6271</v>
      </c>
      <c r="D42" s="1032">
        <v>43497</v>
      </c>
      <c r="E42" t="s">
        <v>326</v>
      </c>
      <c r="F42" t="s">
        <v>16</v>
      </c>
      <c r="G42" t="s">
        <v>355</v>
      </c>
      <c r="H42" t="s">
        <v>793</v>
      </c>
      <c r="I42">
        <v>2</v>
      </c>
      <c r="J42">
        <v>1</v>
      </c>
      <c r="K42">
        <v>1</v>
      </c>
      <c r="L42">
        <v>1</v>
      </c>
      <c r="M42">
        <v>10</v>
      </c>
      <c r="N42">
        <v>-2</v>
      </c>
      <c r="O42">
        <v>58</v>
      </c>
      <c r="P42">
        <v>0</v>
      </c>
      <c r="Q42">
        <v>1</v>
      </c>
      <c r="R42">
        <v>0</v>
      </c>
      <c r="S42">
        <v>0</v>
      </c>
      <c r="T42">
        <v>2</v>
      </c>
      <c r="U42">
        <v>2</v>
      </c>
      <c r="V42">
        <v>4002</v>
      </c>
      <c r="W42" t="s">
        <v>6188</v>
      </c>
      <c r="X42" t="s">
        <v>6187</v>
      </c>
      <c r="Y42" t="s">
        <v>6188</v>
      </c>
      <c r="Z42" t="s">
        <v>619</v>
      </c>
      <c r="AA42" t="s">
        <v>1037</v>
      </c>
      <c r="AB42" t="s">
        <v>1050</v>
      </c>
      <c r="AC42" t="s">
        <v>1039</v>
      </c>
      <c r="AK42" t="s">
        <v>1040</v>
      </c>
    </row>
    <row r="43" spans="1:37" x14ac:dyDescent="0.3">
      <c r="A43" t="s">
        <v>6200</v>
      </c>
      <c r="B43">
        <v>42</v>
      </c>
      <c r="C43" t="s">
        <v>6272</v>
      </c>
      <c r="D43" s="1032">
        <v>43499</v>
      </c>
      <c r="E43" t="s">
        <v>327</v>
      </c>
      <c r="F43" t="s">
        <v>17</v>
      </c>
      <c r="G43" t="s">
        <v>6118</v>
      </c>
      <c r="H43" t="s">
        <v>16</v>
      </c>
      <c r="I43">
        <v>2</v>
      </c>
      <c r="J43">
        <v>1</v>
      </c>
      <c r="K43">
        <v>2</v>
      </c>
      <c r="L43">
        <v>1</v>
      </c>
      <c r="M43">
        <v>10</v>
      </c>
      <c r="N43">
        <v>-2</v>
      </c>
      <c r="O43">
        <v>61</v>
      </c>
      <c r="P43">
        <v>1</v>
      </c>
      <c r="Q43">
        <v>0</v>
      </c>
      <c r="R43">
        <v>0</v>
      </c>
      <c r="S43">
        <v>0</v>
      </c>
      <c r="T43">
        <v>5</v>
      </c>
      <c r="U43">
        <v>3</v>
      </c>
      <c r="V43">
        <v>4327</v>
      </c>
      <c r="W43" t="s">
        <v>6188</v>
      </c>
      <c r="X43" t="s">
        <v>6187</v>
      </c>
      <c r="Y43" t="s">
        <v>6120</v>
      </c>
      <c r="AA43" t="s">
        <v>758</v>
      </c>
      <c r="AB43" t="s">
        <v>1048</v>
      </c>
      <c r="AC43" t="s">
        <v>1049</v>
      </c>
      <c r="AK43" t="s">
        <v>1041</v>
      </c>
    </row>
    <row r="44" spans="1:37" x14ac:dyDescent="0.3">
      <c r="A44" t="s">
        <v>6200</v>
      </c>
      <c r="B44">
        <v>43</v>
      </c>
      <c r="C44" t="s">
        <v>6273</v>
      </c>
      <c r="D44" s="1032">
        <v>43509</v>
      </c>
      <c r="E44" t="s">
        <v>612</v>
      </c>
      <c r="F44" t="s">
        <v>16</v>
      </c>
      <c r="G44" t="s">
        <v>6128</v>
      </c>
      <c r="H44" t="s">
        <v>743</v>
      </c>
      <c r="I44">
        <v>1</v>
      </c>
      <c r="J44">
        <v>4</v>
      </c>
      <c r="K44">
        <v>1</v>
      </c>
      <c r="L44">
        <v>4</v>
      </c>
      <c r="M44">
        <v>10</v>
      </c>
      <c r="N44">
        <v>-2</v>
      </c>
      <c r="O44">
        <v>61</v>
      </c>
      <c r="P44">
        <v>0</v>
      </c>
      <c r="Q44">
        <v>0</v>
      </c>
      <c r="R44">
        <v>0</v>
      </c>
      <c r="S44">
        <v>2</v>
      </c>
      <c r="T44">
        <v>7</v>
      </c>
      <c r="U44">
        <v>5</v>
      </c>
      <c r="V44">
        <v>5125</v>
      </c>
      <c r="W44" t="s">
        <v>6189</v>
      </c>
      <c r="X44" t="s">
        <v>6171</v>
      </c>
      <c r="Y44" t="s">
        <v>6187</v>
      </c>
      <c r="AA44" t="s">
        <v>996</v>
      </c>
      <c r="AB44" t="s">
        <v>1101</v>
      </c>
      <c r="AK44" t="s">
        <v>1083</v>
      </c>
    </row>
    <row r="45" spans="1:37" x14ac:dyDescent="0.3">
      <c r="A45" t="s">
        <v>6200</v>
      </c>
      <c r="B45">
        <v>44</v>
      </c>
      <c r="C45" t="s">
        <v>6274</v>
      </c>
      <c r="D45" s="1032">
        <v>43511</v>
      </c>
      <c r="E45" t="s">
        <v>6076</v>
      </c>
      <c r="F45" t="s">
        <v>17</v>
      </c>
      <c r="G45" t="s">
        <v>601</v>
      </c>
      <c r="H45" t="s">
        <v>793</v>
      </c>
      <c r="I45">
        <v>5</v>
      </c>
      <c r="J45">
        <v>4</v>
      </c>
      <c r="K45">
        <v>4</v>
      </c>
      <c r="L45">
        <v>4</v>
      </c>
      <c r="M45">
        <v>10</v>
      </c>
      <c r="N45">
        <v>-3</v>
      </c>
      <c r="O45">
        <v>63</v>
      </c>
      <c r="P45">
        <v>1</v>
      </c>
      <c r="Q45">
        <v>1</v>
      </c>
      <c r="R45">
        <v>0</v>
      </c>
      <c r="S45">
        <v>0</v>
      </c>
      <c r="T45">
        <v>4</v>
      </c>
      <c r="U45">
        <v>7</v>
      </c>
      <c r="V45">
        <v>4456</v>
      </c>
      <c r="W45" t="s">
        <v>6120</v>
      </c>
      <c r="X45" t="s">
        <v>6146</v>
      </c>
      <c r="Y45" t="s">
        <v>6187</v>
      </c>
      <c r="Z45" t="s">
        <v>756</v>
      </c>
      <c r="AA45" t="s">
        <v>1085</v>
      </c>
      <c r="AB45" t="s">
        <v>1102</v>
      </c>
      <c r="AC45" t="s">
        <v>1103</v>
      </c>
      <c r="AD45" t="s">
        <v>1104</v>
      </c>
      <c r="AE45" t="s">
        <v>1105</v>
      </c>
      <c r="AF45" t="s">
        <v>1106</v>
      </c>
      <c r="AK45" t="s">
        <v>1086</v>
      </c>
    </row>
    <row r="46" spans="1:37" x14ac:dyDescent="0.3">
      <c r="A46" t="s">
        <v>6200</v>
      </c>
      <c r="B46">
        <v>45</v>
      </c>
      <c r="C46" t="s">
        <v>6275</v>
      </c>
      <c r="D46" s="1032">
        <v>43513</v>
      </c>
      <c r="E46" t="s">
        <v>626</v>
      </c>
      <c r="F46" t="s">
        <v>16</v>
      </c>
      <c r="G46" t="s">
        <v>601</v>
      </c>
      <c r="H46" t="s">
        <v>793</v>
      </c>
      <c r="I46">
        <v>5</v>
      </c>
      <c r="J46">
        <v>4</v>
      </c>
      <c r="K46">
        <v>4</v>
      </c>
      <c r="L46">
        <v>4</v>
      </c>
      <c r="M46">
        <v>10</v>
      </c>
      <c r="N46">
        <v>-1</v>
      </c>
      <c r="O46">
        <v>65</v>
      </c>
      <c r="P46">
        <v>2</v>
      </c>
      <c r="Q46">
        <v>0</v>
      </c>
      <c r="R46">
        <v>0</v>
      </c>
      <c r="S46">
        <v>2</v>
      </c>
      <c r="T46">
        <v>3</v>
      </c>
      <c r="U46">
        <v>4</v>
      </c>
      <c r="V46">
        <v>4177</v>
      </c>
      <c r="W46" t="s">
        <v>6189</v>
      </c>
      <c r="X46" t="s">
        <v>6113</v>
      </c>
      <c r="Y46" t="s">
        <v>6187</v>
      </c>
      <c r="Z46" t="s">
        <v>756</v>
      </c>
      <c r="AA46" t="s">
        <v>1084</v>
      </c>
      <c r="AB46" t="s">
        <v>1107</v>
      </c>
      <c r="AC46" t="s">
        <v>1108</v>
      </c>
      <c r="AD46" t="s">
        <v>1109</v>
      </c>
      <c r="AE46" t="s">
        <v>1110</v>
      </c>
      <c r="AF46" t="s">
        <v>1111</v>
      </c>
      <c r="AK46" t="s">
        <v>1087</v>
      </c>
    </row>
    <row r="47" spans="1:37" x14ac:dyDescent="0.3">
      <c r="A47" t="s">
        <v>6200</v>
      </c>
      <c r="B47">
        <v>46</v>
      </c>
      <c r="C47" t="s">
        <v>6276</v>
      </c>
      <c r="D47" s="1032">
        <v>43515</v>
      </c>
      <c r="E47" t="s">
        <v>334</v>
      </c>
      <c r="F47" t="s">
        <v>17</v>
      </c>
      <c r="G47" t="s">
        <v>6206</v>
      </c>
      <c r="H47" t="s">
        <v>743</v>
      </c>
      <c r="I47">
        <v>0</v>
      </c>
      <c r="J47">
        <v>5</v>
      </c>
      <c r="K47">
        <v>0</v>
      </c>
      <c r="L47">
        <v>5</v>
      </c>
      <c r="M47">
        <v>11</v>
      </c>
      <c r="N47">
        <v>-4</v>
      </c>
      <c r="O47">
        <v>65</v>
      </c>
      <c r="P47">
        <v>0</v>
      </c>
      <c r="Q47">
        <v>0</v>
      </c>
      <c r="R47">
        <v>0</v>
      </c>
      <c r="S47">
        <v>0</v>
      </c>
      <c r="T47">
        <v>4</v>
      </c>
      <c r="U47">
        <v>3</v>
      </c>
      <c r="V47">
        <v>3167</v>
      </c>
      <c r="W47" t="s">
        <v>6079</v>
      </c>
      <c r="X47" t="s">
        <v>6189</v>
      </c>
      <c r="Y47" t="s">
        <v>6189</v>
      </c>
      <c r="AA47" t="s">
        <v>6206</v>
      </c>
      <c r="AB47" t="s">
        <v>515</v>
      </c>
      <c r="AK47" t="s">
        <v>1089</v>
      </c>
    </row>
    <row r="48" spans="1:37" x14ac:dyDescent="0.3">
      <c r="A48" t="s">
        <v>6200</v>
      </c>
      <c r="B48">
        <v>47</v>
      </c>
      <c r="C48" t="s">
        <v>6277</v>
      </c>
      <c r="D48" s="1032">
        <v>43518</v>
      </c>
      <c r="E48" t="s">
        <v>1274</v>
      </c>
      <c r="F48" t="s">
        <v>16</v>
      </c>
      <c r="G48" t="s">
        <v>6128</v>
      </c>
      <c r="H48" t="s">
        <v>743</v>
      </c>
      <c r="I48">
        <v>1</v>
      </c>
      <c r="J48">
        <v>4</v>
      </c>
      <c r="K48">
        <v>1</v>
      </c>
      <c r="L48">
        <v>4</v>
      </c>
      <c r="M48">
        <v>11</v>
      </c>
      <c r="N48">
        <v>-4</v>
      </c>
      <c r="O48">
        <v>65</v>
      </c>
      <c r="P48">
        <v>1</v>
      </c>
      <c r="Q48">
        <v>0</v>
      </c>
      <c r="R48">
        <v>0</v>
      </c>
      <c r="S48">
        <v>1</v>
      </c>
      <c r="T48">
        <v>6</v>
      </c>
      <c r="U48">
        <v>5</v>
      </c>
      <c r="V48">
        <v>5237</v>
      </c>
      <c r="W48" t="s">
        <v>6079</v>
      </c>
      <c r="X48" t="s">
        <v>6187</v>
      </c>
      <c r="Y48" t="s">
        <v>6188</v>
      </c>
      <c r="AA48" t="s">
        <v>1096</v>
      </c>
      <c r="AB48" t="s">
        <v>1112</v>
      </c>
      <c r="AK48" t="s">
        <v>1098</v>
      </c>
    </row>
    <row r="49" spans="1:37" x14ac:dyDescent="0.3">
      <c r="A49" t="s">
        <v>6200</v>
      </c>
      <c r="B49">
        <v>48</v>
      </c>
      <c r="C49" t="s">
        <v>6278</v>
      </c>
      <c r="D49" s="1032">
        <v>43520</v>
      </c>
      <c r="E49" t="s">
        <v>6179</v>
      </c>
      <c r="F49" t="s">
        <v>17</v>
      </c>
      <c r="G49" t="s">
        <v>6211</v>
      </c>
      <c r="H49" t="s">
        <v>743</v>
      </c>
      <c r="I49">
        <v>3</v>
      </c>
      <c r="J49">
        <v>4</v>
      </c>
      <c r="K49">
        <v>3</v>
      </c>
      <c r="L49">
        <v>4</v>
      </c>
      <c r="M49">
        <v>11</v>
      </c>
      <c r="N49">
        <v>-7</v>
      </c>
      <c r="O49">
        <v>65</v>
      </c>
      <c r="P49">
        <v>0</v>
      </c>
      <c r="Q49">
        <v>0</v>
      </c>
      <c r="R49">
        <v>0</v>
      </c>
      <c r="S49">
        <v>0</v>
      </c>
      <c r="T49">
        <v>2</v>
      </c>
      <c r="U49">
        <v>1</v>
      </c>
      <c r="V49">
        <v>3021</v>
      </c>
      <c r="W49" t="s">
        <v>6189</v>
      </c>
      <c r="X49" t="s">
        <v>6187</v>
      </c>
      <c r="Y49" t="s">
        <v>6194</v>
      </c>
      <c r="AA49" t="s">
        <v>1097</v>
      </c>
      <c r="AB49" t="s">
        <v>1113</v>
      </c>
      <c r="AC49" t="s">
        <v>1114</v>
      </c>
      <c r="AD49" t="s">
        <v>1115</v>
      </c>
      <c r="AK49" t="s">
        <v>6545</v>
      </c>
    </row>
    <row r="50" spans="1:37" x14ac:dyDescent="0.3">
      <c r="A50" t="s">
        <v>6200</v>
      </c>
      <c r="B50">
        <v>49</v>
      </c>
      <c r="C50" t="s">
        <v>6279</v>
      </c>
      <c r="D50" s="1032">
        <v>43525</v>
      </c>
      <c r="E50" t="s">
        <v>610</v>
      </c>
      <c r="F50" t="s">
        <v>17</v>
      </c>
      <c r="G50" t="s">
        <v>6209</v>
      </c>
      <c r="H50" t="s">
        <v>16</v>
      </c>
      <c r="I50">
        <v>6</v>
      </c>
      <c r="J50">
        <v>3</v>
      </c>
      <c r="K50">
        <v>6</v>
      </c>
      <c r="L50">
        <v>3</v>
      </c>
      <c r="M50">
        <v>11</v>
      </c>
      <c r="N50">
        <v>-7</v>
      </c>
      <c r="O50">
        <v>68</v>
      </c>
      <c r="P50">
        <v>2</v>
      </c>
      <c r="Q50">
        <v>0</v>
      </c>
      <c r="R50">
        <v>0</v>
      </c>
      <c r="S50">
        <v>0</v>
      </c>
      <c r="T50">
        <v>5</v>
      </c>
      <c r="U50">
        <v>3</v>
      </c>
      <c r="V50">
        <v>4587</v>
      </c>
      <c r="W50" t="s">
        <v>6097</v>
      </c>
      <c r="X50" t="s">
        <v>6100</v>
      </c>
      <c r="Y50" t="s">
        <v>6089</v>
      </c>
      <c r="AA50" t="s">
        <v>1099</v>
      </c>
      <c r="AB50" t="s">
        <v>1130</v>
      </c>
      <c r="AC50" t="s">
        <v>1131</v>
      </c>
      <c r="AD50" t="s">
        <v>1132</v>
      </c>
      <c r="AE50" t="s">
        <v>1133</v>
      </c>
      <c r="AF50" t="s">
        <v>1134</v>
      </c>
      <c r="AG50" t="s">
        <v>1135</v>
      </c>
      <c r="AK50" t="s">
        <v>1141</v>
      </c>
    </row>
    <row r="51" spans="1:37" x14ac:dyDescent="0.3">
      <c r="A51" t="s">
        <v>6200</v>
      </c>
      <c r="B51">
        <v>50</v>
      </c>
      <c r="C51" t="s">
        <v>6280</v>
      </c>
      <c r="D51" s="1032">
        <v>43527</v>
      </c>
      <c r="E51" t="s">
        <v>325</v>
      </c>
      <c r="F51" t="s">
        <v>16</v>
      </c>
      <c r="G51" t="s">
        <v>6204</v>
      </c>
      <c r="H51" t="s">
        <v>743</v>
      </c>
      <c r="I51">
        <v>3</v>
      </c>
      <c r="J51">
        <v>5</v>
      </c>
      <c r="K51">
        <v>3</v>
      </c>
      <c r="L51">
        <v>5</v>
      </c>
      <c r="M51">
        <v>11</v>
      </c>
      <c r="N51">
        <v>-7</v>
      </c>
      <c r="O51">
        <v>68</v>
      </c>
      <c r="P51">
        <v>0</v>
      </c>
      <c r="Q51">
        <v>0</v>
      </c>
      <c r="R51">
        <v>1</v>
      </c>
      <c r="S51">
        <v>0</v>
      </c>
      <c r="T51">
        <v>5</v>
      </c>
      <c r="U51">
        <v>5</v>
      </c>
      <c r="V51">
        <v>11143</v>
      </c>
      <c r="W51" t="s">
        <v>6171</v>
      </c>
      <c r="X51" t="s">
        <v>6194</v>
      </c>
      <c r="Y51" t="s">
        <v>6187</v>
      </c>
      <c r="AA51" t="s">
        <v>1100</v>
      </c>
      <c r="AB51" t="s">
        <v>1136</v>
      </c>
      <c r="AC51" t="s">
        <v>1137</v>
      </c>
      <c r="AD51" t="s">
        <v>1138</v>
      </c>
      <c r="AK51" t="s">
        <v>1118</v>
      </c>
    </row>
    <row r="52" spans="1:37" x14ac:dyDescent="0.3">
      <c r="A52" t="s">
        <v>6200</v>
      </c>
      <c r="B52">
        <v>51</v>
      </c>
      <c r="C52" t="s">
        <v>6281</v>
      </c>
      <c r="D52" s="1032">
        <v>43529</v>
      </c>
      <c r="E52" t="s">
        <v>331</v>
      </c>
      <c r="F52" t="s">
        <v>17</v>
      </c>
      <c r="G52" t="s">
        <v>6190</v>
      </c>
      <c r="H52" t="s">
        <v>16</v>
      </c>
      <c r="I52">
        <v>5</v>
      </c>
      <c r="J52">
        <v>1</v>
      </c>
      <c r="K52">
        <v>5</v>
      </c>
      <c r="L52">
        <v>1</v>
      </c>
      <c r="M52">
        <v>11</v>
      </c>
      <c r="N52">
        <v>-7</v>
      </c>
      <c r="O52">
        <v>71</v>
      </c>
      <c r="P52">
        <v>0</v>
      </c>
      <c r="Q52">
        <v>0</v>
      </c>
      <c r="R52">
        <v>0</v>
      </c>
      <c r="S52">
        <v>0</v>
      </c>
      <c r="T52">
        <v>4</v>
      </c>
      <c r="U52">
        <v>6</v>
      </c>
      <c r="V52">
        <v>3879</v>
      </c>
      <c r="W52" t="s">
        <v>6089</v>
      </c>
      <c r="X52" t="s">
        <v>6120</v>
      </c>
      <c r="Y52" t="s">
        <v>6118</v>
      </c>
      <c r="AA52" t="s">
        <v>1123</v>
      </c>
      <c r="AB52" t="s">
        <v>1159</v>
      </c>
      <c r="AC52" t="s">
        <v>1160</v>
      </c>
      <c r="AD52" t="s">
        <v>1161</v>
      </c>
      <c r="AE52" t="s">
        <v>1162</v>
      </c>
      <c r="AF52" t="s">
        <v>1163</v>
      </c>
      <c r="AK52" t="s">
        <v>1124</v>
      </c>
    </row>
    <row r="53" spans="1:37" x14ac:dyDescent="0.3">
      <c r="A53" t="s">
        <v>6200</v>
      </c>
      <c r="B53">
        <v>52</v>
      </c>
      <c r="C53" t="s">
        <v>6282</v>
      </c>
      <c r="D53" s="1032">
        <v>43532</v>
      </c>
      <c r="E53" t="s">
        <v>328</v>
      </c>
      <c r="F53" t="s">
        <v>16</v>
      </c>
      <c r="G53" t="s">
        <v>6084</v>
      </c>
      <c r="H53" t="s">
        <v>743</v>
      </c>
      <c r="I53">
        <v>1</v>
      </c>
      <c r="J53">
        <v>5</v>
      </c>
      <c r="K53">
        <v>1</v>
      </c>
      <c r="L53">
        <v>4</v>
      </c>
      <c r="M53">
        <v>11</v>
      </c>
      <c r="N53">
        <v>-7</v>
      </c>
      <c r="O53">
        <v>71</v>
      </c>
      <c r="P53">
        <v>0</v>
      </c>
      <c r="Q53">
        <v>0</v>
      </c>
      <c r="R53">
        <v>0</v>
      </c>
      <c r="S53">
        <v>1</v>
      </c>
      <c r="T53">
        <v>5</v>
      </c>
      <c r="U53">
        <v>6</v>
      </c>
      <c r="V53">
        <v>4509</v>
      </c>
      <c r="W53" t="s">
        <v>6120</v>
      </c>
      <c r="X53" t="s">
        <v>6189</v>
      </c>
      <c r="Y53" t="s">
        <v>6077</v>
      </c>
      <c r="AA53" t="s">
        <v>1129</v>
      </c>
      <c r="AB53" t="s">
        <v>1158</v>
      </c>
      <c r="AK53" t="s">
        <v>1128</v>
      </c>
    </row>
    <row r="54" spans="1:37" x14ac:dyDescent="0.3">
      <c r="A54" t="s">
        <v>6200</v>
      </c>
      <c r="B54">
        <v>53</v>
      </c>
      <c r="C54" t="s">
        <v>6317</v>
      </c>
      <c r="D54" s="1032">
        <v>43536</v>
      </c>
      <c r="E54" t="s">
        <v>327</v>
      </c>
      <c r="F54" t="s">
        <v>17</v>
      </c>
      <c r="G54" t="s">
        <v>6209</v>
      </c>
      <c r="H54" t="s">
        <v>16</v>
      </c>
      <c r="I54">
        <v>6</v>
      </c>
      <c r="J54">
        <v>3</v>
      </c>
      <c r="K54">
        <v>6</v>
      </c>
      <c r="L54">
        <v>3</v>
      </c>
      <c r="M54">
        <v>11</v>
      </c>
      <c r="N54">
        <v>-7</v>
      </c>
      <c r="O54">
        <v>74</v>
      </c>
      <c r="P54">
        <v>1</v>
      </c>
      <c r="Q54">
        <v>0</v>
      </c>
      <c r="R54">
        <v>0</v>
      </c>
      <c r="S54">
        <v>1</v>
      </c>
      <c r="T54">
        <v>6</v>
      </c>
      <c r="U54">
        <v>5</v>
      </c>
      <c r="V54">
        <v>1476</v>
      </c>
      <c r="W54" t="s">
        <v>6187</v>
      </c>
      <c r="X54" t="s">
        <v>6187</v>
      </c>
      <c r="Y54" t="s">
        <v>6148</v>
      </c>
      <c r="AA54" t="s">
        <v>1139</v>
      </c>
      <c r="AB54" t="s">
        <v>1195</v>
      </c>
      <c r="AC54" t="s">
        <v>1196</v>
      </c>
      <c r="AD54" t="s">
        <v>1197</v>
      </c>
      <c r="AE54" t="s">
        <v>1198</v>
      </c>
      <c r="AF54" t="s">
        <v>1199</v>
      </c>
      <c r="AG54" t="s">
        <v>1200</v>
      </c>
      <c r="AK54" t="s">
        <v>1140</v>
      </c>
    </row>
    <row r="55" spans="1:37" x14ac:dyDescent="0.3">
      <c r="A55" t="s">
        <v>6200</v>
      </c>
      <c r="B55">
        <v>54</v>
      </c>
      <c r="C55" t="s">
        <v>6317</v>
      </c>
      <c r="D55" s="1032">
        <v>43539</v>
      </c>
      <c r="E55" t="s">
        <v>612</v>
      </c>
      <c r="F55" t="s">
        <v>16</v>
      </c>
      <c r="G55" t="s">
        <v>6073</v>
      </c>
      <c r="H55" t="s">
        <v>16</v>
      </c>
      <c r="I55">
        <v>4</v>
      </c>
      <c r="J55">
        <v>2</v>
      </c>
      <c r="K55">
        <v>4</v>
      </c>
      <c r="L55">
        <v>2</v>
      </c>
      <c r="M55">
        <v>11</v>
      </c>
      <c r="N55">
        <v>-4</v>
      </c>
      <c r="O55">
        <v>77</v>
      </c>
      <c r="P55">
        <v>1</v>
      </c>
      <c r="Q55">
        <v>1</v>
      </c>
      <c r="R55">
        <v>0</v>
      </c>
      <c r="S55">
        <v>0</v>
      </c>
      <c r="T55">
        <v>4</v>
      </c>
      <c r="U55">
        <v>3</v>
      </c>
      <c r="V55">
        <v>3833</v>
      </c>
      <c r="W55" t="s">
        <v>6089</v>
      </c>
      <c r="X55" t="s">
        <v>6118</v>
      </c>
      <c r="Y55" t="s">
        <v>6189</v>
      </c>
      <c r="AA55" t="s">
        <v>1155</v>
      </c>
      <c r="AB55" t="s">
        <v>1201</v>
      </c>
      <c r="AC55" t="s">
        <v>1202</v>
      </c>
      <c r="AD55" t="s">
        <v>1203</v>
      </c>
      <c r="AE55" t="s">
        <v>1204</v>
      </c>
      <c r="AK55" t="s">
        <v>1156</v>
      </c>
    </row>
    <row r="56" spans="1:37" x14ac:dyDescent="0.3">
      <c r="A56" t="s">
        <v>6200</v>
      </c>
      <c r="B56">
        <v>55</v>
      </c>
      <c r="C56" t="s">
        <v>6317</v>
      </c>
      <c r="D56" s="1032">
        <v>43541</v>
      </c>
      <c r="E56" t="s">
        <v>6076</v>
      </c>
      <c r="F56" t="s">
        <v>17</v>
      </c>
      <c r="G56" t="s">
        <v>6092</v>
      </c>
      <c r="H56" t="s">
        <v>743</v>
      </c>
      <c r="I56">
        <v>3</v>
      </c>
      <c r="J56">
        <v>6</v>
      </c>
      <c r="K56">
        <v>3</v>
      </c>
      <c r="L56">
        <v>6</v>
      </c>
      <c r="M56">
        <v>11</v>
      </c>
      <c r="N56">
        <v>-7</v>
      </c>
      <c r="O56">
        <v>77</v>
      </c>
      <c r="P56">
        <v>0</v>
      </c>
      <c r="Q56">
        <v>0</v>
      </c>
      <c r="R56">
        <v>0</v>
      </c>
      <c r="S56">
        <v>0</v>
      </c>
      <c r="T56">
        <v>2</v>
      </c>
      <c r="U56">
        <v>1</v>
      </c>
      <c r="V56">
        <v>1375</v>
      </c>
      <c r="W56" t="s">
        <v>6188</v>
      </c>
      <c r="X56" t="s">
        <v>6146</v>
      </c>
      <c r="Y56" t="s">
        <v>6102</v>
      </c>
      <c r="AA56" t="s">
        <v>1154</v>
      </c>
      <c r="AB56" t="s">
        <v>1205</v>
      </c>
      <c r="AC56" t="s">
        <v>1206</v>
      </c>
      <c r="AD56" t="s">
        <v>1207</v>
      </c>
      <c r="AK56" t="s">
        <v>1157</v>
      </c>
    </row>
    <row r="57" spans="1:37" x14ac:dyDescent="0.3">
      <c r="A57" t="s">
        <v>6200</v>
      </c>
      <c r="B57">
        <v>56</v>
      </c>
      <c r="C57" t="s">
        <v>6317</v>
      </c>
      <c r="D57" s="1032">
        <v>43543</v>
      </c>
      <c r="E57" t="s">
        <v>6076</v>
      </c>
      <c r="F57" t="s">
        <v>16</v>
      </c>
      <c r="G57" t="s">
        <v>601</v>
      </c>
      <c r="H57" t="s">
        <v>793</v>
      </c>
      <c r="I57">
        <v>5</v>
      </c>
      <c r="J57">
        <v>4</v>
      </c>
      <c r="K57">
        <v>4</v>
      </c>
      <c r="L57">
        <v>4</v>
      </c>
      <c r="M57">
        <v>11</v>
      </c>
      <c r="N57">
        <v>-5</v>
      </c>
      <c r="O57">
        <v>79</v>
      </c>
      <c r="P57">
        <v>0</v>
      </c>
      <c r="Q57">
        <v>0</v>
      </c>
      <c r="R57">
        <v>0</v>
      </c>
      <c r="S57">
        <v>2</v>
      </c>
      <c r="T57">
        <v>0</v>
      </c>
      <c r="U57">
        <v>5</v>
      </c>
      <c r="V57">
        <v>3074</v>
      </c>
      <c r="W57" t="s">
        <v>6120</v>
      </c>
      <c r="X57" t="s">
        <v>6118</v>
      </c>
      <c r="Y57" t="s">
        <v>6102</v>
      </c>
      <c r="Z57" t="s">
        <v>756</v>
      </c>
      <c r="AA57" t="s">
        <v>1183</v>
      </c>
      <c r="AB57" t="s">
        <v>1208</v>
      </c>
      <c r="AC57" t="s">
        <v>1209</v>
      </c>
      <c r="AD57" t="s">
        <v>1210</v>
      </c>
      <c r="AE57" t="s">
        <v>1211</v>
      </c>
      <c r="AF57" t="s">
        <v>1212</v>
      </c>
      <c r="AK57" t="s">
        <v>1184</v>
      </c>
    </row>
    <row r="58" spans="1:37" x14ac:dyDescent="0.3">
      <c r="A58" t="s">
        <v>6200</v>
      </c>
      <c r="B58">
        <v>57</v>
      </c>
      <c r="C58" t="s">
        <v>6317</v>
      </c>
      <c r="D58" s="1032">
        <v>43546</v>
      </c>
      <c r="E58" t="s">
        <v>327</v>
      </c>
      <c r="F58" t="s">
        <v>16</v>
      </c>
      <c r="G58" t="s">
        <v>6133</v>
      </c>
      <c r="H58" t="s">
        <v>16</v>
      </c>
      <c r="I58">
        <v>5</v>
      </c>
      <c r="J58">
        <v>2</v>
      </c>
      <c r="K58">
        <v>5</v>
      </c>
      <c r="L58">
        <v>2</v>
      </c>
      <c r="M58">
        <v>11</v>
      </c>
      <c r="N58">
        <v>-2</v>
      </c>
      <c r="O58">
        <v>82</v>
      </c>
      <c r="P58">
        <v>3</v>
      </c>
      <c r="Q58">
        <v>0</v>
      </c>
      <c r="R58">
        <v>0</v>
      </c>
      <c r="S58">
        <v>0</v>
      </c>
      <c r="T58">
        <v>9</v>
      </c>
      <c r="U58">
        <v>3</v>
      </c>
      <c r="V58">
        <v>2683</v>
      </c>
      <c r="W58" t="s">
        <v>6089</v>
      </c>
      <c r="X58" t="s">
        <v>6089</v>
      </c>
      <c r="Y58" t="s">
        <v>6097</v>
      </c>
      <c r="AA58" t="s">
        <v>1186</v>
      </c>
      <c r="AB58" t="s">
        <v>1213</v>
      </c>
      <c r="AC58" t="s">
        <v>1220</v>
      </c>
      <c r="AD58" t="s">
        <v>1214</v>
      </c>
      <c r="AE58" t="s">
        <v>1215</v>
      </c>
      <c r="AF58" t="s">
        <v>1216</v>
      </c>
      <c r="AK58" t="s">
        <v>1187</v>
      </c>
    </row>
    <row r="59" spans="1:37" x14ac:dyDescent="0.3">
      <c r="A59" t="s">
        <v>6200</v>
      </c>
      <c r="B59">
        <v>58</v>
      </c>
      <c r="C59" t="s">
        <v>6317</v>
      </c>
      <c r="D59" s="1032">
        <v>43548</v>
      </c>
      <c r="E59" t="s">
        <v>612</v>
      </c>
      <c r="F59" t="s">
        <v>17</v>
      </c>
      <c r="G59" t="s">
        <v>6073</v>
      </c>
      <c r="H59" t="s">
        <v>16</v>
      </c>
      <c r="I59">
        <v>4</v>
      </c>
      <c r="J59">
        <v>2</v>
      </c>
      <c r="K59">
        <v>4</v>
      </c>
      <c r="L59">
        <v>2</v>
      </c>
      <c r="M59">
        <v>11</v>
      </c>
      <c r="N59">
        <v>-2</v>
      </c>
      <c r="O59">
        <v>85</v>
      </c>
      <c r="P59">
        <v>0</v>
      </c>
      <c r="Q59">
        <v>0</v>
      </c>
      <c r="R59">
        <v>0</v>
      </c>
      <c r="S59">
        <v>0</v>
      </c>
      <c r="T59">
        <v>2</v>
      </c>
      <c r="U59">
        <v>1</v>
      </c>
      <c r="V59">
        <v>3075</v>
      </c>
      <c r="W59" t="s">
        <v>6189</v>
      </c>
      <c r="X59" t="s">
        <v>6100</v>
      </c>
      <c r="Y59" t="s">
        <v>6120</v>
      </c>
      <c r="AA59" t="s">
        <v>1185</v>
      </c>
      <c r="AB59" t="s">
        <v>1217</v>
      </c>
      <c r="AC59" t="s">
        <v>1218</v>
      </c>
      <c r="AD59" t="s">
        <v>1219</v>
      </c>
      <c r="AK59" t="s">
        <v>1188</v>
      </c>
    </row>
    <row r="60" spans="1:37" x14ac:dyDescent="0.3">
      <c r="A60" t="s">
        <v>6199</v>
      </c>
      <c r="B60">
        <v>1</v>
      </c>
      <c r="C60" t="s">
        <v>6284</v>
      </c>
      <c r="D60" s="1032">
        <v>43721</v>
      </c>
      <c r="E60" t="s">
        <v>6179</v>
      </c>
      <c r="F60" t="s">
        <v>17</v>
      </c>
      <c r="G60" t="s">
        <v>6118</v>
      </c>
      <c r="H60" t="s">
        <v>16</v>
      </c>
      <c r="I60">
        <v>2</v>
      </c>
      <c r="J60">
        <v>1</v>
      </c>
      <c r="K60">
        <v>2</v>
      </c>
      <c r="L60">
        <v>1</v>
      </c>
      <c r="M60">
        <v>3</v>
      </c>
      <c r="N60">
        <v>0</v>
      </c>
      <c r="O60">
        <v>3</v>
      </c>
      <c r="P60">
        <v>0</v>
      </c>
      <c r="Q60">
        <v>0</v>
      </c>
      <c r="R60">
        <v>0</v>
      </c>
      <c r="S60">
        <v>0</v>
      </c>
      <c r="T60">
        <v>4</v>
      </c>
      <c r="U60">
        <v>3</v>
      </c>
      <c r="V60">
        <v>5976</v>
      </c>
      <c r="W60" t="s">
        <v>6187</v>
      </c>
      <c r="X60" t="s">
        <v>6120</v>
      </c>
      <c r="Y60" t="s">
        <v>6188</v>
      </c>
      <c r="AA60" t="s">
        <v>3052</v>
      </c>
      <c r="AB60" t="s">
        <v>3248</v>
      </c>
      <c r="AC60" t="s">
        <v>3249</v>
      </c>
      <c r="AK60" t="s">
        <v>3053</v>
      </c>
    </row>
    <row r="61" spans="1:37" x14ac:dyDescent="0.3">
      <c r="A61" t="s">
        <v>6199</v>
      </c>
      <c r="B61">
        <v>2</v>
      </c>
      <c r="C61" t="s">
        <v>6233</v>
      </c>
      <c r="D61" s="1032">
        <v>43723</v>
      </c>
      <c r="E61" t="s">
        <v>331</v>
      </c>
      <c r="F61" t="s">
        <v>16</v>
      </c>
      <c r="G61" t="s">
        <v>6171</v>
      </c>
      <c r="H61" t="s">
        <v>743</v>
      </c>
      <c r="I61">
        <v>0</v>
      </c>
      <c r="J61">
        <v>2</v>
      </c>
      <c r="K61">
        <v>0</v>
      </c>
      <c r="L61">
        <v>2</v>
      </c>
      <c r="M61">
        <v>10</v>
      </c>
      <c r="N61">
        <v>0</v>
      </c>
      <c r="O61">
        <v>3</v>
      </c>
      <c r="P61">
        <v>0</v>
      </c>
      <c r="Q61">
        <v>0</v>
      </c>
      <c r="R61">
        <v>0</v>
      </c>
      <c r="S61">
        <v>1</v>
      </c>
      <c r="T61">
        <v>3</v>
      </c>
      <c r="U61">
        <v>9</v>
      </c>
      <c r="V61">
        <v>5736</v>
      </c>
      <c r="W61" t="s">
        <v>6189</v>
      </c>
      <c r="X61" t="s">
        <v>6188</v>
      </c>
      <c r="Y61" t="s">
        <v>6189</v>
      </c>
      <c r="AA61" t="s">
        <v>6171</v>
      </c>
      <c r="AB61" t="s">
        <v>515</v>
      </c>
      <c r="AK61" t="s">
        <v>3053</v>
      </c>
    </row>
    <row r="62" spans="1:37" x14ac:dyDescent="0.3">
      <c r="A62" t="s">
        <v>6199</v>
      </c>
      <c r="B62">
        <v>3</v>
      </c>
      <c r="C62" t="s">
        <v>6234</v>
      </c>
      <c r="D62" s="1032">
        <v>43728</v>
      </c>
      <c r="E62" t="s">
        <v>327</v>
      </c>
      <c r="F62" t="s">
        <v>17</v>
      </c>
      <c r="G62" t="s">
        <v>6097</v>
      </c>
      <c r="H62" t="s">
        <v>743</v>
      </c>
      <c r="I62">
        <v>1</v>
      </c>
      <c r="J62">
        <v>2</v>
      </c>
      <c r="K62">
        <v>1</v>
      </c>
      <c r="L62">
        <v>2</v>
      </c>
      <c r="M62">
        <v>11</v>
      </c>
      <c r="N62">
        <v>-3</v>
      </c>
      <c r="O62">
        <v>3</v>
      </c>
      <c r="P62">
        <v>0</v>
      </c>
      <c r="Q62">
        <v>0</v>
      </c>
      <c r="R62">
        <v>0</v>
      </c>
      <c r="S62">
        <v>0</v>
      </c>
      <c r="T62">
        <v>3</v>
      </c>
      <c r="U62">
        <v>4</v>
      </c>
      <c r="V62">
        <v>5021</v>
      </c>
      <c r="W62" t="s">
        <v>6189</v>
      </c>
      <c r="X62" t="s">
        <v>6120</v>
      </c>
      <c r="Y62" t="s">
        <v>6189</v>
      </c>
      <c r="AA62" t="s">
        <v>3062</v>
      </c>
      <c r="AB62" t="s">
        <v>3669</v>
      </c>
      <c r="AK62" t="s">
        <v>3064</v>
      </c>
    </row>
    <row r="63" spans="1:37" x14ac:dyDescent="0.3">
      <c r="A63" t="s">
        <v>6199</v>
      </c>
      <c r="B63">
        <v>4</v>
      </c>
      <c r="C63" t="s">
        <v>6283</v>
      </c>
      <c r="D63" s="1032">
        <v>43730</v>
      </c>
      <c r="E63" t="s">
        <v>334</v>
      </c>
      <c r="F63" t="s">
        <v>16</v>
      </c>
      <c r="G63" t="s">
        <v>6146</v>
      </c>
      <c r="H63" t="s">
        <v>743</v>
      </c>
      <c r="I63">
        <v>2</v>
      </c>
      <c r="J63">
        <v>3</v>
      </c>
      <c r="K63">
        <v>2</v>
      </c>
      <c r="L63">
        <v>3</v>
      </c>
      <c r="M63">
        <v>12</v>
      </c>
      <c r="N63">
        <v>-3</v>
      </c>
      <c r="O63">
        <v>3</v>
      </c>
      <c r="P63">
        <v>0</v>
      </c>
      <c r="Q63">
        <v>0</v>
      </c>
      <c r="R63">
        <v>0</v>
      </c>
      <c r="S63">
        <v>0</v>
      </c>
      <c r="T63">
        <v>3</v>
      </c>
      <c r="U63">
        <v>7</v>
      </c>
      <c r="V63">
        <v>4037</v>
      </c>
      <c r="W63" t="s">
        <v>6189</v>
      </c>
      <c r="X63" t="s">
        <v>6097</v>
      </c>
      <c r="Y63" t="s">
        <v>6120</v>
      </c>
      <c r="AA63" t="s">
        <v>3061</v>
      </c>
      <c r="AB63" t="s">
        <v>3250</v>
      </c>
      <c r="AC63" t="s">
        <v>3251</v>
      </c>
      <c r="AK63" t="s">
        <v>3063</v>
      </c>
    </row>
    <row r="64" spans="1:37" x14ac:dyDescent="0.3">
      <c r="A64" t="s">
        <v>6199</v>
      </c>
      <c r="B64">
        <v>5</v>
      </c>
      <c r="C64" t="s">
        <v>6235</v>
      </c>
      <c r="D64" s="1032">
        <v>43735</v>
      </c>
      <c r="E64" t="s">
        <v>610</v>
      </c>
      <c r="F64" t="s">
        <v>17</v>
      </c>
      <c r="G64" t="s">
        <v>6203</v>
      </c>
      <c r="H64" t="s">
        <v>743</v>
      </c>
      <c r="I64">
        <v>4</v>
      </c>
      <c r="J64">
        <v>5</v>
      </c>
      <c r="K64">
        <v>4</v>
      </c>
      <c r="L64">
        <v>5</v>
      </c>
      <c r="M64">
        <v>13</v>
      </c>
      <c r="N64">
        <v>-6</v>
      </c>
      <c r="O64">
        <v>3</v>
      </c>
      <c r="P64">
        <v>0</v>
      </c>
      <c r="Q64">
        <v>0</v>
      </c>
      <c r="R64">
        <v>0</v>
      </c>
      <c r="S64">
        <v>1</v>
      </c>
      <c r="T64">
        <v>2</v>
      </c>
      <c r="U64">
        <v>3</v>
      </c>
      <c r="V64">
        <v>4538</v>
      </c>
      <c r="W64" t="s">
        <v>6188</v>
      </c>
      <c r="X64" t="s">
        <v>6082</v>
      </c>
      <c r="Y64" t="s">
        <v>6118</v>
      </c>
      <c r="AA64" t="s">
        <v>3102</v>
      </c>
      <c r="AB64" t="s">
        <v>3252</v>
      </c>
      <c r="AC64" t="s">
        <v>3253</v>
      </c>
      <c r="AD64" t="s">
        <v>3254</v>
      </c>
      <c r="AE64" t="s">
        <v>3255</v>
      </c>
      <c r="AK64" t="s">
        <v>3136</v>
      </c>
    </row>
    <row r="65" spans="1:37" x14ac:dyDescent="0.3">
      <c r="A65" t="s">
        <v>6199</v>
      </c>
      <c r="B65">
        <v>6</v>
      </c>
      <c r="C65" t="s">
        <v>6236</v>
      </c>
      <c r="D65" s="1032">
        <v>43742</v>
      </c>
      <c r="E65" t="s">
        <v>6086</v>
      </c>
      <c r="F65" t="s">
        <v>16</v>
      </c>
      <c r="G65" t="s">
        <v>6084</v>
      </c>
      <c r="H65" t="s">
        <v>743</v>
      </c>
      <c r="I65">
        <v>1</v>
      </c>
      <c r="J65">
        <v>5</v>
      </c>
      <c r="K65">
        <v>1</v>
      </c>
      <c r="L65">
        <v>5</v>
      </c>
      <c r="M65">
        <v>12</v>
      </c>
      <c r="N65">
        <v>-6</v>
      </c>
      <c r="O65">
        <v>3</v>
      </c>
      <c r="P65">
        <v>0</v>
      </c>
      <c r="Q65">
        <v>0</v>
      </c>
      <c r="R65">
        <v>0</v>
      </c>
      <c r="S65">
        <v>0</v>
      </c>
      <c r="T65">
        <v>4</v>
      </c>
      <c r="U65">
        <v>3</v>
      </c>
      <c r="V65">
        <v>3345</v>
      </c>
      <c r="W65" t="s">
        <v>6188</v>
      </c>
      <c r="X65" t="s">
        <v>6206</v>
      </c>
      <c r="Y65" t="s">
        <v>6120</v>
      </c>
      <c r="AA65" t="s">
        <v>3242</v>
      </c>
      <c r="AB65" t="s">
        <v>3267</v>
      </c>
      <c r="AK65" t="s">
        <v>3256</v>
      </c>
    </row>
    <row r="66" spans="1:37" x14ac:dyDescent="0.3">
      <c r="A66" t="s">
        <v>6199</v>
      </c>
      <c r="B66">
        <v>7</v>
      </c>
      <c r="C66" t="s">
        <v>6237</v>
      </c>
      <c r="D66" s="1032">
        <v>43744</v>
      </c>
      <c r="E66" t="s">
        <v>1274</v>
      </c>
      <c r="F66" t="s">
        <v>17</v>
      </c>
      <c r="G66" t="s">
        <v>6214</v>
      </c>
      <c r="H66" t="s">
        <v>16</v>
      </c>
      <c r="I66">
        <v>6</v>
      </c>
      <c r="J66">
        <v>5</v>
      </c>
      <c r="K66">
        <v>6</v>
      </c>
      <c r="L66">
        <v>5</v>
      </c>
      <c r="M66">
        <v>12</v>
      </c>
      <c r="N66">
        <v>-6</v>
      </c>
      <c r="O66">
        <v>6</v>
      </c>
      <c r="P66">
        <v>1</v>
      </c>
      <c r="Q66">
        <v>0</v>
      </c>
      <c r="R66">
        <v>0</v>
      </c>
      <c r="S66">
        <v>0</v>
      </c>
      <c r="T66">
        <v>4</v>
      </c>
      <c r="U66">
        <v>3</v>
      </c>
      <c r="V66">
        <v>4156</v>
      </c>
      <c r="W66" t="s">
        <v>6097</v>
      </c>
      <c r="X66" t="s">
        <v>6194</v>
      </c>
      <c r="Y66" t="s">
        <v>6100</v>
      </c>
      <c r="AA66" t="s">
        <v>3243</v>
      </c>
      <c r="AB66" t="s">
        <v>3268</v>
      </c>
      <c r="AC66" t="s">
        <v>3269</v>
      </c>
      <c r="AD66" t="s">
        <v>3270</v>
      </c>
      <c r="AE66" t="s">
        <v>3271</v>
      </c>
      <c r="AF66" t="s">
        <v>3272</v>
      </c>
      <c r="AG66" t="s">
        <v>3273</v>
      </c>
      <c r="AK66" t="s">
        <v>3257</v>
      </c>
    </row>
    <row r="67" spans="1:37" x14ac:dyDescent="0.3">
      <c r="A67" t="s">
        <v>6199</v>
      </c>
      <c r="B67">
        <v>8</v>
      </c>
      <c r="C67" t="s">
        <v>6238</v>
      </c>
      <c r="D67" s="1032">
        <v>43747</v>
      </c>
      <c r="E67" t="s">
        <v>6076</v>
      </c>
      <c r="F67" t="s">
        <v>16</v>
      </c>
      <c r="G67" t="s">
        <v>163</v>
      </c>
      <c r="H67" t="s">
        <v>794</v>
      </c>
      <c r="I67">
        <v>3</v>
      </c>
      <c r="J67">
        <v>4</v>
      </c>
      <c r="K67">
        <v>3</v>
      </c>
      <c r="L67">
        <v>3</v>
      </c>
      <c r="M67">
        <v>12</v>
      </c>
      <c r="N67">
        <v>-5</v>
      </c>
      <c r="O67">
        <v>7</v>
      </c>
      <c r="P67">
        <v>0</v>
      </c>
      <c r="Q67">
        <v>0</v>
      </c>
      <c r="R67">
        <v>0</v>
      </c>
      <c r="S67">
        <v>1</v>
      </c>
      <c r="T67">
        <v>1</v>
      </c>
      <c r="U67">
        <v>3</v>
      </c>
      <c r="V67">
        <v>3399</v>
      </c>
      <c r="W67" t="s">
        <v>6097</v>
      </c>
      <c r="X67" t="s">
        <v>6120</v>
      </c>
      <c r="Y67" t="s">
        <v>6187</v>
      </c>
      <c r="Z67" t="s">
        <v>3213</v>
      </c>
      <c r="AA67" t="s">
        <v>3261</v>
      </c>
      <c r="AB67" t="s">
        <v>3260</v>
      </c>
      <c r="AC67" t="s">
        <v>3291</v>
      </c>
      <c r="AD67" t="s">
        <v>3292</v>
      </c>
      <c r="AK67" t="s">
        <v>3259</v>
      </c>
    </row>
    <row r="68" spans="1:37" x14ac:dyDescent="0.3">
      <c r="A68" t="s">
        <v>6199</v>
      </c>
      <c r="B68">
        <v>9</v>
      </c>
      <c r="C68" t="s">
        <v>6239</v>
      </c>
      <c r="D68" s="1032">
        <v>43751</v>
      </c>
      <c r="E68" t="s">
        <v>326</v>
      </c>
      <c r="F68" t="s">
        <v>17</v>
      </c>
      <c r="G68" t="s">
        <v>6190</v>
      </c>
      <c r="H68" t="s">
        <v>16</v>
      </c>
      <c r="I68">
        <v>5</v>
      </c>
      <c r="J68">
        <v>1</v>
      </c>
      <c r="K68">
        <v>5</v>
      </c>
      <c r="L68">
        <v>1</v>
      </c>
      <c r="M68">
        <v>12</v>
      </c>
      <c r="N68">
        <v>-5</v>
      </c>
      <c r="O68">
        <v>10</v>
      </c>
      <c r="P68">
        <v>1</v>
      </c>
      <c r="Q68">
        <v>0</v>
      </c>
      <c r="R68">
        <v>0</v>
      </c>
      <c r="S68">
        <v>1</v>
      </c>
      <c r="T68">
        <v>4</v>
      </c>
      <c r="U68">
        <v>8</v>
      </c>
      <c r="V68">
        <v>4892</v>
      </c>
      <c r="W68" t="s">
        <v>6189</v>
      </c>
      <c r="X68" t="s">
        <v>6110</v>
      </c>
      <c r="Y68" t="s">
        <v>6089</v>
      </c>
      <c r="AA68" t="s">
        <v>3263</v>
      </c>
      <c r="AB68" t="s">
        <v>3293</v>
      </c>
      <c r="AC68" t="s">
        <v>3294</v>
      </c>
      <c r="AD68" t="s">
        <v>3295</v>
      </c>
      <c r="AE68" t="s">
        <v>3296</v>
      </c>
      <c r="AF68" t="s">
        <v>3673</v>
      </c>
      <c r="AK68" t="s">
        <v>3264</v>
      </c>
    </row>
    <row r="69" spans="1:37" x14ac:dyDescent="0.3">
      <c r="A69" t="s">
        <v>6199</v>
      </c>
      <c r="B69">
        <v>10</v>
      </c>
      <c r="C69" t="s">
        <v>6246</v>
      </c>
      <c r="D69" s="1032">
        <v>43753</v>
      </c>
      <c r="E69" t="s">
        <v>325</v>
      </c>
      <c r="F69" t="s">
        <v>16</v>
      </c>
      <c r="G69" t="s">
        <v>359</v>
      </c>
      <c r="H69" t="s">
        <v>794</v>
      </c>
      <c r="I69">
        <v>4</v>
      </c>
      <c r="J69">
        <v>5</v>
      </c>
      <c r="K69">
        <v>4</v>
      </c>
      <c r="L69">
        <v>4</v>
      </c>
      <c r="M69">
        <v>12</v>
      </c>
      <c r="N69">
        <v>-4</v>
      </c>
      <c r="O69">
        <v>11</v>
      </c>
      <c r="P69">
        <v>0</v>
      </c>
      <c r="Q69">
        <v>0</v>
      </c>
      <c r="R69">
        <v>0</v>
      </c>
      <c r="S69">
        <v>0</v>
      </c>
      <c r="T69">
        <v>2</v>
      </c>
      <c r="U69">
        <v>3</v>
      </c>
      <c r="V69">
        <v>8810</v>
      </c>
      <c r="W69" t="s">
        <v>6100</v>
      </c>
      <c r="X69" t="s">
        <v>6171</v>
      </c>
      <c r="Y69" t="s">
        <v>6187</v>
      </c>
      <c r="Z69" t="s">
        <v>3213</v>
      </c>
      <c r="AA69" t="s">
        <v>3266</v>
      </c>
      <c r="AB69" t="s">
        <v>3297</v>
      </c>
      <c r="AC69" t="s">
        <v>3298</v>
      </c>
      <c r="AD69" t="s">
        <v>3299</v>
      </c>
      <c r="AE69" t="s">
        <v>3300</v>
      </c>
      <c r="AK69" t="s">
        <v>3265</v>
      </c>
    </row>
    <row r="70" spans="1:37" x14ac:dyDescent="0.3">
      <c r="A70" t="s">
        <v>6199</v>
      </c>
      <c r="B70">
        <v>11</v>
      </c>
      <c r="C70" t="s">
        <v>6240</v>
      </c>
      <c r="D70" s="1032">
        <v>43756</v>
      </c>
      <c r="E70" t="s">
        <v>328</v>
      </c>
      <c r="F70" t="s">
        <v>16</v>
      </c>
      <c r="G70" t="s">
        <v>6171</v>
      </c>
      <c r="H70" t="s">
        <v>743</v>
      </c>
      <c r="I70">
        <v>0</v>
      </c>
      <c r="J70">
        <v>2</v>
      </c>
      <c r="K70">
        <v>0</v>
      </c>
      <c r="L70">
        <v>1</v>
      </c>
      <c r="M70">
        <v>13</v>
      </c>
      <c r="N70">
        <v>-4</v>
      </c>
      <c r="O70">
        <v>11</v>
      </c>
      <c r="P70">
        <v>0</v>
      </c>
      <c r="Q70">
        <v>0</v>
      </c>
      <c r="R70">
        <v>0</v>
      </c>
      <c r="S70">
        <v>0</v>
      </c>
      <c r="T70">
        <v>2</v>
      </c>
      <c r="U70">
        <v>2</v>
      </c>
      <c r="V70">
        <v>4007</v>
      </c>
      <c r="W70" t="s">
        <v>6188</v>
      </c>
      <c r="X70" t="s">
        <v>6189</v>
      </c>
      <c r="Y70" t="s">
        <v>6189</v>
      </c>
      <c r="AA70" t="s">
        <v>6171</v>
      </c>
      <c r="AB70" t="s">
        <v>515</v>
      </c>
      <c r="AK70" t="s">
        <v>3290</v>
      </c>
    </row>
    <row r="71" spans="1:37" x14ac:dyDescent="0.3">
      <c r="A71" t="s">
        <v>6199</v>
      </c>
      <c r="B71">
        <v>12</v>
      </c>
      <c r="C71" t="s">
        <v>6241</v>
      </c>
      <c r="D71" s="1032">
        <v>43758</v>
      </c>
      <c r="E71" t="s">
        <v>626</v>
      </c>
      <c r="F71" t="s">
        <v>17</v>
      </c>
      <c r="G71" t="s">
        <v>6211</v>
      </c>
      <c r="H71" t="s">
        <v>743</v>
      </c>
      <c r="I71">
        <v>3</v>
      </c>
      <c r="J71">
        <v>4</v>
      </c>
      <c r="K71">
        <v>3</v>
      </c>
      <c r="L71">
        <v>4</v>
      </c>
      <c r="M71">
        <v>13</v>
      </c>
      <c r="N71">
        <v>-7</v>
      </c>
      <c r="O71">
        <v>11</v>
      </c>
      <c r="P71">
        <v>1</v>
      </c>
      <c r="Q71">
        <v>1</v>
      </c>
      <c r="R71">
        <v>1</v>
      </c>
      <c r="S71">
        <v>1</v>
      </c>
      <c r="T71">
        <v>5</v>
      </c>
      <c r="U71">
        <v>3</v>
      </c>
      <c r="V71">
        <v>4462</v>
      </c>
      <c r="W71" t="s">
        <v>6188</v>
      </c>
      <c r="X71" t="s">
        <v>6187</v>
      </c>
      <c r="Y71" t="s">
        <v>6146</v>
      </c>
      <c r="AA71" t="s">
        <v>3281</v>
      </c>
      <c r="AB71" t="s">
        <v>3318</v>
      </c>
      <c r="AC71" t="s">
        <v>3319</v>
      </c>
      <c r="AD71" t="s">
        <v>3320</v>
      </c>
      <c r="AK71" t="s">
        <v>3289</v>
      </c>
    </row>
    <row r="72" spans="1:37" x14ac:dyDescent="0.3">
      <c r="A72" t="s">
        <v>6199</v>
      </c>
      <c r="B72">
        <v>13</v>
      </c>
      <c r="C72" t="s">
        <v>6242</v>
      </c>
      <c r="D72" s="1032">
        <v>43763</v>
      </c>
      <c r="E72" t="s">
        <v>332</v>
      </c>
      <c r="F72" t="s">
        <v>16</v>
      </c>
      <c r="G72" t="s">
        <v>351</v>
      </c>
      <c r="H72" t="s">
        <v>793</v>
      </c>
      <c r="I72">
        <v>3</v>
      </c>
      <c r="J72">
        <v>2</v>
      </c>
      <c r="K72">
        <v>2</v>
      </c>
      <c r="L72">
        <v>2</v>
      </c>
      <c r="M72">
        <v>11</v>
      </c>
      <c r="N72">
        <v>-5</v>
      </c>
      <c r="O72">
        <v>13</v>
      </c>
      <c r="P72">
        <v>0</v>
      </c>
      <c r="Q72">
        <v>0</v>
      </c>
      <c r="R72">
        <v>0</v>
      </c>
      <c r="S72">
        <v>1</v>
      </c>
      <c r="T72">
        <v>3</v>
      </c>
      <c r="U72">
        <v>3</v>
      </c>
      <c r="V72">
        <v>4589</v>
      </c>
      <c r="W72" t="s">
        <v>6189</v>
      </c>
      <c r="X72" t="s">
        <v>6089</v>
      </c>
      <c r="Y72" t="s">
        <v>6189</v>
      </c>
      <c r="Z72" t="s">
        <v>756</v>
      </c>
      <c r="AA72" t="s">
        <v>3287</v>
      </c>
      <c r="AB72" t="s">
        <v>3333</v>
      </c>
      <c r="AC72" t="s">
        <v>3334</v>
      </c>
      <c r="AD72" t="s">
        <v>3335</v>
      </c>
      <c r="AK72" t="s">
        <v>3288</v>
      </c>
    </row>
    <row r="73" spans="1:37" x14ac:dyDescent="0.3">
      <c r="A73" t="s">
        <v>6199</v>
      </c>
      <c r="B73">
        <v>14</v>
      </c>
      <c r="C73" t="s">
        <v>6243</v>
      </c>
      <c r="D73" s="1032">
        <v>43765</v>
      </c>
      <c r="E73" t="s">
        <v>6179</v>
      </c>
      <c r="F73" t="s">
        <v>16</v>
      </c>
      <c r="G73" t="s">
        <v>354</v>
      </c>
      <c r="H73" t="s">
        <v>794</v>
      </c>
      <c r="I73">
        <v>3</v>
      </c>
      <c r="J73">
        <v>4</v>
      </c>
      <c r="K73">
        <v>3</v>
      </c>
      <c r="L73">
        <v>3</v>
      </c>
      <c r="M73">
        <v>11</v>
      </c>
      <c r="N73">
        <v>-4</v>
      </c>
      <c r="O73">
        <v>14</v>
      </c>
      <c r="P73">
        <v>1</v>
      </c>
      <c r="Q73">
        <v>1</v>
      </c>
      <c r="R73">
        <v>0</v>
      </c>
      <c r="S73">
        <v>0</v>
      </c>
      <c r="T73">
        <v>1</v>
      </c>
      <c r="U73">
        <v>2</v>
      </c>
      <c r="V73">
        <v>7389</v>
      </c>
      <c r="W73" t="s">
        <v>6171</v>
      </c>
      <c r="X73" t="s">
        <v>6118</v>
      </c>
      <c r="Y73" t="s">
        <v>6120</v>
      </c>
      <c r="Z73" t="s">
        <v>161</v>
      </c>
      <c r="AA73" t="s">
        <v>3306</v>
      </c>
      <c r="AB73" t="s">
        <v>3336</v>
      </c>
      <c r="AC73" t="s">
        <v>3337</v>
      </c>
      <c r="AD73" t="s">
        <v>3338</v>
      </c>
      <c r="AK73" t="s">
        <v>3288</v>
      </c>
    </row>
    <row r="74" spans="1:37" x14ac:dyDescent="0.3">
      <c r="A74" t="s">
        <v>6199</v>
      </c>
      <c r="B74">
        <v>15</v>
      </c>
      <c r="C74" t="s">
        <v>6245</v>
      </c>
      <c r="D74" s="1032">
        <v>43767</v>
      </c>
      <c r="E74" t="s">
        <v>331</v>
      </c>
      <c r="F74" t="s">
        <v>17</v>
      </c>
      <c r="G74" t="s">
        <v>6102</v>
      </c>
      <c r="H74" t="s">
        <v>743</v>
      </c>
      <c r="I74">
        <v>1</v>
      </c>
      <c r="J74">
        <v>3</v>
      </c>
      <c r="K74">
        <v>1</v>
      </c>
      <c r="L74">
        <v>2</v>
      </c>
      <c r="M74">
        <v>12</v>
      </c>
      <c r="N74">
        <v>-7</v>
      </c>
      <c r="O74">
        <v>14</v>
      </c>
      <c r="P74">
        <v>0</v>
      </c>
      <c r="Q74">
        <v>0</v>
      </c>
      <c r="R74">
        <v>0</v>
      </c>
      <c r="S74">
        <v>0</v>
      </c>
      <c r="T74">
        <v>3</v>
      </c>
      <c r="U74">
        <v>4</v>
      </c>
      <c r="V74">
        <v>4896</v>
      </c>
      <c r="W74" t="s">
        <v>6188</v>
      </c>
      <c r="X74" t="s">
        <v>6189</v>
      </c>
      <c r="Y74" t="s">
        <v>6097</v>
      </c>
      <c r="AA74" t="s">
        <v>3307</v>
      </c>
      <c r="AB74" t="s">
        <v>3339</v>
      </c>
      <c r="AK74" t="s">
        <v>3308</v>
      </c>
    </row>
    <row r="75" spans="1:37" x14ac:dyDescent="0.3">
      <c r="A75" t="s">
        <v>6199</v>
      </c>
      <c r="B75">
        <v>16</v>
      </c>
      <c r="C75" t="s">
        <v>6244</v>
      </c>
      <c r="D75" s="1032">
        <v>43770</v>
      </c>
      <c r="E75" t="s">
        <v>327</v>
      </c>
      <c r="F75" t="s">
        <v>16</v>
      </c>
      <c r="G75" t="s">
        <v>6192</v>
      </c>
      <c r="H75" t="s">
        <v>16</v>
      </c>
      <c r="I75">
        <v>4</v>
      </c>
      <c r="J75">
        <v>3</v>
      </c>
      <c r="K75">
        <v>4</v>
      </c>
      <c r="L75">
        <v>3</v>
      </c>
      <c r="M75">
        <v>11</v>
      </c>
      <c r="N75">
        <v>-4</v>
      </c>
      <c r="O75">
        <v>17</v>
      </c>
      <c r="P75">
        <v>2</v>
      </c>
      <c r="Q75">
        <v>1</v>
      </c>
      <c r="R75">
        <v>1</v>
      </c>
      <c r="S75">
        <v>0</v>
      </c>
      <c r="T75">
        <v>3</v>
      </c>
      <c r="U75">
        <v>5</v>
      </c>
      <c r="V75">
        <v>6722</v>
      </c>
      <c r="W75" t="s">
        <v>6089</v>
      </c>
      <c r="X75" t="s">
        <v>6089</v>
      </c>
      <c r="Y75" t="s">
        <v>6079</v>
      </c>
      <c r="AA75" t="s">
        <v>3313</v>
      </c>
      <c r="AB75" t="s">
        <v>3340</v>
      </c>
      <c r="AC75" t="s">
        <v>3341</v>
      </c>
      <c r="AD75" t="s">
        <v>3342</v>
      </c>
      <c r="AE75" t="s">
        <v>3343</v>
      </c>
      <c r="AK75" t="s">
        <v>3314</v>
      </c>
    </row>
    <row r="76" spans="1:37" x14ac:dyDescent="0.3">
      <c r="A76" t="s">
        <v>6199</v>
      </c>
      <c r="B76">
        <v>17</v>
      </c>
      <c r="C76" t="s">
        <v>6247</v>
      </c>
      <c r="D76" s="1032">
        <v>43771</v>
      </c>
      <c r="E76" t="s">
        <v>334</v>
      </c>
      <c r="F76" t="s">
        <v>16</v>
      </c>
      <c r="G76" t="s">
        <v>6171</v>
      </c>
      <c r="H76" t="s">
        <v>743</v>
      </c>
      <c r="I76">
        <v>0</v>
      </c>
      <c r="J76">
        <v>2</v>
      </c>
      <c r="K76">
        <v>0</v>
      </c>
      <c r="L76">
        <v>2</v>
      </c>
      <c r="M76">
        <v>12</v>
      </c>
      <c r="N76">
        <v>-4</v>
      </c>
      <c r="O76">
        <v>17</v>
      </c>
      <c r="P76">
        <v>0</v>
      </c>
      <c r="Q76">
        <v>0</v>
      </c>
      <c r="R76">
        <v>0</v>
      </c>
      <c r="S76">
        <v>1</v>
      </c>
      <c r="T76">
        <v>3</v>
      </c>
      <c r="U76">
        <v>2</v>
      </c>
      <c r="V76">
        <v>4467</v>
      </c>
      <c r="W76" t="s">
        <v>6189</v>
      </c>
      <c r="X76" t="s">
        <v>6189</v>
      </c>
      <c r="Y76" t="s">
        <v>6188</v>
      </c>
      <c r="AA76" t="s">
        <v>6171</v>
      </c>
      <c r="AB76" t="s">
        <v>515</v>
      </c>
      <c r="AK76" t="s">
        <v>3317</v>
      </c>
    </row>
    <row r="77" spans="1:37" x14ac:dyDescent="0.3">
      <c r="A77" t="s">
        <v>6199</v>
      </c>
      <c r="B77">
        <v>18</v>
      </c>
      <c r="C77" t="s">
        <v>6248</v>
      </c>
      <c r="D77" s="1032">
        <v>43784</v>
      </c>
      <c r="E77" t="s">
        <v>610</v>
      </c>
      <c r="F77" t="s">
        <v>16</v>
      </c>
      <c r="G77" t="s">
        <v>6215</v>
      </c>
      <c r="H77" t="s">
        <v>743</v>
      </c>
      <c r="I77">
        <v>1</v>
      </c>
      <c r="J77">
        <v>6</v>
      </c>
      <c r="K77">
        <v>1</v>
      </c>
      <c r="L77">
        <v>6</v>
      </c>
      <c r="M77">
        <v>13</v>
      </c>
      <c r="N77">
        <v>-4</v>
      </c>
      <c r="O77">
        <v>17</v>
      </c>
      <c r="P77">
        <v>0</v>
      </c>
      <c r="Q77">
        <v>0</v>
      </c>
      <c r="R77">
        <v>0</v>
      </c>
      <c r="S77">
        <v>1</v>
      </c>
      <c r="T77">
        <v>2</v>
      </c>
      <c r="U77">
        <v>3</v>
      </c>
      <c r="V77">
        <v>6595</v>
      </c>
      <c r="W77" t="s">
        <v>6188</v>
      </c>
      <c r="X77" t="s">
        <v>6102</v>
      </c>
      <c r="Y77" t="s">
        <v>6079</v>
      </c>
      <c r="AA77" t="s">
        <v>3331</v>
      </c>
      <c r="AB77" t="s">
        <v>3384</v>
      </c>
      <c r="AK77" t="s">
        <v>3344</v>
      </c>
    </row>
    <row r="78" spans="1:37" x14ac:dyDescent="0.3">
      <c r="A78" t="s">
        <v>6199</v>
      </c>
      <c r="B78">
        <v>19</v>
      </c>
      <c r="C78" t="s">
        <v>6249</v>
      </c>
      <c r="D78" s="1032">
        <v>43786</v>
      </c>
      <c r="E78" t="s">
        <v>325</v>
      </c>
      <c r="F78" t="s">
        <v>17</v>
      </c>
      <c r="G78" t="s">
        <v>163</v>
      </c>
      <c r="H78" t="s">
        <v>794</v>
      </c>
      <c r="I78">
        <v>3</v>
      </c>
      <c r="J78">
        <v>4</v>
      </c>
      <c r="K78">
        <v>3</v>
      </c>
      <c r="L78">
        <v>3</v>
      </c>
      <c r="M78">
        <v>13</v>
      </c>
      <c r="N78">
        <v>-6</v>
      </c>
      <c r="O78">
        <v>18</v>
      </c>
      <c r="P78">
        <v>0</v>
      </c>
      <c r="Q78">
        <v>0</v>
      </c>
      <c r="R78">
        <v>0</v>
      </c>
      <c r="S78">
        <v>1</v>
      </c>
      <c r="T78">
        <v>5</v>
      </c>
      <c r="U78">
        <v>2</v>
      </c>
      <c r="V78">
        <v>5969</v>
      </c>
      <c r="W78" t="s">
        <v>6118</v>
      </c>
      <c r="X78" t="s">
        <v>6097</v>
      </c>
      <c r="Y78" t="s">
        <v>6188</v>
      </c>
      <c r="Z78" t="s">
        <v>3213</v>
      </c>
      <c r="AA78" t="s">
        <v>3332</v>
      </c>
      <c r="AB78" t="s">
        <v>3385</v>
      </c>
      <c r="AC78" t="s">
        <v>3386</v>
      </c>
      <c r="AD78" t="s">
        <v>3387</v>
      </c>
      <c r="AK78" t="s">
        <v>3345</v>
      </c>
    </row>
    <row r="79" spans="1:37" x14ac:dyDescent="0.3">
      <c r="A79" t="s">
        <v>6199</v>
      </c>
      <c r="B79">
        <v>20</v>
      </c>
      <c r="C79" t="s">
        <v>6250</v>
      </c>
      <c r="D79" s="1032">
        <v>43791</v>
      </c>
      <c r="E79" t="s">
        <v>6086</v>
      </c>
      <c r="F79" t="s">
        <v>17</v>
      </c>
      <c r="G79" t="s">
        <v>6104</v>
      </c>
      <c r="H79" t="s">
        <v>743</v>
      </c>
      <c r="I79">
        <v>2</v>
      </c>
      <c r="J79">
        <v>5</v>
      </c>
      <c r="K79">
        <v>2</v>
      </c>
      <c r="L79">
        <v>5</v>
      </c>
      <c r="M79">
        <v>13</v>
      </c>
      <c r="N79">
        <v>-9</v>
      </c>
      <c r="O79">
        <v>18</v>
      </c>
      <c r="P79">
        <v>1</v>
      </c>
      <c r="Q79">
        <v>0</v>
      </c>
      <c r="R79">
        <v>0</v>
      </c>
      <c r="S79">
        <v>1</v>
      </c>
      <c r="T79">
        <v>5</v>
      </c>
      <c r="U79">
        <v>4</v>
      </c>
      <c r="V79">
        <v>4039</v>
      </c>
      <c r="W79" t="s">
        <v>6079</v>
      </c>
      <c r="X79" t="s">
        <v>6189</v>
      </c>
      <c r="Y79" t="s">
        <v>6118</v>
      </c>
      <c r="AA79" t="s">
        <v>3352</v>
      </c>
      <c r="AB79" t="s">
        <v>3388</v>
      </c>
      <c r="AC79" t="s">
        <v>3389</v>
      </c>
      <c r="AK79" t="s">
        <v>3354</v>
      </c>
    </row>
    <row r="80" spans="1:37" x14ac:dyDescent="0.3">
      <c r="A80" t="s">
        <v>6199</v>
      </c>
      <c r="B80">
        <v>21</v>
      </c>
      <c r="C80" t="s">
        <v>6251</v>
      </c>
      <c r="D80" s="1032">
        <v>43793</v>
      </c>
      <c r="E80" t="s">
        <v>1274</v>
      </c>
      <c r="F80" t="s">
        <v>16</v>
      </c>
      <c r="G80" t="s">
        <v>6210</v>
      </c>
      <c r="H80" t="s">
        <v>743</v>
      </c>
      <c r="I80">
        <v>2</v>
      </c>
      <c r="J80">
        <v>6</v>
      </c>
      <c r="K80">
        <v>2</v>
      </c>
      <c r="L80">
        <v>6</v>
      </c>
      <c r="M80">
        <v>13</v>
      </c>
      <c r="N80">
        <v>-9</v>
      </c>
      <c r="O80">
        <v>18</v>
      </c>
      <c r="P80">
        <v>1</v>
      </c>
      <c r="Q80">
        <v>0</v>
      </c>
      <c r="R80">
        <v>0</v>
      </c>
      <c r="S80">
        <v>1</v>
      </c>
      <c r="T80">
        <v>4</v>
      </c>
      <c r="U80">
        <v>4</v>
      </c>
      <c r="V80">
        <v>4376</v>
      </c>
      <c r="W80" t="s">
        <v>6189</v>
      </c>
      <c r="X80" t="s">
        <v>6102</v>
      </c>
      <c r="Y80" t="s">
        <v>6097</v>
      </c>
      <c r="AA80" t="s">
        <v>3353</v>
      </c>
      <c r="AB80" t="s">
        <v>3390</v>
      </c>
      <c r="AC80" t="s">
        <v>3391</v>
      </c>
      <c r="AK80" t="s">
        <v>3355</v>
      </c>
    </row>
    <row r="81" spans="1:37" x14ac:dyDescent="0.3">
      <c r="A81" t="s">
        <v>6199</v>
      </c>
      <c r="B81">
        <v>22</v>
      </c>
      <c r="C81" t="s">
        <v>6252</v>
      </c>
      <c r="D81" s="1032">
        <v>43795</v>
      </c>
      <c r="E81" t="s">
        <v>6076</v>
      </c>
      <c r="F81" t="s">
        <v>17</v>
      </c>
      <c r="G81" t="s">
        <v>6118</v>
      </c>
      <c r="H81" t="s">
        <v>16</v>
      </c>
      <c r="I81">
        <v>2</v>
      </c>
      <c r="J81">
        <v>1</v>
      </c>
      <c r="K81">
        <v>2</v>
      </c>
      <c r="L81">
        <v>1</v>
      </c>
      <c r="M81">
        <v>13</v>
      </c>
      <c r="N81">
        <v>-9</v>
      </c>
      <c r="O81">
        <v>21</v>
      </c>
      <c r="P81">
        <v>1</v>
      </c>
      <c r="Q81">
        <v>0</v>
      </c>
      <c r="R81">
        <v>0</v>
      </c>
      <c r="S81">
        <v>0</v>
      </c>
      <c r="T81">
        <v>6</v>
      </c>
      <c r="U81">
        <v>2</v>
      </c>
      <c r="V81">
        <v>3682</v>
      </c>
      <c r="W81" t="s">
        <v>6118</v>
      </c>
      <c r="X81" t="s">
        <v>6188</v>
      </c>
      <c r="Y81" t="s">
        <v>6188</v>
      </c>
      <c r="AA81" t="s">
        <v>3356</v>
      </c>
      <c r="AB81" t="s">
        <v>3480</v>
      </c>
      <c r="AC81" t="s">
        <v>3392</v>
      </c>
      <c r="AK81" t="s">
        <v>3357</v>
      </c>
    </row>
    <row r="82" spans="1:37" x14ac:dyDescent="0.3">
      <c r="A82" t="s">
        <v>6199</v>
      </c>
      <c r="B82">
        <v>23</v>
      </c>
      <c r="C82" t="s">
        <v>6253</v>
      </c>
      <c r="D82" s="1032">
        <v>43798</v>
      </c>
      <c r="E82" t="s">
        <v>326</v>
      </c>
      <c r="F82" t="s">
        <v>16</v>
      </c>
      <c r="G82" t="s">
        <v>6102</v>
      </c>
      <c r="H82" t="s">
        <v>743</v>
      </c>
      <c r="I82">
        <v>1</v>
      </c>
      <c r="J82">
        <v>3</v>
      </c>
      <c r="K82">
        <v>1</v>
      </c>
      <c r="L82">
        <v>2</v>
      </c>
      <c r="M82">
        <v>14</v>
      </c>
      <c r="N82">
        <v>-9</v>
      </c>
      <c r="O82">
        <v>21</v>
      </c>
      <c r="P82">
        <v>0</v>
      </c>
      <c r="Q82">
        <v>0</v>
      </c>
      <c r="R82">
        <v>0</v>
      </c>
      <c r="S82">
        <v>0</v>
      </c>
      <c r="T82">
        <v>3</v>
      </c>
      <c r="U82">
        <v>2</v>
      </c>
      <c r="V82">
        <v>4398</v>
      </c>
      <c r="W82" t="s">
        <v>6187</v>
      </c>
      <c r="X82" t="s">
        <v>6188</v>
      </c>
      <c r="Y82" t="s">
        <v>6171</v>
      </c>
      <c r="AA82" t="s">
        <v>3307</v>
      </c>
      <c r="AB82" t="s">
        <v>3393</v>
      </c>
      <c r="AK82" t="s">
        <v>3365</v>
      </c>
    </row>
    <row r="83" spans="1:37" x14ac:dyDescent="0.3">
      <c r="A83" t="s">
        <v>6199</v>
      </c>
      <c r="B83">
        <v>24</v>
      </c>
      <c r="C83" t="s">
        <v>6254</v>
      </c>
      <c r="D83" s="1032">
        <v>43800</v>
      </c>
      <c r="E83" t="s">
        <v>328</v>
      </c>
      <c r="F83" t="s">
        <v>17</v>
      </c>
      <c r="G83" t="s">
        <v>6137</v>
      </c>
      <c r="H83" t="s">
        <v>16</v>
      </c>
      <c r="I83">
        <v>6</v>
      </c>
      <c r="J83">
        <v>2</v>
      </c>
      <c r="K83">
        <v>6</v>
      </c>
      <c r="L83">
        <v>2</v>
      </c>
      <c r="M83">
        <v>13</v>
      </c>
      <c r="N83">
        <v>-9</v>
      </c>
      <c r="O83">
        <v>24</v>
      </c>
      <c r="P83">
        <v>0</v>
      </c>
      <c r="Q83">
        <v>0</v>
      </c>
      <c r="R83">
        <v>0</v>
      </c>
      <c r="S83">
        <v>0</v>
      </c>
      <c r="T83">
        <v>2</v>
      </c>
      <c r="U83">
        <v>3</v>
      </c>
      <c r="V83">
        <v>3267</v>
      </c>
      <c r="W83" t="s">
        <v>6187</v>
      </c>
      <c r="X83" t="s">
        <v>6100</v>
      </c>
      <c r="Y83" t="s">
        <v>6089</v>
      </c>
      <c r="AA83" t="s">
        <v>3362</v>
      </c>
      <c r="AB83" t="s">
        <v>3394</v>
      </c>
      <c r="AC83" t="s">
        <v>3395</v>
      </c>
      <c r="AD83" t="s">
        <v>3396</v>
      </c>
      <c r="AE83" t="s">
        <v>3397</v>
      </c>
      <c r="AF83" t="s">
        <v>3398</v>
      </c>
      <c r="AG83" t="s">
        <v>3399</v>
      </c>
      <c r="AK83" t="s">
        <v>3366</v>
      </c>
    </row>
    <row r="84" spans="1:37" x14ac:dyDescent="0.3">
      <c r="A84" t="s">
        <v>6199</v>
      </c>
      <c r="B84">
        <v>25</v>
      </c>
      <c r="C84" t="s">
        <v>6263</v>
      </c>
      <c r="D84" s="1032">
        <v>43802</v>
      </c>
      <c r="E84" t="s">
        <v>6086</v>
      </c>
      <c r="F84" t="s">
        <v>16</v>
      </c>
      <c r="G84" t="s">
        <v>6191</v>
      </c>
      <c r="H84" t="s">
        <v>16</v>
      </c>
      <c r="I84">
        <v>6</v>
      </c>
      <c r="J84">
        <v>4</v>
      </c>
      <c r="K84">
        <v>6</v>
      </c>
      <c r="L84">
        <v>4</v>
      </c>
      <c r="M84">
        <v>12</v>
      </c>
      <c r="N84">
        <v>-6</v>
      </c>
      <c r="O84">
        <v>27</v>
      </c>
      <c r="P84">
        <v>0</v>
      </c>
      <c r="Q84">
        <v>1</v>
      </c>
      <c r="R84">
        <v>1</v>
      </c>
      <c r="S84">
        <v>0</v>
      </c>
      <c r="T84">
        <v>4</v>
      </c>
      <c r="U84">
        <v>3</v>
      </c>
      <c r="V84">
        <v>2538</v>
      </c>
      <c r="W84" t="s">
        <v>6097</v>
      </c>
      <c r="X84" t="s">
        <v>6171</v>
      </c>
      <c r="Y84" t="s">
        <v>6175</v>
      </c>
      <c r="AA84" t="s">
        <v>3374</v>
      </c>
      <c r="AB84" t="s">
        <v>3415</v>
      </c>
      <c r="AC84" t="s">
        <v>3416</v>
      </c>
      <c r="AD84" t="s">
        <v>3417</v>
      </c>
      <c r="AE84" t="s">
        <v>3418</v>
      </c>
      <c r="AF84" t="s">
        <v>3419</v>
      </c>
      <c r="AG84" t="s">
        <v>3420</v>
      </c>
      <c r="AK84" t="s">
        <v>3375</v>
      </c>
    </row>
    <row r="85" spans="1:37" x14ac:dyDescent="0.3">
      <c r="A85" t="s">
        <v>6199</v>
      </c>
      <c r="B85">
        <v>26</v>
      </c>
      <c r="C85" t="s">
        <v>6255</v>
      </c>
      <c r="D85" s="1032">
        <v>43805</v>
      </c>
      <c r="E85" t="s">
        <v>626</v>
      </c>
      <c r="F85" t="s">
        <v>16</v>
      </c>
      <c r="G85" t="s">
        <v>6102</v>
      </c>
      <c r="H85" t="s">
        <v>743</v>
      </c>
      <c r="I85">
        <v>1</v>
      </c>
      <c r="J85">
        <v>3</v>
      </c>
      <c r="K85">
        <v>1</v>
      </c>
      <c r="L85">
        <v>2</v>
      </c>
      <c r="M85">
        <v>12</v>
      </c>
      <c r="N85">
        <v>-6</v>
      </c>
      <c r="O85">
        <v>27</v>
      </c>
      <c r="P85">
        <v>1</v>
      </c>
      <c r="Q85">
        <v>0</v>
      </c>
      <c r="R85">
        <v>0</v>
      </c>
      <c r="S85">
        <v>1</v>
      </c>
      <c r="T85">
        <v>2</v>
      </c>
      <c r="U85">
        <v>2</v>
      </c>
      <c r="V85">
        <v>3468</v>
      </c>
      <c r="W85" t="s">
        <v>6189</v>
      </c>
      <c r="X85" t="s">
        <v>6189</v>
      </c>
      <c r="Y85" t="s">
        <v>6187</v>
      </c>
      <c r="AA85" t="s">
        <v>3377</v>
      </c>
      <c r="AB85" t="s">
        <v>3421</v>
      </c>
      <c r="AK85" t="s">
        <v>3376</v>
      </c>
    </row>
    <row r="86" spans="1:37" x14ac:dyDescent="0.3">
      <c r="A86" t="s">
        <v>6199</v>
      </c>
      <c r="B86">
        <v>27</v>
      </c>
      <c r="C86" t="s">
        <v>6256</v>
      </c>
      <c r="D86" s="1032">
        <v>43807</v>
      </c>
      <c r="E86" t="s">
        <v>332</v>
      </c>
      <c r="F86" t="s">
        <v>17</v>
      </c>
      <c r="G86" t="s">
        <v>6148</v>
      </c>
      <c r="H86" t="s">
        <v>16</v>
      </c>
      <c r="I86">
        <v>4</v>
      </c>
      <c r="J86">
        <v>1</v>
      </c>
      <c r="K86">
        <v>4</v>
      </c>
      <c r="L86">
        <v>1</v>
      </c>
      <c r="M86">
        <v>12</v>
      </c>
      <c r="N86">
        <v>-6</v>
      </c>
      <c r="O86">
        <v>30</v>
      </c>
      <c r="P86">
        <v>1</v>
      </c>
      <c r="Q86">
        <v>0</v>
      </c>
      <c r="R86">
        <v>0</v>
      </c>
      <c r="S86">
        <v>1</v>
      </c>
      <c r="T86">
        <v>3</v>
      </c>
      <c r="U86">
        <v>4</v>
      </c>
      <c r="V86">
        <v>6011</v>
      </c>
      <c r="W86" t="s">
        <v>6188</v>
      </c>
      <c r="X86" t="s">
        <v>6188</v>
      </c>
      <c r="Y86" t="s">
        <v>6148</v>
      </c>
      <c r="AA86" t="s">
        <v>3202</v>
      </c>
      <c r="AB86" t="s">
        <v>3422</v>
      </c>
      <c r="AC86" t="s">
        <v>3423</v>
      </c>
      <c r="AD86" t="s">
        <v>3424</v>
      </c>
      <c r="AE86" t="s">
        <v>3425</v>
      </c>
      <c r="AK86" t="s">
        <v>3378</v>
      </c>
    </row>
    <row r="87" spans="1:37" x14ac:dyDescent="0.3">
      <c r="A87" t="s">
        <v>6199</v>
      </c>
      <c r="B87">
        <v>28</v>
      </c>
      <c r="C87" t="s">
        <v>6257</v>
      </c>
      <c r="D87" s="1032">
        <v>43817</v>
      </c>
      <c r="E87" t="s">
        <v>6179</v>
      </c>
      <c r="F87" t="s">
        <v>17</v>
      </c>
      <c r="G87" t="s">
        <v>6133</v>
      </c>
      <c r="H87" t="s">
        <v>16</v>
      </c>
      <c r="I87">
        <v>5</v>
      </c>
      <c r="J87">
        <v>2</v>
      </c>
      <c r="K87">
        <v>4</v>
      </c>
      <c r="L87">
        <v>2</v>
      </c>
      <c r="M87">
        <v>10</v>
      </c>
      <c r="N87">
        <v>-6</v>
      </c>
      <c r="O87">
        <v>33</v>
      </c>
      <c r="P87">
        <v>1</v>
      </c>
      <c r="Q87">
        <v>0</v>
      </c>
      <c r="R87">
        <v>0</v>
      </c>
      <c r="S87">
        <v>0</v>
      </c>
      <c r="T87">
        <v>3</v>
      </c>
      <c r="U87">
        <v>3</v>
      </c>
      <c r="V87">
        <v>5081</v>
      </c>
      <c r="W87" t="s">
        <v>6171</v>
      </c>
      <c r="X87" t="s">
        <v>6120</v>
      </c>
      <c r="Y87" t="s">
        <v>6202</v>
      </c>
      <c r="AA87" t="s">
        <v>3381</v>
      </c>
      <c r="AB87" t="s">
        <v>3445</v>
      </c>
      <c r="AC87" t="s">
        <v>3446</v>
      </c>
      <c r="AD87" t="s">
        <v>3447</v>
      </c>
      <c r="AE87" t="s">
        <v>3448</v>
      </c>
      <c r="AF87" t="s">
        <v>3449</v>
      </c>
      <c r="AK87" t="s">
        <v>3380</v>
      </c>
    </row>
    <row r="88" spans="1:37" x14ac:dyDescent="0.3">
      <c r="A88" t="s">
        <v>6199</v>
      </c>
      <c r="B88">
        <v>29</v>
      </c>
      <c r="C88" t="s">
        <v>6258</v>
      </c>
      <c r="D88" s="1032">
        <v>43819</v>
      </c>
      <c r="E88" t="s">
        <v>331</v>
      </c>
      <c r="F88" t="s">
        <v>16</v>
      </c>
      <c r="G88" t="s">
        <v>6210</v>
      </c>
      <c r="H88" t="s">
        <v>743</v>
      </c>
      <c r="I88">
        <v>2</v>
      </c>
      <c r="J88">
        <v>6</v>
      </c>
      <c r="K88">
        <v>2</v>
      </c>
      <c r="L88">
        <v>6</v>
      </c>
      <c r="M88">
        <v>13</v>
      </c>
      <c r="N88">
        <v>-6</v>
      </c>
      <c r="O88">
        <v>33</v>
      </c>
      <c r="P88">
        <v>1</v>
      </c>
      <c r="Q88">
        <v>0</v>
      </c>
      <c r="R88">
        <v>0</v>
      </c>
      <c r="S88">
        <v>4</v>
      </c>
      <c r="T88">
        <v>5</v>
      </c>
      <c r="U88">
        <v>7</v>
      </c>
      <c r="V88">
        <v>5885</v>
      </c>
      <c r="W88" t="s">
        <v>6128</v>
      </c>
      <c r="X88" t="s">
        <v>6097</v>
      </c>
      <c r="Y88" t="s">
        <v>6188</v>
      </c>
      <c r="AA88" t="s">
        <v>3382</v>
      </c>
      <c r="AB88" t="s">
        <v>3450</v>
      </c>
      <c r="AC88" t="s">
        <v>3451</v>
      </c>
      <c r="AK88" t="s">
        <v>3383</v>
      </c>
    </row>
    <row r="89" spans="1:37" x14ac:dyDescent="0.3">
      <c r="A89" t="s">
        <v>6199</v>
      </c>
      <c r="B89">
        <v>30</v>
      </c>
      <c r="C89" t="s">
        <v>6259</v>
      </c>
      <c r="D89" s="1032">
        <v>43821</v>
      </c>
      <c r="E89" t="s">
        <v>327</v>
      </c>
      <c r="F89" t="s">
        <v>17</v>
      </c>
      <c r="G89" t="s">
        <v>159</v>
      </c>
      <c r="H89" t="s">
        <v>793</v>
      </c>
      <c r="I89">
        <v>4</v>
      </c>
      <c r="J89">
        <v>3</v>
      </c>
      <c r="K89">
        <v>3</v>
      </c>
      <c r="L89">
        <v>3</v>
      </c>
      <c r="M89">
        <v>11</v>
      </c>
      <c r="N89">
        <v>-7</v>
      </c>
      <c r="O89">
        <v>35</v>
      </c>
      <c r="P89">
        <v>1</v>
      </c>
      <c r="Q89">
        <v>0</v>
      </c>
      <c r="R89">
        <v>1</v>
      </c>
      <c r="S89">
        <v>0</v>
      </c>
      <c r="T89">
        <v>4</v>
      </c>
      <c r="U89">
        <v>1</v>
      </c>
      <c r="V89">
        <v>6011</v>
      </c>
      <c r="W89" t="s">
        <v>6188</v>
      </c>
      <c r="X89" t="s">
        <v>6118</v>
      </c>
      <c r="Y89" t="s">
        <v>6097</v>
      </c>
      <c r="Z89" t="s">
        <v>3426</v>
      </c>
      <c r="AA89" t="s">
        <v>3427</v>
      </c>
      <c r="AB89" t="s">
        <v>3452</v>
      </c>
      <c r="AC89" t="s">
        <v>3453</v>
      </c>
      <c r="AD89" t="s">
        <v>3454</v>
      </c>
      <c r="AE89" t="s">
        <v>3455</v>
      </c>
      <c r="AK89" t="s">
        <v>3428</v>
      </c>
    </row>
    <row r="90" spans="1:37" x14ac:dyDescent="0.3">
      <c r="A90" t="s">
        <v>6199</v>
      </c>
      <c r="B90">
        <v>31</v>
      </c>
      <c r="C90" t="s">
        <v>6261</v>
      </c>
      <c r="D90" s="1032">
        <v>43827</v>
      </c>
      <c r="E90" t="s">
        <v>610</v>
      </c>
      <c r="F90" t="s">
        <v>17</v>
      </c>
      <c r="G90" t="s">
        <v>6211</v>
      </c>
      <c r="H90" t="s">
        <v>743</v>
      </c>
      <c r="I90">
        <v>3</v>
      </c>
      <c r="J90">
        <v>4</v>
      </c>
      <c r="K90">
        <v>3</v>
      </c>
      <c r="L90">
        <v>4</v>
      </c>
      <c r="M90">
        <v>12</v>
      </c>
      <c r="N90">
        <v>-10</v>
      </c>
      <c r="O90">
        <v>35</v>
      </c>
      <c r="P90">
        <v>0</v>
      </c>
      <c r="Q90">
        <v>0</v>
      </c>
      <c r="R90">
        <v>0</v>
      </c>
      <c r="S90">
        <v>1</v>
      </c>
      <c r="T90">
        <v>3</v>
      </c>
      <c r="U90">
        <v>2</v>
      </c>
      <c r="V90">
        <v>6011</v>
      </c>
      <c r="W90" t="s">
        <v>6187</v>
      </c>
      <c r="X90" t="s">
        <v>6194</v>
      </c>
      <c r="Y90" t="s">
        <v>6189</v>
      </c>
      <c r="AA90" t="s">
        <v>3430</v>
      </c>
      <c r="AB90" t="s">
        <v>3456</v>
      </c>
      <c r="AC90" t="s">
        <v>3457</v>
      </c>
      <c r="AD90" t="s">
        <v>3458</v>
      </c>
      <c r="AK90" t="s">
        <v>3432</v>
      </c>
    </row>
    <row r="91" spans="1:37" x14ac:dyDescent="0.3">
      <c r="A91" t="s">
        <v>6199</v>
      </c>
      <c r="B91">
        <v>32</v>
      </c>
      <c r="C91" t="s">
        <v>6262</v>
      </c>
      <c r="D91" s="1032">
        <v>43829</v>
      </c>
      <c r="E91" t="s">
        <v>325</v>
      </c>
      <c r="F91" t="s">
        <v>16</v>
      </c>
      <c r="G91" t="s">
        <v>6216</v>
      </c>
      <c r="H91" t="s">
        <v>743</v>
      </c>
      <c r="I91">
        <v>4</v>
      </c>
      <c r="J91">
        <v>8</v>
      </c>
      <c r="K91">
        <v>4</v>
      </c>
      <c r="L91">
        <v>8</v>
      </c>
      <c r="M91">
        <v>13</v>
      </c>
      <c r="N91">
        <v>-10</v>
      </c>
      <c r="O91">
        <v>35</v>
      </c>
      <c r="P91">
        <v>2</v>
      </c>
      <c r="Q91">
        <v>1</v>
      </c>
      <c r="R91">
        <v>1</v>
      </c>
      <c r="S91">
        <v>3</v>
      </c>
      <c r="T91">
        <v>6</v>
      </c>
      <c r="U91">
        <v>7</v>
      </c>
      <c r="V91">
        <v>12351</v>
      </c>
      <c r="W91" t="s">
        <v>6187</v>
      </c>
      <c r="X91" t="s">
        <v>6102</v>
      </c>
      <c r="Y91" t="s">
        <v>6082</v>
      </c>
      <c r="AA91" t="s">
        <v>3431</v>
      </c>
      <c r="AB91" t="s">
        <v>3459</v>
      </c>
      <c r="AC91" t="s">
        <v>3460</v>
      </c>
      <c r="AD91" t="s">
        <v>3461</v>
      </c>
      <c r="AE91" t="s">
        <v>3462</v>
      </c>
      <c r="AK91" t="s">
        <v>3433</v>
      </c>
    </row>
    <row r="92" spans="1:37" x14ac:dyDescent="0.3">
      <c r="A92" t="s">
        <v>6199</v>
      </c>
      <c r="B92">
        <v>33</v>
      </c>
      <c r="C92" t="s">
        <v>6275</v>
      </c>
      <c r="D92" s="1032">
        <v>43834</v>
      </c>
      <c r="E92" t="s">
        <v>325</v>
      </c>
      <c r="F92" t="s">
        <v>1249</v>
      </c>
      <c r="G92" t="s">
        <v>6146</v>
      </c>
      <c r="H92" t="s">
        <v>743</v>
      </c>
      <c r="I92">
        <v>2</v>
      </c>
      <c r="J92">
        <v>3</v>
      </c>
      <c r="K92">
        <v>2</v>
      </c>
      <c r="L92">
        <v>3</v>
      </c>
      <c r="M92">
        <v>13</v>
      </c>
      <c r="N92">
        <v>-13</v>
      </c>
      <c r="O92">
        <v>35</v>
      </c>
      <c r="P92">
        <v>1</v>
      </c>
      <c r="Q92">
        <v>0</v>
      </c>
      <c r="R92">
        <v>0</v>
      </c>
      <c r="S92">
        <v>0</v>
      </c>
      <c r="T92">
        <v>2</v>
      </c>
      <c r="U92">
        <v>4</v>
      </c>
      <c r="V92">
        <v>32009</v>
      </c>
      <c r="W92" t="s">
        <v>6188</v>
      </c>
      <c r="X92" t="s">
        <v>6187</v>
      </c>
      <c r="Y92" t="s">
        <v>6097</v>
      </c>
      <c r="AA92" t="s">
        <v>3434</v>
      </c>
      <c r="AB92" t="s">
        <v>3463</v>
      </c>
      <c r="AC92" t="s">
        <v>3464</v>
      </c>
      <c r="AK92" t="s">
        <v>3435</v>
      </c>
    </row>
    <row r="93" spans="1:37" x14ac:dyDescent="0.3">
      <c r="A93" t="s">
        <v>6199</v>
      </c>
      <c r="B93">
        <v>34</v>
      </c>
      <c r="C93" t="s">
        <v>6265</v>
      </c>
      <c r="D93" s="1032">
        <v>43840</v>
      </c>
      <c r="E93" t="s">
        <v>6076</v>
      </c>
      <c r="F93" t="s">
        <v>16</v>
      </c>
      <c r="G93" t="s">
        <v>171</v>
      </c>
      <c r="H93" t="s">
        <v>794</v>
      </c>
      <c r="I93">
        <v>2</v>
      </c>
      <c r="J93">
        <v>3</v>
      </c>
      <c r="K93">
        <v>2</v>
      </c>
      <c r="L93">
        <v>2</v>
      </c>
      <c r="M93">
        <v>13</v>
      </c>
      <c r="N93">
        <v>-12</v>
      </c>
      <c r="O93">
        <v>36</v>
      </c>
      <c r="P93">
        <v>0</v>
      </c>
      <c r="Q93">
        <v>0</v>
      </c>
      <c r="R93">
        <v>0</v>
      </c>
      <c r="S93">
        <v>0</v>
      </c>
      <c r="T93">
        <v>2</v>
      </c>
      <c r="U93">
        <v>2</v>
      </c>
      <c r="V93">
        <v>4608</v>
      </c>
      <c r="W93" t="s">
        <v>6120</v>
      </c>
      <c r="X93" t="s">
        <v>6187</v>
      </c>
      <c r="Y93" t="s">
        <v>6189</v>
      </c>
      <c r="Z93" t="s">
        <v>3213</v>
      </c>
      <c r="AA93" t="s">
        <v>3465</v>
      </c>
      <c r="AB93" t="s">
        <v>3470</v>
      </c>
      <c r="AC93" t="s">
        <v>3471</v>
      </c>
      <c r="AK93" t="s">
        <v>3467</v>
      </c>
    </row>
    <row r="94" spans="1:37" x14ac:dyDescent="0.3">
      <c r="A94" t="s">
        <v>6199</v>
      </c>
      <c r="B94">
        <v>35</v>
      </c>
      <c r="C94" t="s">
        <v>6266</v>
      </c>
      <c r="D94" s="1032">
        <v>43842</v>
      </c>
      <c r="E94" t="s">
        <v>326</v>
      </c>
      <c r="F94" t="s">
        <v>17</v>
      </c>
      <c r="G94" t="s">
        <v>6210</v>
      </c>
      <c r="H94" t="s">
        <v>743</v>
      </c>
      <c r="I94">
        <v>2</v>
      </c>
      <c r="J94">
        <v>6</v>
      </c>
      <c r="K94">
        <v>2</v>
      </c>
      <c r="L94">
        <v>6</v>
      </c>
      <c r="M94">
        <v>13</v>
      </c>
      <c r="N94">
        <v>-15</v>
      </c>
      <c r="O94">
        <v>36</v>
      </c>
      <c r="P94">
        <v>1</v>
      </c>
      <c r="Q94">
        <v>0</v>
      </c>
      <c r="R94">
        <v>0</v>
      </c>
      <c r="S94">
        <v>3</v>
      </c>
      <c r="T94">
        <v>4</v>
      </c>
      <c r="U94">
        <v>5</v>
      </c>
      <c r="V94">
        <v>4865</v>
      </c>
      <c r="W94" t="s">
        <v>6188</v>
      </c>
      <c r="X94" t="s">
        <v>6077</v>
      </c>
      <c r="Y94" t="s">
        <v>6194</v>
      </c>
      <c r="AA94" t="s">
        <v>3466</v>
      </c>
      <c r="AB94" t="s">
        <v>3481</v>
      </c>
      <c r="AC94" t="s">
        <v>3482</v>
      </c>
      <c r="AK94" t="s">
        <v>3468</v>
      </c>
    </row>
    <row r="95" spans="1:37" x14ac:dyDescent="0.3">
      <c r="A95" t="s">
        <v>6199</v>
      </c>
      <c r="B95">
        <v>36</v>
      </c>
      <c r="C95" t="s">
        <v>6267</v>
      </c>
      <c r="D95" s="1032">
        <v>43847</v>
      </c>
      <c r="E95" t="s">
        <v>328</v>
      </c>
      <c r="F95" t="s">
        <v>16</v>
      </c>
      <c r="G95" t="s">
        <v>6204</v>
      </c>
      <c r="H95" t="s">
        <v>743</v>
      </c>
      <c r="I95">
        <v>3</v>
      </c>
      <c r="J95">
        <v>5</v>
      </c>
      <c r="K95">
        <v>3</v>
      </c>
      <c r="L95">
        <v>4</v>
      </c>
      <c r="M95">
        <v>13</v>
      </c>
      <c r="N95">
        <v>-15</v>
      </c>
      <c r="O95">
        <v>36</v>
      </c>
      <c r="P95">
        <v>1</v>
      </c>
      <c r="Q95">
        <v>0</v>
      </c>
      <c r="R95">
        <v>0</v>
      </c>
      <c r="S95">
        <v>1</v>
      </c>
      <c r="T95">
        <v>2</v>
      </c>
      <c r="U95">
        <v>6</v>
      </c>
      <c r="V95">
        <v>5335</v>
      </c>
      <c r="W95" t="s">
        <v>6187</v>
      </c>
      <c r="X95" t="s">
        <v>6102</v>
      </c>
      <c r="Y95" t="s">
        <v>6187</v>
      </c>
      <c r="AA95" t="s">
        <v>3475</v>
      </c>
      <c r="AB95" t="s">
        <v>3538</v>
      </c>
      <c r="AC95" t="s">
        <v>3539</v>
      </c>
      <c r="AD95" t="s">
        <v>3540</v>
      </c>
      <c r="AK95" t="s">
        <v>3476</v>
      </c>
    </row>
    <row r="96" spans="1:37" x14ac:dyDescent="0.3">
      <c r="A96" t="s">
        <v>6199</v>
      </c>
      <c r="B96">
        <v>37</v>
      </c>
      <c r="C96" t="s">
        <v>6268</v>
      </c>
      <c r="D96" s="1032">
        <v>43849</v>
      </c>
      <c r="E96" t="s">
        <v>626</v>
      </c>
      <c r="F96" t="s">
        <v>17</v>
      </c>
      <c r="G96" t="s">
        <v>6102</v>
      </c>
      <c r="H96" t="s">
        <v>743</v>
      </c>
      <c r="I96">
        <v>1</v>
      </c>
      <c r="J96">
        <v>3</v>
      </c>
      <c r="K96">
        <v>1</v>
      </c>
      <c r="L96">
        <v>2</v>
      </c>
      <c r="M96">
        <v>13</v>
      </c>
      <c r="N96">
        <v>-18</v>
      </c>
      <c r="O96">
        <v>36</v>
      </c>
      <c r="P96">
        <v>0</v>
      </c>
      <c r="Q96">
        <v>0</v>
      </c>
      <c r="R96">
        <v>0</v>
      </c>
      <c r="S96">
        <v>0</v>
      </c>
      <c r="T96">
        <v>4</v>
      </c>
      <c r="U96">
        <v>2</v>
      </c>
      <c r="V96">
        <v>4156</v>
      </c>
      <c r="W96" t="s">
        <v>6097</v>
      </c>
      <c r="X96" t="s">
        <v>6188</v>
      </c>
      <c r="Y96" t="s">
        <v>6189</v>
      </c>
      <c r="AA96" t="s">
        <v>3377</v>
      </c>
      <c r="AB96" t="s">
        <v>3541</v>
      </c>
      <c r="AK96" t="s">
        <v>3477</v>
      </c>
    </row>
    <row r="97" spans="1:37" x14ac:dyDescent="0.3">
      <c r="A97" t="s">
        <v>6199</v>
      </c>
      <c r="B97">
        <v>38</v>
      </c>
      <c r="C97" t="s">
        <v>6269</v>
      </c>
      <c r="D97" s="1032">
        <v>43854</v>
      </c>
      <c r="E97" t="s">
        <v>332</v>
      </c>
      <c r="F97" t="s">
        <v>16</v>
      </c>
      <c r="G97" t="s">
        <v>6212</v>
      </c>
      <c r="H97" t="s">
        <v>16</v>
      </c>
      <c r="I97">
        <v>5</v>
      </c>
      <c r="J97">
        <v>3</v>
      </c>
      <c r="K97">
        <v>5</v>
      </c>
      <c r="L97">
        <v>3</v>
      </c>
      <c r="M97">
        <v>13</v>
      </c>
      <c r="N97">
        <v>-15</v>
      </c>
      <c r="O97">
        <v>39</v>
      </c>
      <c r="P97">
        <v>1</v>
      </c>
      <c r="Q97">
        <v>2</v>
      </c>
      <c r="R97">
        <v>0</v>
      </c>
      <c r="S97">
        <v>1</v>
      </c>
      <c r="T97">
        <v>3</v>
      </c>
      <c r="U97">
        <v>5</v>
      </c>
      <c r="V97">
        <v>4748</v>
      </c>
      <c r="W97" t="s">
        <v>6089</v>
      </c>
      <c r="X97" t="s">
        <v>6187</v>
      </c>
      <c r="Y97" t="s">
        <v>6194</v>
      </c>
      <c r="AA97" t="s">
        <v>3487</v>
      </c>
      <c r="AB97" t="s">
        <v>3542</v>
      </c>
      <c r="AC97" t="s">
        <v>3543</v>
      </c>
      <c r="AD97" t="s">
        <v>3544</v>
      </c>
      <c r="AE97" t="s">
        <v>3545</v>
      </c>
      <c r="AF97" t="s">
        <v>3546</v>
      </c>
      <c r="AK97" t="s">
        <v>3484</v>
      </c>
    </row>
    <row r="98" spans="1:37" x14ac:dyDescent="0.3">
      <c r="A98" t="s">
        <v>6199</v>
      </c>
      <c r="B98">
        <v>39</v>
      </c>
      <c r="C98" t="s">
        <v>6270</v>
      </c>
      <c r="D98" s="1032">
        <v>43856</v>
      </c>
      <c r="E98" t="s">
        <v>6179</v>
      </c>
      <c r="F98" t="s">
        <v>16</v>
      </c>
      <c r="G98" t="s">
        <v>354</v>
      </c>
      <c r="H98" t="s">
        <v>794</v>
      </c>
      <c r="I98">
        <v>3</v>
      </c>
      <c r="J98">
        <v>4</v>
      </c>
      <c r="K98">
        <v>3</v>
      </c>
      <c r="L98">
        <v>3</v>
      </c>
      <c r="M98">
        <v>13</v>
      </c>
      <c r="N98">
        <v>-14</v>
      </c>
      <c r="O98">
        <v>40</v>
      </c>
      <c r="P98">
        <v>0</v>
      </c>
      <c r="Q98">
        <v>0</v>
      </c>
      <c r="R98">
        <v>0</v>
      </c>
      <c r="S98">
        <v>1</v>
      </c>
      <c r="T98">
        <v>3</v>
      </c>
      <c r="U98">
        <v>5</v>
      </c>
      <c r="V98">
        <v>7203</v>
      </c>
      <c r="W98" t="s">
        <v>6089</v>
      </c>
      <c r="X98" t="s">
        <v>6097</v>
      </c>
      <c r="Y98" t="s">
        <v>6189</v>
      </c>
      <c r="Z98" t="s">
        <v>208</v>
      </c>
      <c r="AA98" t="s">
        <v>3486</v>
      </c>
      <c r="AB98" t="s">
        <v>3547</v>
      </c>
      <c r="AC98" t="s">
        <v>3548</v>
      </c>
      <c r="AD98" t="s">
        <v>3549</v>
      </c>
      <c r="AK98" t="s">
        <v>3485</v>
      </c>
    </row>
    <row r="99" spans="1:37" x14ac:dyDescent="0.3">
      <c r="A99" t="s">
        <v>6199</v>
      </c>
      <c r="B99">
        <v>40</v>
      </c>
      <c r="C99" t="s">
        <v>6271</v>
      </c>
      <c r="D99" s="1032">
        <v>43858</v>
      </c>
      <c r="E99" t="s">
        <v>331</v>
      </c>
      <c r="F99" t="s">
        <v>17</v>
      </c>
      <c r="G99" t="s">
        <v>6190</v>
      </c>
      <c r="H99" t="s">
        <v>16</v>
      </c>
      <c r="I99">
        <v>5</v>
      </c>
      <c r="J99">
        <v>1</v>
      </c>
      <c r="K99">
        <v>5</v>
      </c>
      <c r="L99">
        <v>1</v>
      </c>
      <c r="M99">
        <v>13</v>
      </c>
      <c r="N99">
        <v>-14</v>
      </c>
      <c r="O99">
        <v>43</v>
      </c>
      <c r="P99">
        <v>1</v>
      </c>
      <c r="Q99">
        <v>0</v>
      </c>
      <c r="R99">
        <v>0</v>
      </c>
      <c r="S99">
        <v>0</v>
      </c>
      <c r="T99">
        <v>5</v>
      </c>
      <c r="U99">
        <v>2</v>
      </c>
      <c r="V99">
        <v>3129</v>
      </c>
      <c r="W99" t="s">
        <v>6120</v>
      </c>
      <c r="X99" t="s">
        <v>6100</v>
      </c>
      <c r="Y99" t="s">
        <v>6120</v>
      </c>
      <c r="AA99" t="s">
        <v>3489</v>
      </c>
      <c r="AB99" t="s">
        <v>3550</v>
      </c>
      <c r="AC99" t="s">
        <v>3551</v>
      </c>
      <c r="AD99" t="s">
        <v>3552</v>
      </c>
      <c r="AE99" t="s">
        <v>3553</v>
      </c>
      <c r="AF99" t="s">
        <v>3554</v>
      </c>
      <c r="AK99" t="s">
        <v>3488</v>
      </c>
    </row>
    <row r="100" spans="1:37" x14ac:dyDescent="0.3">
      <c r="A100" t="s">
        <v>6199</v>
      </c>
      <c r="B100">
        <v>41</v>
      </c>
      <c r="C100" t="s">
        <v>6272</v>
      </c>
      <c r="D100" s="1032">
        <v>43861</v>
      </c>
      <c r="E100" t="s">
        <v>327</v>
      </c>
      <c r="F100" t="s">
        <v>16</v>
      </c>
      <c r="G100" t="s">
        <v>6118</v>
      </c>
      <c r="H100" t="s">
        <v>16</v>
      </c>
      <c r="I100">
        <v>2</v>
      </c>
      <c r="J100">
        <v>1</v>
      </c>
      <c r="K100">
        <v>2</v>
      </c>
      <c r="L100">
        <v>1</v>
      </c>
      <c r="M100">
        <v>13</v>
      </c>
      <c r="N100">
        <v>-11</v>
      </c>
      <c r="O100">
        <v>46</v>
      </c>
      <c r="P100">
        <v>0</v>
      </c>
      <c r="Q100">
        <v>0</v>
      </c>
      <c r="R100">
        <v>0</v>
      </c>
      <c r="S100">
        <v>1</v>
      </c>
      <c r="T100">
        <v>4</v>
      </c>
      <c r="U100">
        <v>4</v>
      </c>
      <c r="V100">
        <v>9335</v>
      </c>
      <c r="W100" t="s">
        <v>6120</v>
      </c>
      <c r="X100" t="s">
        <v>6120</v>
      </c>
      <c r="Y100" t="s">
        <v>6189</v>
      </c>
      <c r="AA100" t="s">
        <v>3496</v>
      </c>
      <c r="AB100" t="s">
        <v>3555</v>
      </c>
      <c r="AC100" t="s">
        <v>3556</v>
      </c>
      <c r="AK100" t="s">
        <v>3499</v>
      </c>
    </row>
    <row r="101" spans="1:37" x14ac:dyDescent="0.3">
      <c r="A101" t="s">
        <v>6199</v>
      </c>
      <c r="B101">
        <v>42</v>
      </c>
      <c r="C101" t="s">
        <v>6273</v>
      </c>
      <c r="D101" s="1032">
        <v>43863</v>
      </c>
      <c r="E101" t="s">
        <v>334</v>
      </c>
      <c r="F101" t="s">
        <v>17</v>
      </c>
      <c r="G101" t="s">
        <v>6146</v>
      </c>
      <c r="H101" t="s">
        <v>743</v>
      </c>
      <c r="I101">
        <v>2</v>
      </c>
      <c r="J101">
        <v>3</v>
      </c>
      <c r="K101">
        <v>2</v>
      </c>
      <c r="L101">
        <v>3</v>
      </c>
      <c r="M101">
        <v>13</v>
      </c>
      <c r="N101">
        <v>-14</v>
      </c>
      <c r="O101">
        <v>46</v>
      </c>
      <c r="P101">
        <v>1</v>
      </c>
      <c r="Q101">
        <v>0</v>
      </c>
      <c r="R101">
        <v>0</v>
      </c>
      <c r="S101">
        <v>0</v>
      </c>
      <c r="T101">
        <v>3</v>
      </c>
      <c r="U101">
        <v>2</v>
      </c>
      <c r="V101">
        <v>5376</v>
      </c>
      <c r="W101" t="s">
        <v>6146</v>
      </c>
      <c r="X101" t="s">
        <v>6188</v>
      </c>
      <c r="Y101" t="s">
        <v>6188</v>
      </c>
      <c r="AA101" t="s">
        <v>3497</v>
      </c>
      <c r="AB101" t="s">
        <v>3557</v>
      </c>
      <c r="AC101" t="s">
        <v>3558</v>
      </c>
      <c r="AK101" t="s">
        <v>3498</v>
      </c>
    </row>
    <row r="102" spans="1:37" x14ac:dyDescent="0.3">
      <c r="A102" t="s">
        <v>6199</v>
      </c>
      <c r="B102">
        <v>43</v>
      </c>
      <c r="C102" t="s">
        <v>6274</v>
      </c>
      <c r="D102" s="1032">
        <v>43873</v>
      </c>
      <c r="E102" t="s">
        <v>610</v>
      </c>
      <c r="F102" t="s">
        <v>16</v>
      </c>
      <c r="G102" t="s">
        <v>359</v>
      </c>
      <c r="H102" t="s">
        <v>794</v>
      </c>
      <c r="I102">
        <v>4</v>
      </c>
      <c r="J102">
        <v>5</v>
      </c>
      <c r="K102">
        <v>4</v>
      </c>
      <c r="L102">
        <v>4</v>
      </c>
      <c r="M102">
        <v>13</v>
      </c>
      <c r="N102">
        <v>-13</v>
      </c>
      <c r="O102">
        <v>47</v>
      </c>
      <c r="P102">
        <v>1</v>
      </c>
      <c r="Q102">
        <v>0</v>
      </c>
      <c r="R102">
        <v>0</v>
      </c>
      <c r="S102">
        <v>3</v>
      </c>
      <c r="T102">
        <v>4</v>
      </c>
      <c r="U102">
        <v>6</v>
      </c>
      <c r="V102">
        <v>6782</v>
      </c>
      <c r="W102" t="s">
        <v>6097</v>
      </c>
      <c r="X102" t="s">
        <v>6187</v>
      </c>
      <c r="Y102" t="s">
        <v>6118</v>
      </c>
      <c r="Z102" t="s">
        <v>3213</v>
      </c>
      <c r="AA102" t="s">
        <v>3515</v>
      </c>
      <c r="AB102" t="s">
        <v>3559</v>
      </c>
      <c r="AC102" t="s">
        <v>3560</v>
      </c>
      <c r="AD102" t="s">
        <v>3561</v>
      </c>
      <c r="AE102" t="s">
        <v>3562</v>
      </c>
      <c r="AK102" t="s">
        <v>3517</v>
      </c>
    </row>
    <row r="103" spans="1:37" x14ac:dyDescent="0.3">
      <c r="A103" t="s">
        <v>6199</v>
      </c>
      <c r="B103">
        <v>44</v>
      </c>
      <c r="C103" t="s">
        <v>6276</v>
      </c>
      <c r="D103" s="1032">
        <v>43877</v>
      </c>
      <c r="E103" t="s">
        <v>6086</v>
      </c>
      <c r="F103" t="s">
        <v>17</v>
      </c>
      <c r="G103" t="s">
        <v>161</v>
      </c>
      <c r="H103" t="s">
        <v>794</v>
      </c>
      <c r="I103">
        <v>2</v>
      </c>
      <c r="J103">
        <v>3</v>
      </c>
      <c r="K103">
        <v>2</v>
      </c>
      <c r="L103">
        <v>2</v>
      </c>
      <c r="M103">
        <v>14</v>
      </c>
      <c r="N103">
        <v>-15</v>
      </c>
      <c r="O103">
        <v>48</v>
      </c>
      <c r="P103">
        <v>0</v>
      </c>
      <c r="Q103">
        <v>1</v>
      </c>
      <c r="R103">
        <v>0</v>
      </c>
      <c r="S103">
        <v>1</v>
      </c>
      <c r="T103">
        <v>3</v>
      </c>
      <c r="U103">
        <v>2</v>
      </c>
      <c r="V103">
        <v>5145</v>
      </c>
      <c r="W103" t="s">
        <v>6188</v>
      </c>
      <c r="X103" t="s">
        <v>6118</v>
      </c>
      <c r="Y103" t="s">
        <v>6189</v>
      </c>
      <c r="Z103" t="s">
        <v>208</v>
      </c>
      <c r="AA103" t="s">
        <v>3518</v>
      </c>
      <c r="AB103" t="s">
        <v>3563</v>
      </c>
      <c r="AC103" t="s">
        <v>3564</v>
      </c>
      <c r="AK103" t="s">
        <v>3516</v>
      </c>
    </row>
    <row r="104" spans="1:37" x14ac:dyDescent="0.3">
      <c r="A104" t="s">
        <v>6199</v>
      </c>
      <c r="B104">
        <v>45</v>
      </c>
      <c r="C104" t="s">
        <v>6260</v>
      </c>
      <c r="D104" s="1032">
        <v>43880</v>
      </c>
      <c r="E104" t="s">
        <v>334</v>
      </c>
      <c r="F104" t="s">
        <v>17</v>
      </c>
      <c r="G104" t="s">
        <v>6133</v>
      </c>
      <c r="H104" t="s">
        <v>16</v>
      </c>
      <c r="I104">
        <v>5</v>
      </c>
      <c r="J104">
        <v>2</v>
      </c>
      <c r="K104">
        <v>5</v>
      </c>
      <c r="L104">
        <v>2</v>
      </c>
      <c r="M104">
        <v>12</v>
      </c>
      <c r="N104">
        <v>-15</v>
      </c>
      <c r="O104">
        <v>51</v>
      </c>
      <c r="P104">
        <v>1</v>
      </c>
      <c r="Q104">
        <v>0</v>
      </c>
      <c r="R104">
        <v>0</v>
      </c>
      <c r="S104">
        <v>0</v>
      </c>
      <c r="T104">
        <v>2</v>
      </c>
      <c r="U104">
        <v>2</v>
      </c>
      <c r="V104">
        <v>4578</v>
      </c>
      <c r="W104" t="s">
        <v>6089</v>
      </c>
      <c r="X104" t="s">
        <v>6194</v>
      </c>
      <c r="Y104" t="s">
        <v>6120</v>
      </c>
      <c r="AA104" t="s">
        <v>3519</v>
      </c>
      <c r="AB104" t="s">
        <v>3565</v>
      </c>
      <c r="AC104" t="s">
        <v>3566</v>
      </c>
      <c r="AD104" t="s">
        <v>3567</v>
      </c>
      <c r="AE104" t="s">
        <v>3568</v>
      </c>
      <c r="AF104" t="s">
        <v>3569</v>
      </c>
      <c r="AK104" t="s">
        <v>3520</v>
      </c>
    </row>
    <row r="105" spans="1:37" x14ac:dyDescent="0.3">
      <c r="A105" t="s">
        <v>6199</v>
      </c>
      <c r="B105">
        <v>46</v>
      </c>
      <c r="C105" t="s">
        <v>6277</v>
      </c>
      <c r="D105" s="1032">
        <v>43882</v>
      </c>
      <c r="E105" t="s">
        <v>1274</v>
      </c>
      <c r="F105" t="s">
        <v>16</v>
      </c>
      <c r="G105" t="s">
        <v>162</v>
      </c>
      <c r="H105" t="s">
        <v>793</v>
      </c>
      <c r="I105">
        <v>5</v>
      </c>
      <c r="J105">
        <v>4</v>
      </c>
      <c r="K105">
        <v>4</v>
      </c>
      <c r="L105">
        <v>4</v>
      </c>
      <c r="M105">
        <v>13</v>
      </c>
      <c r="N105">
        <v>-13</v>
      </c>
      <c r="O105">
        <v>53</v>
      </c>
      <c r="P105">
        <v>1</v>
      </c>
      <c r="Q105">
        <v>0</v>
      </c>
      <c r="R105">
        <v>0</v>
      </c>
      <c r="S105">
        <v>1</v>
      </c>
      <c r="T105">
        <v>4</v>
      </c>
      <c r="U105">
        <v>3</v>
      </c>
      <c r="V105">
        <v>5006</v>
      </c>
      <c r="W105" t="s">
        <v>6102</v>
      </c>
      <c r="X105" t="s">
        <v>6120</v>
      </c>
      <c r="Y105" t="s">
        <v>6118</v>
      </c>
      <c r="Z105" t="s">
        <v>3533</v>
      </c>
      <c r="AA105" t="s">
        <v>3532</v>
      </c>
      <c r="AB105" t="s">
        <v>3570</v>
      </c>
      <c r="AC105" t="s">
        <v>3571</v>
      </c>
      <c r="AD105" t="s">
        <v>3572</v>
      </c>
      <c r="AE105" t="s">
        <v>3573</v>
      </c>
      <c r="AF105" t="s">
        <v>3574</v>
      </c>
      <c r="AK105" t="s">
        <v>3530</v>
      </c>
    </row>
    <row r="106" spans="1:37" x14ac:dyDescent="0.3">
      <c r="A106" t="s">
        <v>6199</v>
      </c>
      <c r="B106">
        <v>47</v>
      </c>
      <c r="C106" t="s">
        <v>6278</v>
      </c>
      <c r="D106" s="1032">
        <v>43884</v>
      </c>
      <c r="E106" t="s">
        <v>6076</v>
      </c>
      <c r="F106" t="s">
        <v>17</v>
      </c>
      <c r="G106" t="s">
        <v>6191</v>
      </c>
      <c r="H106" t="s">
        <v>16</v>
      </c>
      <c r="I106">
        <v>6</v>
      </c>
      <c r="J106">
        <v>4</v>
      </c>
      <c r="K106">
        <v>6</v>
      </c>
      <c r="L106">
        <v>4</v>
      </c>
      <c r="M106">
        <v>12</v>
      </c>
      <c r="N106">
        <v>-13</v>
      </c>
      <c r="O106">
        <v>56</v>
      </c>
      <c r="P106">
        <v>1</v>
      </c>
      <c r="Q106">
        <v>0</v>
      </c>
      <c r="R106">
        <v>0</v>
      </c>
      <c r="S106">
        <v>1</v>
      </c>
      <c r="T106">
        <v>4</v>
      </c>
      <c r="U106">
        <v>1</v>
      </c>
      <c r="V106">
        <v>5695</v>
      </c>
      <c r="W106" t="s">
        <v>6097</v>
      </c>
      <c r="X106" t="s">
        <v>6089</v>
      </c>
      <c r="Y106" t="s">
        <v>6113</v>
      </c>
      <c r="AA106" t="s">
        <v>3534</v>
      </c>
      <c r="AB106" t="s">
        <v>3575</v>
      </c>
      <c r="AC106" t="s">
        <v>3576</v>
      </c>
      <c r="AD106" t="s">
        <v>3577</v>
      </c>
      <c r="AE106" t="s">
        <v>3578</v>
      </c>
      <c r="AF106" t="s">
        <v>3579</v>
      </c>
      <c r="AG106" t="s">
        <v>3580</v>
      </c>
      <c r="AK106" t="s">
        <v>3531</v>
      </c>
    </row>
    <row r="107" spans="1:37" x14ac:dyDescent="0.3">
      <c r="A107" t="s">
        <v>6199</v>
      </c>
      <c r="B107">
        <v>48</v>
      </c>
      <c r="C107" t="s">
        <v>6264</v>
      </c>
      <c r="D107" s="1032">
        <v>43886</v>
      </c>
      <c r="E107" t="s">
        <v>1274</v>
      </c>
      <c r="F107" t="s">
        <v>17</v>
      </c>
      <c r="G107" t="s">
        <v>6146</v>
      </c>
      <c r="H107" t="s">
        <v>743</v>
      </c>
      <c r="I107">
        <v>2</v>
      </c>
      <c r="J107">
        <v>3</v>
      </c>
      <c r="K107">
        <v>2</v>
      </c>
      <c r="L107">
        <v>3</v>
      </c>
      <c r="M107">
        <v>12</v>
      </c>
      <c r="N107">
        <v>-16</v>
      </c>
      <c r="O107">
        <v>56</v>
      </c>
      <c r="P107">
        <v>1</v>
      </c>
      <c r="Q107">
        <v>0</v>
      </c>
      <c r="R107">
        <v>0</v>
      </c>
      <c r="S107">
        <v>1</v>
      </c>
      <c r="T107">
        <v>4</v>
      </c>
      <c r="U107">
        <v>4</v>
      </c>
      <c r="V107">
        <v>3876</v>
      </c>
      <c r="W107" t="s">
        <v>6120</v>
      </c>
      <c r="X107" t="s">
        <v>6097</v>
      </c>
      <c r="Y107" t="s">
        <v>6189</v>
      </c>
      <c r="AA107" t="s">
        <v>3537</v>
      </c>
      <c r="AB107" t="s">
        <v>3581</v>
      </c>
      <c r="AC107" t="s">
        <v>3582</v>
      </c>
      <c r="AK107" t="s">
        <v>3536</v>
      </c>
    </row>
    <row r="108" spans="1:37" x14ac:dyDescent="0.3">
      <c r="A108" t="s">
        <v>6199</v>
      </c>
      <c r="B108">
        <v>49</v>
      </c>
      <c r="C108" t="s">
        <v>6279</v>
      </c>
      <c r="D108" s="1032">
        <v>43889</v>
      </c>
      <c r="E108" t="s">
        <v>326</v>
      </c>
      <c r="F108" t="s">
        <v>16</v>
      </c>
      <c r="G108" t="s">
        <v>163</v>
      </c>
      <c r="H108" t="s">
        <v>794</v>
      </c>
      <c r="I108">
        <v>3</v>
      </c>
      <c r="J108">
        <v>4</v>
      </c>
      <c r="K108">
        <v>3</v>
      </c>
      <c r="L108">
        <v>3</v>
      </c>
      <c r="M108">
        <v>12</v>
      </c>
      <c r="N108">
        <v>-15</v>
      </c>
      <c r="O108">
        <v>57</v>
      </c>
      <c r="P108">
        <v>1</v>
      </c>
      <c r="Q108">
        <v>0</v>
      </c>
      <c r="R108">
        <v>0</v>
      </c>
      <c r="S108">
        <v>2</v>
      </c>
      <c r="T108">
        <v>2</v>
      </c>
      <c r="U108">
        <v>4</v>
      </c>
      <c r="V108">
        <v>4647</v>
      </c>
      <c r="W108" t="s">
        <v>6120</v>
      </c>
      <c r="X108" t="s">
        <v>6079</v>
      </c>
      <c r="Y108" t="s">
        <v>6089</v>
      </c>
      <c r="Z108" t="s">
        <v>3213</v>
      </c>
      <c r="AA108" t="s">
        <v>3595</v>
      </c>
      <c r="AB108" t="s">
        <v>3596</v>
      </c>
      <c r="AC108" t="s">
        <v>3597</v>
      </c>
      <c r="AD108" t="s">
        <v>3598</v>
      </c>
      <c r="AK108" t="s">
        <v>3593</v>
      </c>
    </row>
    <row r="109" spans="1:37" x14ac:dyDescent="0.3">
      <c r="A109" t="s">
        <v>6199</v>
      </c>
      <c r="B109">
        <v>50</v>
      </c>
      <c r="C109" t="s">
        <v>6280</v>
      </c>
      <c r="D109" s="1032">
        <v>43891</v>
      </c>
      <c r="E109" t="s">
        <v>328</v>
      </c>
      <c r="F109" t="s">
        <v>17</v>
      </c>
      <c r="G109" t="s">
        <v>6202</v>
      </c>
      <c r="H109" t="s">
        <v>16</v>
      </c>
      <c r="I109">
        <v>4</v>
      </c>
      <c r="J109">
        <v>0</v>
      </c>
      <c r="K109">
        <v>4</v>
      </c>
      <c r="L109">
        <v>0</v>
      </c>
      <c r="M109">
        <v>11</v>
      </c>
      <c r="N109">
        <v>-15</v>
      </c>
      <c r="O109">
        <v>60</v>
      </c>
      <c r="P109">
        <v>0</v>
      </c>
      <c r="Q109">
        <v>0</v>
      </c>
      <c r="R109">
        <v>0</v>
      </c>
      <c r="S109">
        <v>0</v>
      </c>
      <c r="T109">
        <v>4</v>
      </c>
      <c r="U109">
        <v>3</v>
      </c>
      <c r="V109">
        <v>5756</v>
      </c>
      <c r="W109" t="s">
        <v>6188</v>
      </c>
      <c r="X109" t="s">
        <v>6089</v>
      </c>
      <c r="Y109" t="s">
        <v>6089</v>
      </c>
      <c r="AA109" t="s">
        <v>6202</v>
      </c>
      <c r="AB109" t="s">
        <v>3657</v>
      </c>
      <c r="AC109" t="s">
        <v>3658</v>
      </c>
      <c r="AD109" t="s">
        <v>3659</v>
      </c>
      <c r="AE109" t="s">
        <v>3660</v>
      </c>
      <c r="AK109" t="s">
        <v>3594</v>
      </c>
    </row>
    <row r="110" spans="1:37" x14ac:dyDescent="0.3">
      <c r="A110" t="s">
        <v>6199</v>
      </c>
      <c r="B110">
        <v>51</v>
      </c>
      <c r="C110" t="s">
        <v>6281</v>
      </c>
      <c r="D110" s="1032">
        <v>43893</v>
      </c>
      <c r="E110" t="s">
        <v>626</v>
      </c>
      <c r="F110" t="s">
        <v>16</v>
      </c>
      <c r="G110" t="s">
        <v>6102</v>
      </c>
      <c r="H110" t="s">
        <v>743</v>
      </c>
      <c r="I110">
        <v>1</v>
      </c>
      <c r="J110">
        <v>3</v>
      </c>
      <c r="K110">
        <v>1</v>
      </c>
      <c r="L110">
        <v>3</v>
      </c>
      <c r="M110">
        <v>13</v>
      </c>
      <c r="N110">
        <v>-15</v>
      </c>
      <c r="O110">
        <v>60</v>
      </c>
      <c r="P110">
        <v>0</v>
      </c>
      <c r="Q110">
        <v>0</v>
      </c>
      <c r="R110">
        <v>0</v>
      </c>
      <c r="S110">
        <v>0</v>
      </c>
      <c r="T110">
        <v>3</v>
      </c>
      <c r="U110">
        <v>2</v>
      </c>
      <c r="V110">
        <v>3752</v>
      </c>
      <c r="W110" t="s">
        <v>6120</v>
      </c>
      <c r="X110" t="s">
        <v>6189</v>
      </c>
      <c r="Y110" t="s">
        <v>6171</v>
      </c>
      <c r="AA110" t="s">
        <v>3601</v>
      </c>
      <c r="AB110" t="s">
        <v>3600</v>
      </c>
      <c r="AK110" t="s">
        <v>3602</v>
      </c>
    </row>
    <row r="111" spans="1:37" x14ac:dyDescent="0.3">
      <c r="A111" t="s">
        <v>6199</v>
      </c>
      <c r="B111">
        <v>52</v>
      </c>
      <c r="C111" t="s">
        <v>6282</v>
      </c>
      <c r="D111" s="1032">
        <v>43896</v>
      </c>
      <c r="E111" t="s">
        <v>332</v>
      </c>
      <c r="F111" t="s">
        <v>17</v>
      </c>
      <c r="G111" t="s">
        <v>6137</v>
      </c>
      <c r="H111" t="s">
        <v>16</v>
      </c>
      <c r="I111">
        <v>6</v>
      </c>
      <c r="J111">
        <v>2</v>
      </c>
      <c r="K111">
        <v>6</v>
      </c>
      <c r="L111">
        <v>2</v>
      </c>
      <c r="M111">
        <v>12</v>
      </c>
      <c r="N111">
        <v>-15</v>
      </c>
      <c r="O111">
        <v>63</v>
      </c>
      <c r="P111">
        <v>2</v>
      </c>
      <c r="Q111">
        <v>0</v>
      </c>
      <c r="R111">
        <v>0</v>
      </c>
      <c r="S111">
        <v>1</v>
      </c>
      <c r="T111">
        <v>4</v>
      </c>
      <c r="U111">
        <v>3</v>
      </c>
      <c r="V111">
        <v>6011</v>
      </c>
      <c r="W111" t="s">
        <v>6187</v>
      </c>
      <c r="X111" t="s">
        <v>6118</v>
      </c>
      <c r="Y111" t="s">
        <v>6110</v>
      </c>
      <c r="AA111" t="s">
        <v>3605</v>
      </c>
      <c r="AB111" t="s">
        <v>3651</v>
      </c>
      <c r="AC111" t="s">
        <v>3652</v>
      </c>
      <c r="AD111" t="s">
        <v>3653</v>
      </c>
      <c r="AE111" t="s">
        <v>3654</v>
      </c>
      <c r="AF111" t="s">
        <v>3655</v>
      </c>
      <c r="AG111" t="s">
        <v>3656</v>
      </c>
      <c r="AK111" t="s">
        <v>3604</v>
      </c>
    </row>
    <row r="112" spans="1:37" x14ac:dyDescent="0.3">
      <c r="A112" t="s">
        <v>6198</v>
      </c>
      <c r="B112">
        <v>1</v>
      </c>
      <c r="C112" t="s">
        <v>6250</v>
      </c>
      <c r="D112" s="1032">
        <v>44094</v>
      </c>
      <c r="E112" t="s">
        <v>1274</v>
      </c>
      <c r="F112" t="s">
        <v>17</v>
      </c>
      <c r="G112" t="s">
        <v>6082</v>
      </c>
      <c r="M112">
        <v>12</v>
      </c>
      <c r="N112">
        <v>-3</v>
      </c>
      <c r="O112">
        <v>0</v>
      </c>
      <c r="P112">
        <v>0</v>
      </c>
      <c r="Q112">
        <v>0</v>
      </c>
      <c r="R112">
        <v>0</v>
      </c>
      <c r="S112">
        <v>0</v>
      </c>
      <c r="T112">
        <v>5</v>
      </c>
      <c r="U112">
        <v>2</v>
      </c>
      <c r="V112">
        <v>1298</v>
      </c>
      <c r="W112" t="s">
        <v>6189</v>
      </c>
      <c r="X112" t="s">
        <v>6097</v>
      </c>
      <c r="Y112" t="s">
        <v>6187</v>
      </c>
      <c r="AA112" t="s">
        <v>3767</v>
      </c>
      <c r="AB112" t="s">
        <v>3772</v>
      </c>
      <c r="AC112" t="s">
        <v>3773</v>
      </c>
      <c r="AK112" t="s">
        <v>3766</v>
      </c>
    </row>
    <row r="113" spans="1:37" x14ac:dyDescent="0.3">
      <c r="A113" t="s">
        <v>6198</v>
      </c>
      <c r="B113">
        <v>2</v>
      </c>
      <c r="C113" t="s">
        <v>6240</v>
      </c>
      <c r="D113" s="1032">
        <v>44096</v>
      </c>
      <c r="E113" t="s">
        <v>334</v>
      </c>
      <c r="F113" t="s">
        <v>17</v>
      </c>
      <c r="G113" t="s">
        <v>6092</v>
      </c>
      <c r="M113">
        <v>12</v>
      </c>
      <c r="N113">
        <v>-6</v>
      </c>
      <c r="O113">
        <v>0</v>
      </c>
      <c r="P113">
        <v>0</v>
      </c>
      <c r="Q113">
        <v>0</v>
      </c>
      <c r="R113">
        <v>0</v>
      </c>
      <c r="S113">
        <v>3</v>
      </c>
      <c r="T113">
        <v>3</v>
      </c>
      <c r="U113">
        <v>6</v>
      </c>
      <c r="V113">
        <v>1037</v>
      </c>
      <c r="W113" t="s">
        <v>6097</v>
      </c>
      <c r="X113" t="s">
        <v>6194</v>
      </c>
      <c r="Y113" t="s">
        <v>6171</v>
      </c>
      <c r="AA113" t="s">
        <v>3768</v>
      </c>
      <c r="AB113" t="s">
        <v>3774</v>
      </c>
      <c r="AC113" t="s">
        <v>3776</v>
      </c>
      <c r="AD113" t="s">
        <v>3775</v>
      </c>
      <c r="AK113" t="s">
        <v>3769</v>
      </c>
    </row>
    <row r="114" spans="1:37" x14ac:dyDescent="0.3">
      <c r="A114" t="s">
        <v>6198</v>
      </c>
      <c r="B114">
        <v>3</v>
      </c>
      <c r="C114" t="s">
        <v>6238</v>
      </c>
      <c r="D114" s="1032">
        <v>44115</v>
      </c>
      <c r="E114" t="s">
        <v>325</v>
      </c>
      <c r="F114" t="s">
        <v>17</v>
      </c>
      <c r="G114" t="s">
        <v>6102</v>
      </c>
      <c r="M114">
        <v>14</v>
      </c>
      <c r="N114">
        <v>-9</v>
      </c>
      <c r="O114">
        <v>0</v>
      </c>
      <c r="P114">
        <v>1</v>
      </c>
      <c r="Q114">
        <v>0</v>
      </c>
      <c r="R114">
        <v>1</v>
      </c>
      <c r="S114">
        <v>0</v>
      </c>
      <c r="T114">
        <v>5</v>
      </c>
      <c r="U114">
        <v>3</v>
      </c>
      <c r="V114">
        <v>0</v>
      </c>
      <c r="W114" t="s">
        <v>6187</v>
      </c>
      <c r="X114" t="s">
        <v>6171</v>
      </c>
      <c r="Y114" t="s">
        <v>6188</v>
      </c>
      <c r="AA114" t="s">
        <v>3307</v>
      </c>
      <c r="AB114" t="s">
        <v>3777</v>
      </c>
      <c r="AK114" t="s">
        <v>3770</v>
      </c>
    </row>
    <row r="115" spans="1:37" x14ac:dyDescent="0.3">
      <c r="A115" t="s">
        <v>6198</v>
      </c>
      <c r="B115">
        <v>4</v>
      </c>
      <c r="C115" t="s">
        <v>6283</v>
      </c>
      <c r="D115" s="1032">
        <v>44142</v>
      </c>
      <c r="E115" t="s">
        <v>331</v>
      </c>
      <c r="F115" t="s">
        <v>17</v>
      </c>
      <c r="G115" t="s">
        <v>6128</v>
      </c>
      <c r="M115">
        <v>14</v>
      </c>
      <c r="N115">
        <v>-12</v>
      </c>
      <c r="O115">
        <v>0</v>
      </c>
      <c r="P115">
        <v>0</v>
      </c>
      <c r="Q115">
        <v>0</v>
      </c>
      <c r="R115">
        <v>0</v>
      </c>
      <c r="S115">
        <v>0</v>
      </c>
      <c r="T115">
        <v>5</v>
      </c>
      <c r="U115">
        <v>2</v>
      </c>
      <c r="V115">
        <v>0</v>
      </c>
      <c r="W115" t="s">
        <v>6189</v>
      </c>
      <c r="X115" t="s">
        <v>6171</v>
      </c>
      <c r="Y115" t="s">
        <v>6187</v>
      </c>
      <c r="AA115" t="s">
        <v>3778</v>
      </c>
      <c r="AB115" t="s">
        <v>3786</v>
      </c>
      <c r="AK115" t="s">
        <v>3779</v>
      </c>
    </row>
    <row r="116" spans="1:37" x14ac:dyDescent="0.3">
      <c r="A116" t="s">
        <v>6198</v>
      </c>
      <c r="B116">
        <v>5</v>
      </c>
      <c r="C116" t="s">
        <v>6245</v>
      </c>
      <c r="D116" s="1032">
        <v>44144</v>
      </c>
      <c r="E116" t="s">
        <v>6179</v>
      </c>
      <c r="F116" t="s">
        <v>16</v>
      </c>
      <c r="G116" t="s">
        <v>6073</v>
      </c>
      <c r="M116">
        <v>12</v>
      </c>
      <c r="N116">
        <v>-9</v>
      </c>
      <c r="O116">
        <v>3</v>
      </c>
      <c r="P116">
        <v>0</v>
      </c>
      <c r="Q116">
        <v>0</v>
      </c>
      <c r="R116">
        <v>0</v>
      </c>
      <c r="S116">
        <v>0</v>
      </c>
      <c r="T116">
        <v>2</v>
      </c>
      <c r="U116">
        <v>4</v>
      </c>
      <c r="V116">
        <v>0</v>
      </c>
      <c r="W116" t="s">
        <v>6189</v>
      </c>
      <c r="X116" t="s">
        <v>6110</v>
      </c>
      <c r="Y116" t="s">
        <v>6187</v>
      </c>
      <c r="AA116" t="s">
        <v>3780</v>
      </c>
      <c r="AB116" t="s">
        <v>3787</v>
      </c>
      <c r="AC116" t="s">
        <v>3788</v>
      </c>
      <c r="AD116" t="s">
        <v>3789</v>
      </c>
      <c r="AE116" t="s">
        <v>3790</v>
      </c>
      <c r="AK116" t="s">
        <v>3782</v>
      </c>
    </row>
    <row r="117" spans="1:37" x14ac:dyDescent="0.3">
      <c r="A117" t="s">
        <v>6198</v>
      </c>
      <c r="B117">
        <v>6</v>
      </c>
      <c r="C117" t="s">
        <v>6247</v>
      </c>
      <c r="D117" s="1032">
        <v>44148</v>
      </c>
      <c r="E117" t="s">
        <v>331</v>
      </c>
      <c r="F117" t="s">
        <v>16</v>
      </c>
      <c r="G117" t="s">
        <v>208</v>
      </c>
      <c r="M117">
        <v>12</v>
      </c>
      <c r="N117">
        <v>-8</v>
      </c>
      <c r="O117">
        <v>4</v>
      </c>
      <c r="P117">
        <v>0</v>
      </c>
      <c r="Q117">
        <v>0</v>
      </c>
      <c r="R117">
        <v>0</v>
      </c>
      <c r="S117">
        <v>0</v>
      </c>
      <c r="T117">
        <v>1</v>
      </c>
      <c r="U117">
        <v>2</v>
      </c>
      <c r="V117">
        <v>0</v>
      </c>
      <c r="W117" t="s">
        <v>6189</v>
      </c>
      <c r="X117" t="s">
        <v>6120</v>
      </c>
      <c r="Y117" t="s">
        <v>6188</v>
      </c>
      <c r="Z117" t="s">
        <v>3784</v>
      </c>
      <c r="AA117" t="s">
        <v>3785</v>
      </c>
      <c r="AB117" t="s">
        <v>3877</v>
      </c>
      <c r="AJ117" t="s">
        <v>3879</v>
      </c>
      <c r="AK117" t="s">
        <v>3781</v>
      </c>
    </row>
    <row r="118" spans="1:37" x14ac:dyDescent="0.3">
      <c r="A118" t="s">
        <v>6198</v>
      </c>
      <c r="B118">
        <v>7</v>
      </c>
      <c r="C118" t="s">
        <v>6248</v>
      </c>
      <c r="D118" s="1032">
        <v>44150</v>
      </c>
      <c r="E118" t="s">
        <v>6076</v>
      </c>
      <c r="F118" t="s">
        <v>17</v>
      </c>
      <c r="G118" t="s">
        <v>6097</v>
      </c>
      <c r="M118">
        <v>12</v>
      </c>
      <c r="N118">
        <v>-11</v>
      </c>
      <c r="O118">
        <v>4</v>
      </c>
      <c r="P118">
        <v>0</v>
      </c>
      <c r="Q118">
        <v>0</v>
      </c>
      <c r="R118">
        <v>0</v>
      </c>
      <c r="S118">
        <v>0</v>
      </c>
      <c r="T118">
        <v>2</v>
      </c>
      <c r="U118">
        <v>4</v>
      </c>
      <c r="V118">
        <v>0</v>
      </c>
      <c r="W118" t="s">
        <v>6187</v>
      </c>
      <c r="X118" t="s">
        <v>6188</v>
      </c>
      <c r="Y118" t="s">
        <v>6189</v>
      </c>
      <c r="AA118" t="s">
        <v>3819</v>
      </c>
      <c r="AB118" t="s">
        <v>3880</v>
      </c>
      <c r="AK118" t="s">
        <v>3861</v>
      </c>
    </row>
    <row r="119" spans="1:37" x14ac:dyDescent="0.3">
      <c r="A119" t="s">
        <v>6198</v>
      </c>
      <c r="B119">
        <v>8</v>
      </c>
      <c r="C119" t="s">
        <v>6242</v>
      </c>
      <c r="D119" s="1032">
        <v>44152</v>
      </c>
      <c r="E119" t="s">
        <v>326</v>
      </c>
      <c r="F119" t="s">
        <v>17</v>
      </c>
      <c r="G119" t="s">
        <v>6120</v>
      </c>
      <c r="M119">
        <v>11</v>
      </c>
      <c r="N119">
        <v>-11</v>
      </c>
      <c r="O119">
        <v>7</v>
      </c>
      <c r="P119">
        <v>0</v>
      </c>
      <c r="Q119">
        <v>0</v>
      </c>
      <c r="R119">
        <v>0</v>
      </c>
      <c r="S119">
        <v>0</v>
      </c>
      <c r="T119">
        <v>2</v>
      </c>
      <c r="U119">
        <v>3</v>
      </c>
      <c r="V119">
        <v>0</v>
      </c>
      <c r="W119" t="s">
        <v>6188</v>
      </c>
      <c r="X119" t="s">
        <v>6120</v>
      </c>
      <c r="Y119" t="s">
        <v>6188</v>
      </c>
      <c r="AA119" t="s">
        <v>6120</v>
      </c>
      <c r="AB119" t="s">
        <v>3860</v>
      </c>
      <c r="AK119" t="s">
        <v>3859</v>
      </c>
    </row>
    <row r="120" spans="1:37" x14ac:dyDescent="0.3">
      <c r="A120" t="s">
        <v>6198</v>
      </c>
      <c r="B120">
        <v>9</v>
      </c>
      <c r="C120" t="s">
        <v>6234</v>
      </c>
      <c r="D120" s="1032">
        <v>44155</v>
      </c>
      <c r="E120" t="s">
        <v>610</v>
      </c>
      <c r="F120" t="s">
        <v>16</v>
      </c>
      <c r="G120" t="s">
        <v>355</v>
      </c>
      <c r="M120">
        <v>10</v>
      </c>
      <c r="N120">
        <v>-9</v>
      </c>
      <c r="O120">
        <v>9</v>
      </c>
      <c r="P120">
        <v>1</v>
      </c>
      <c r="Q120">
        <v>0</v>
      </c>
      <c r="R120">
        <v>0</v>
      </c>
      <c r="S120">
        <v>1</v>
      </c>
      <c r="T120">
        <v>5</v>
      </c>
      <c r="U120">
        <v>3</v>
      </c>
      <c r="V120">
        <v>0</v>
      </c>
      <c r="W120" t="s">
        <v>6188</v>
      </c>
      <c r="X120" t="s">
        <v>6187</v>
      </c>
      <c r="Y120" t="s">
        <v>6188</v>
      </c>
      <c r="Z120" t="s">
        <v>355</v>
      </c>
      <c r="AA120" t="s">
        <v>3858</v>
      </c>
      <c r="AB120" t="s">
        <v>3881</v>
      </c>
      <c r="AJ120" t="s">
        <v>3882</v>
      </c>
      <c r="AK120" t="s">
        <v>3857</v>
      </c>
    </row>
    <row r="121" spans="1:37" x14ac:dyDescent="0.3">
      <c r="A121" t="s">
        <v>6198</v>
      </c>
      <c r="B121">
        <v>10</v>
      </c>
      <c r="C121" t="s">
        <v>6236</v>
      </c>
      <c r="D121" s="1032">
        <v>44157</v>
      </c>
      <c r="E121" t="s">
        <v>1274</v>
      </c>
      <c r="F121" t="s">
        <v>16</v>
      </c>
      <c r="G121" t="s">
        <v>6128</v>
      </c>
      <c r="M121">
        <v>11</v>
      </c>
      <c r="N121">
        <v>-9</v>
      </c>
      <c r="O121">
        <v>9</v>
      </c>
      <c r="P121">
        <v>0</v>
      </c>
      <c r="Q121">
        <v>0</v>
      </c>
      <c r="R121">
        <v>0</v>
      </c>
      <c r="S121">
        <v>2</v>
      </c>
      <c r="T121">
        <v>5</v>
      </c>
      <c r="U121">
        <v>6</v>
      </c>
      <c r="V121">
        <v>0</v>
      </c>
      <c r="W121" t="s">
        <v>6079</v>
      </c>
      <c r="X121" t="s">
        <v>6189</v>
      </c>
      <c r="Y121" t="s">
        <v>6120</v>
      </c>
      <c r="AA121" t="s">
        <v>3778</v>
      </c>
      <c r="AB121" t="s">
        <v>3883</v>
      </c>
      <c r="AK121" t="s">
        <v>3856</v>
      </c>
    </row>
    <row r="122" spans="1:37" x14ac:dyDescent="0.3">
      <c r="A122" t="s">
        <v>6198</v>
      </c>
      <c r="B122">
        <v>11</v>
      </c>
      <c r="C122" t="s">
        <v>6246</v>
      </c>
      <c r="D122" s="1032">
        <v>44159</v>
      </c>
      <c r="E122" t="s">
        <v>626</v>
      </c>
      <c r="F122" t="s">
        <v>17</v>
      </c>
      <c r="G122" t="s">
        <v>159</v>
      </c>
      <c r="M122">
        <v>11</v>
      </c>
      <c r="N122">
        <v>-10</v>
      </c>
      <c r="O122">
        <v>11</v>
      </c>
      <c r="P122">
        <v>1</v>
      </c>
      <c r="Q122">
        <v>0</v>
      </c>
      <c r="R122">
        <v>1</v>
      </c>
      <c r="S122">
        <v>0</v>
      </c>
      <c r="T122">
        <v>4</v>
      </c>
      <c r="U122">
        <v>3</v>
      </c>
      <c r="V122">
        <v>0</v>
      </c>
      <c r="W122" t="s">
        <v>6120</v>
      </c>
      <c r="X122" t="s">
        <v>6097</v>
      </c>
      <c r="Y122" t="s">
        <v>6187</v>
      </c>
      <c r="Z122" t="s">
        <v>619</v>
      </c>
      <c r="AA122" t="s">
        <v>3855</v>
      </c>
      <c r="AB122" t="s">
        <v>3884</v>
      </c>
      <c r="AC122" t="s">
        <v>3885</v>
      </c>
      <c r="AD122" t="s">
        <v>3886</v>
      </c>
      <c r="AJ122" t="s">
        <v>3887</v>
      </c>
      <c r="AK122" t="s">
        <v>3854</v>
      </c>
    </row>
    <row r="123" spans="1:37" x14ac:dyDescent="0.3">
      <c r="A123" t="s">
        <v>6198</v>
      </c>
      <c r="B123">
        <v>12</v>
      </c>
      <c r="C123" t="s">
        <v>6251</v>
      </c>
      <c r="D123" s="1032">
        <v>44162</v>
      </c>
      <c r="E123" t="s">
        <v>327</v>
      </c>
      <c r="F123" t="s">
        <v>16</v>
      </c>
      <c r="G123" t="s">
        <v>6097</v>
      </c>
      <c r="M123">
        <v>11</v>
      </c>
      <c r="N123">
        <v>-10</v>
      </c>
      <c r="O123">
        <v>11</v>
      </c>
      <c r="P123">
        <v>1</v>
      </c>
      <c r="Q123">
        <v>0</v>
      </c>
      <c r="R123">
        <v>0</v>
      </c>
      <c r="S123">
        <v>0</v>
      </c>
      <c r="T123">
        <v>2</v>
      </c>
      <c r="U123">
        <v>3</v>
      </c>
      <c r="V123">
        <v>0</v>
      </c>
      <c r="W123" t="s">
        <v>6187</v>
      </c>
      <c r="X123" t="s">
        <v>6188</v>
      </c>
      <c r="Y123" t="s">
        <v>6189</v>
      </c>
      <c r="AA123" t="s">
        <v>3062</v>
      </c>
      <c r="AB123" t="s">
        <v>3888</v>
      </c>
      <c r="AK123" t="s">
        <v>3853</v>
      </c>
    </row>
    <row r="124" spans="1:37" x14ac:dyDescent="0.3">
      <c r="A124" t="s">
        <v>6198</v>
      </c>
      <c r="B124">
        <v>13</v>
      </c>
      <c r="C124" t="s">
        <v>6252</v>
      </c>
      <c r="D124" s="1032">
        <v>44164</v>
      </c>
      <c r="E124" t="s">
        <v>325</v>
      </c>
      <c r="F124" t="s">
        <v>16</v>
      </c>
      <c r="G124" t="s">
        <v>352</v>
      </c>
      <c r="M124">
        <v>11</v>
      </c>
      <c r="N124">
        <v>-8</v>
      </c>
      <c r="O124">
        <v>13</v>
      </c>
      <c r="P124">
        <v>0</v>
      </c>
      <c r="Q124">
        <v>0</v>
      </c>
      <c r="R124">
        <v>0</v>
      </c>
      <c r="S124">
        <v>1</v>
      </c>
      <c r="T124">
        <v>5</v>
      </c>
      <c r="U124">
        <v>5</v>
      </c>
      <c r="V124">
        <v>0</v>
      </c>
      <c r="W124" t="s">
        <v>6097</v>
      </c>
      <c r="X124" t="s">
        <v>6120</v>
      </c>
      <c r="Y124" t="s">
        <v>6188</v>
      </c>
      <c r="Z124" t="s">
        <v>355</v>
      </c>
      <c r="AA124" t="s">
        <v>3852</v>
      </c>
      <c r="AB124" t="s">
        <v>3889</v>
      </c>
      <c r="AC124" t="s">
        <v>3890</v>
      </c>
      <c r="AJ124" t="s">
        <v>3891</v>
      </c>
      <c r="AK124" t="s">
        <v>3851</v>
      </c>
    </row>
    <row r="125" spans="1:37" x14ac:dyDescent="0.3">
      <c r="A125" t="s">
        <v>6198</v>
      </c>
      <c r="B125">
        <v>14</v>
      </c>
      <c r="C125" t="s">
        <v>6253</v>
      </c>
      <c r="D125" s="1032">
        <v>44166</v>
      </c>
      <c r="E125" t="s">
        <v>6086</v>
      </c>
      <c r="F125" t="s">
        <v>17</v>
      </c>
      <c r="G125" t="s">
        <v>6082</v>
      </c>
      <c r="M125">
        <v>12</v>
      </c>
      <c r="N125">
        <v>-11</v>
      </c>
      <c r="O125">
        <v>13</v>
      </c>
      <c r="P125">
        <v>1</v>
      </c>
      <c r="Q125">
        <v>0</v>
      </c>
      <c r="R125">
        <v>0</v>
      </c>
      <c r="S125">
        <v>0</v>
      </c>
      <c r="T125">
        <v>2</v>
      </c>
      <c r="U125">
        <v>2</v>
      </c>
      <c r="V125">
        <v>0</v>
      </c>
      <c r="W125" t="s">
        <v>6171</v>
      </c>
      <c r="X125" t="s">
        <v>6146</v>
      </c>
      <c r="Y125" t="s">
        <v>6189</v>
      </c>
      <c r="AA125" t="s">
        <v>3850</v>
      </c>
      <c r="AB125" t="s">
        <v>3892</v>
      </c>
      <c r="AC125" t="s">
        <v>3893</v>
      </c>
      <c r="AK125" t="s">
        <v>3849</v>
      </c>
    </row>
    <row r="126" spans="1:37" x14ac:dyDescent="0.3">
      <c r="A126" t="s">
        <v>6198</v>
      </c>
      <c r="B126">
        <v>15</v>
      </c>
      <c r="C126" t="s">
        <v>6254</v>
      </c>
      <c r="D126" s="1032">
        <v>44169</v>
      </c>
      <c r="E126" t="s">
        <v>334</v>
      </c>
      <c r="F126" t="s">
        <v>16</v>
      </c>
      <c r="G126" t="s">
        <v>6082</v>
      </c>
      <c r="M126">
        <v>13</v>
      </c>
      <c r="N126">
        <v>-11</v>
      </c>
      <c r="O126">
        <v>13</v>
      </c>
      <c r="P126">
        <v>0</v>
      </c>
      <c r="Q126">
        <v>0</v>
      </c>
      <c r="R126">
        <v>0</v>
      </c>
      <c r="S126">
        <v>1</v>
      </c>
      <c r="T126">
        <v>1</v>
      </c>
      <c r="U126">
        <v>4</v>
      </c>
      <c r="V126">
        <v>0</v>
      </c>
      <c r="W126" t="s">
        <v>6187</v>
      </c>
      <c r="X126" t="s">
        <v>6189</v>
      </c>
      <c r="Y126" t="s">
        <v>6097</v>
      </c>
      <c r="AA126" t="s">
        <v>3848</v>
      </c>
      <c r="AB126" t="s">
        <v>3894</v>
      </c>
      <c r="AC126" t="s">
        <v>3895</v>
      </c>
      <c r="AK126" t="s">
        <v>3847</v>
      </c>
    </row>
    <row r="127" spans="1:37" x14ac:dyDescent="0.3">
      <c r="A127" t="s">
        <v>6198</v>
      </c>
      <c r="B127">
        <v>16</v>
      </c>
      <c r="C127" t="s">
        <v>6255</v>
      </c>
      <c r="D127" s="1032">
        <v>44171</v>
      </c>
      <c r="E127" t="s">
        <v>6091</v>
      </c>
      <c r="F127" t="s">
        <v>17</v>
      </c>
      <c r="G127" t="s">
        <v>6113</v>
      </c>
      <c r="M127">
        <v>13</v>
      </c>
      <c r="N127">
        <v>-11</v>
      </c>
      <c r="O127">
        <v>16</v>
      </c>
      <c r="P127">
        <v>0</v>
      </c>
      <c r="Q127">
        <v>0</v>
      </c>
      <c r="R127">
        <v>0</v>
      </c>
      <c r="S127">
        <v>0</v>
      </c>
      <c r="T127">
        <v>3</v>
      </c>
      <c r="U127">
        <v>4</v>
      </c>
      <c r="V127">
        <v>0</v>
      </c>
      <c r="W127" t="s">
        <v>6187</v>
      </c>
      <c r="X127" t="s">
        <v>6189</v>
      </c>
      <c r="Y127" t="s">
        <v>6089</v>
      </c>
      <c r="AA127" t="s">
        <v>3846</v>
      </c>
      <c r="AB127" t="s">
        <v>3896</v>
      </c>
      <c r="AC127" t="s">
        <v>3897</v>
      </c>
      <c r="AD127" t="s">
        <v>3898</v>
      </c>
      <c r="AK127" t="s">
        <v>3845</v>
      </c>
    </row>
    <row r="128" spans="1:37" x14ac:dyDescent="0.3">
      <c r="A128" t="s">
        <v>6198</v>
      </c>
      <c r="B128">
        <v>17</v>
      </c>
      <c r="C128" t="s">
        <v>6243</v>
      </c>
      <c r="D128" s="1032">
        <v>44173</v>
      </c>
      <c r="E128" t="s">
        <v>328</v>
      </c>
      <c r="F128" t="s">
        <v>17</v>
      </c>
      <c r="G128" t="s">
        <v>209</v>
      </c>
      <c r="M128">
        <v>10</v>
      </c>
      <c r="N128">
        <v>-12</v>
      </c>
      <c r="O128">
        <v>18</v>
      </c>
      <c r="P128">
        <v>0</v>
      </c>
      <c r="Q128">
        <v>0</v>
      </c>
      <c r="R128">
        <v>0</v>
      </c>
      <c r="S128">
        <v>0</v>
      </c>
      <c r="T128">
        <v>4</v>
      </c>
      <c r="U128">
        <v>2</v>
      </c>
      <c r="V128">
        <v>0</v>
      </c>
      <c r="W128" t="s">
        <v>6188</v>
      </c>
      <c r="X128" t="s">
        <v>6188</v>
      </c>
      <c r="Y128" t="s">
        <v>6188</v>
      </c>
      <c r="Z128" t="s">
        <v>756</v>
      </c>
      <c r="AA128" t="s">
        <v>209</v>
      </c>
      <c r="AB128" t="s">
        <v>3899</v>
      </c>
      <c r="AK128" t="s">
        <v>3839</v>
      </c>
    </row>
    <row r="129" spans="1:37" x14ac:dyDescent="0.3">
      <c r="A129" t="s">
        <v>6198</v>
      </c>
      <c r="B129">
        <v>18</v>
      </c>
      <c r="C129" t="s">
        <v>6256</v>
      </c>
      <c r="D129" s="1032">
        <v>44177</v>
      </c>
      <c r="E129" t="s">
        <v>326</v>
      </c>
      <c r="F129" t="s">
        <v>16</v>
      </c>
      <c r="G129" t="s">
        <v>6089</v>
      </c>
      <c r="M129">
        <v>8</v>
      </c>
      <c r="N129">
        <v>-9</v>
      </c>
      <c r="O129">
        <v>21</v>
      </c>
      <c r="P129">
        <v>0</v>
      </c>
      <c r="Q129">
        <v>0</v>
      </c>
      <c r="R129">
        <v>0</v>
      </c>
      <c r="S129">
        <v>0</v>
      </c>
      <c r="T129">
        <v>5</v>
      </c>
      <c r="U129">
        <v>2</v>
      </c>
      <c r="V129">
        <v>0</v>
      </c>
      <c r="W129" t="s">
        <v>6188</v>
      </c>
      <c r="X129" t="s">
        <v>6188</v>
      </c>
      <c r="Y129" t="s">
        <v>6089</v>
      </c>
      <c r="AA129" t="s">
        <v>6089</v>
      </c>
      <c r="AB129" t="s">
        <v>3900</v>
      </c>
      <c r="AC129" t="s">
        <v>3901</v>
      </c>
      <c r="AK129" t="s">
        <v>3840</v>
      </c>
    </row>
    <row r="130" spans="1:37" x14ac:dyDescent="0.3">
      <c r="A130" t="s">
        <v>6198</v>
      </c>
      <c r="B130">
        <v>19</v>
      </c>
      <c r="C130" t="s">
        <v>6257</v>
      </c>
      <c r="D130" s="1032">
        <v>44178</v>
      </c>
      <c r="E130" t="s">
        <v>328</v>
      </c>
      <c r="F130" t="s">
        <v>16</v>
      </c>
      <c r="G130" t="s">
        <v>6210</v>
      </c>
      <c r="M130">
        <v>11</v>
      </c>
      <c r="N130">
        <v>-9</v>
      </c>
      <c r="O130">
        <v>21</v>
      </c>
      <c r="P130">
        <v>0</v>
      </c>
      <c r="Q130">
        <v>0</v>
      </c>
      <c r="R130">
        <v>0</v>
      </c>
      <c r="S130">
        <v>3</v>
      </c>
      <c r="T130">
        <v>2</v>
      </c>
      <c r="U130">
        <v>5</v>
      </c>
      <c r="V130">
        <v>0</v>
      </c>
      <c r="W130" t="s">
        <v>6097</v>
      </c>
      <c r="X130" t="s">
        <v>6128</v>
      </c>
      <c r="Y130" t="s">
        <v>6188</v>
      </c>
      <c r="AA130" t="s">
        <v>3842</v>
      </c>
      <c r="AB130" t="s">
        <v>3902</v>
      </c>
      <c r="AC130" t="s">
        <v>3903</v>
      </c>
      <c r="AK130" t="s">
        <v>3841</v>
      </c>
    </row>
    <row r="131" spans="1:37" x14ac:dyDescent="0.3">
      <c r="A131" t="s">
        <v>6198</v>
      </c>
      <c r="B131">
        <v>20</v>
      </c>
      <c r="C131" t="s">
        <v>6237</v>
      </c>
      <c r="D131" s="1032">
        <v>44180</v>
      </c>
      <c r="E131" t="s">
        <v>327</v>
      </c>
      <c r="F131" t="s">
        <v>17</v>
      </c>
      <c r="G131" t="s">
        <v>208</v>
      </c>
      <c r="M131">
        <v>11</v>
      </c>
      <c r="N131">
        <v>-11</v>
      </c>
      <c r="O131">
        <v>22</v>
      </c>
      <c r="P131">
        <v>0</v>
      </c>
      <c r="Q131">
        <v>0</v>
      </c>
      <c r="R131">
        <v>0</v>
      </c>
      <c r="S131">
        <v>0</v>
      </c>
      <c r="T131">
        <v>1</v>
      </c>
      <c r="U131">
        <v>3</v>
      </c>
      <c r="V131">
        <v>0</v>
      </c>
      <c r="W131" t="s">
        <v>6189</v>
      </c>
      <c r="X131" t="s">
        <v>6188</v>
      </c>
      <c r="Y131" t="s">
        <v>6120</v>
      </c>
      <c r="Z131" t="s">
        <v>3836</v>
      </c>
      <c r="AA131" t="s">
        <v>3837</v>
      </c>
      <c r="AB131" t="s">
        <v>3904</v>
      </c>
      <c r="AJ131" t="s">
        <v>3905</v>
      </c>
      <c r="AK131" t="s">
        <v>3835</v>
      </c>
    </row>
    <row r="132" spans="1:37" x14ac:dyDescent="0.3">
      <c r="A132" t="s">
        <v>6198</v>
      </c>
      <c r="B132">
        <v>21</v>
      </c>
      <c r="C132" t="s">
        <v>6233</v>
      </c>
      <c r="D132" s="1032">
        <v>44186</v>
      </c>
      <c r="E132" t="s">
        <v>6179</v>
      </c>
      <c r="F132" t="s">
        <v>17</v>
      </c>
      <c r="G132" t="s">
        <v>3796</v>
      </c>
      <c r="M132">
        <v>12</v>
      </c>
      <c r="N132">
        <v>-13</v>
      </c>
      <c r="O132">
        <v>23</v>
      </c>
      <c r="P132">
        <v>2</v>
      </c>
      <c r="Q132">
        <v>0</v>
      </c>
      <c r="R132">
        <v>0</v>
      </c>
      <c r="S132">
        <v>1</v>
      </c>
      <c r="T132">
        <v>3</v>
      </c>
      <c r="U132">
        <v>3</v>
      </c>
      <c r="V132">
        <v>0</v>
      </c>
      <c r="W132" t="s">
        <v>6193</v>
      </c>
      <c r="X132" t="s">
        <v>6194</v>
      </c>
      <c r="Y132" t="s">
        <v>6187</v>
      </c>
      <c r="Z132" t="s">
        <v>3784</v>
      </c>
      <c r="AA132" t="s">
        <v>3907</v>
      </c>
      <c r="AB132" t="s">
        <v>3908</v>
      </c>
      <c r="AC132" t="s">
        <v>3909</v>
      </c>
      <c r="AD132" t="s">
        <v>3910</v>
      </c>
      <c r="AE132" t="s">
        <v>3911</v>
      </c>
      <c r="AF132" t="s">
        <v>3912</v>
      </c>
      <c r="AG132" t="s">
        <v>3913</v>
      </c>
      <c r="AJ132" t="s">
        <v>3906</v>
      </c>
      <c r="AK132" t="s">
        <v>3838</v>
      </c>
    </row>
    <row r="133" spans="1:37" x14ac:dyDescent="0.3">
      <c r="A133" t="s">
        <v>6198</v>
      </c>
      <c r="B133">
        <v>22</v>
      </c>
      <c r="C133" t="s">
        <v>6258</v>
      </c>
      <c r="D133" s="1032">
        <v>44187</v>
      </c>
      <c r="E133" t="s">
        <v>6179</v>
      </c>
      <c r="F133" t="s">
        <v>17</v>
      </c>
      <c r="G133" t="s">
        <v>160</v>
      </c>
      <c r="M133">
        <v>10</v>
      </c>
      <c r="N133">
        <v>-14</v>
      </c>
      <c r="O133">
        <v>25</v>
      </c>
      <c r="P133">
        <v>2</v>
      </c>
      <c r="Q133">
        <v>0</v>
      </c>
      <c r="R133">
        <v>0</v>
      </c>
      <c r="S133">
        <v>0</v>
      </c>
      <c r="T133">
        <v>4</v>
      </c>
      <c r="U133">
        <v>4</v>
      </c>
      <c r="V133">
        <v>0</v>
      </c>
      <c r="W133" t="s">
        <v>6188</v>
      </c>
      <c r="X133" t="s">
        <v>6187</v>
      </c>
      <c r="Y133" t="s">
        <v>6188</v>
      </c>
      <c r="Z133" t="s">
        <v>756</v>
      </c>
      <c r="AA133" t="s">
        <v>3834</v>
      </c>
      <c r="AB133" t="s">
        <v>3914</v>
      </c>
      <c r="AC133" t="s">
        <v>3915</v>
      </c>
      <c r="AK133" t="s">
        <v>3916</v>
      </c>
    </row>
    <row r="134" spans="1:37" x14ac:dyDescent="0.3">
      <c r="A134" t="s">
        <v>6198</v>
      </c>
      <c r="B134">
        <v>23</v>
      </c>
      <c r="C134" t="s">
        <v>6259</v>
      </c>
      <c r="D134" s="1032">
        <v>44191</v>
      </c>
      <c r="E134" t="s">
        <v>610</v>
      </c>
      <c r="F134" t="s">
        <v>16</v>
      </c>
      <c r="G134" t="s">
        <v>6092</v>
      </c>
      <c r="M134">
        <v>11</v>
      </c>
      <c r="N134">
        <v>-14</v>
      </c>
      <c r="O134">
        <v>25</v>
      </c>
      <c r="P134">
        <v>1</v>
      </c>
      <c r="Q134">
        <v>0</v>
      </c>
      <c r="R134">
        <v>1</v>
      </c>
      <c r="S134">
        <v>1</v>
      </c>
      <c r="T134">
        <v>2</v>
      </c>
      <c r="U134">
        <v>3</v>
      </c>
      <c r="V134">
        <v>0</v>
      </c>
      <c r="W134" t="s">
        <v>6171</v>
      </c>
      <c r="X134" t="s">
        <v>6128</v>
      </c>
      <c r="Y134" t="s">
        <v>6089</v>
      </c>
      <c r="AA134" t="s">
        <v>3833</v>
      </c>
      <c r="AB134" t="s">
        <v>3917</v>
      </c>
      <c r="AC134" t="s">
        <v>3918</v>
      </c>
      <c r="AD134" t="s">
        <v>3919</v>
      </c>
      <c r="AK134" t="s">
        <v>3832</v>
      </c>
    </row>
    <row r="135" spans="1:37" x14ac:dyDescent="0.3">
      <c r="A135" t="s">
        <v>6198</v>
      </c>
      <c r="B135">
        <v>24</v>
      </c>
      <c r="C135" t="s">
        <v>6260</v>
      </c>
      <c r="D135" s="1032">
        <v>44193</v>
      </c>
      <c r="E135" t="s">
        <v>331</v>
      </c>
      <c r="F135" t="s">
        <v>17</v>
      </c>
      <c r="G135" t="s">
        <v>6079</v>
      </c>
      <c r="M135">
        <v>12</v>
      </c>
      <c r="N135">
        <v>-17</v>
      </c>
      <c r="O135">
        <v>25</v>
      </c>
      <c r="P135">
        <v>0</v>
      </c>
      <c r="Q135">
        <v>0</v>
      </c>
      <c r="R135">
        <v>0</v>
      </c>
      <c r="S135">
        <v>0</v>
      </c>
      <c r="T135">
        <v>4</v>
      </c>
      <c r="U135">
        <v>6</v>
      </c>
      <c r="V135">
        <v>0</v>
      </c>
      <c r="W135" t="s">
        <v>6189</v>
      </c>
      <c r="X135" t="s">
        <v>6188</v>
      </c>
      <c r="Y135" t="s">
        <v>6171</v>
      </c>
      <c r="AA135" t="s">
        <v>6079</v>
      </c>
      <c r="AB135" t="s">
        <v>515</v>
      </c>
      <c r="AK135" t="s">
        <v>3831</v>
      </c>
    </row>
    <row r="136" spans="1:37" x14ac:dyDescent="0.3">
      <c r="A136" t="s">
        <v>6198</v>
      </c>
      <c r="B136">
        <v>25</v>
      </c>
      <c r="C136" t="s">
        <v>6261</v>
      </c>
      <c r="D136" s="1032">
        <v>44195</v>
      </c>
      <c r="E136" t="s">
        <v>6076</v>
      </c>
      <c r="F136" t="s">
        <v>16</v>
      </c>
      <c r="G136" t="s">
        <v>351</v>
      </c>
      <c r="M136">
        <v>12</v>
      </c>
      <c r="N136">
        <v>-15</v>
      </c>
      <c r="O136">
        <v>27</v>
      </c>
      <c r="P136">
        <v>0</v>
      </c>
      <c r="Q136">
        <v>0</v>
      </c>
      <c r="R136">
        <v>0</v>
      </c>
      <c r="S136">
        <v>0</v>
      </c>
      <c r="T136">
        <v>3</v>
      </c>
      <c r="U136">
        <v>6</v>
      </c>
      <c r="V136">
        <v>0</v>
      </c>
      <c r="W136" t="s">
        <v>6188</v>
      </c>
      <c r="X136" t="s">
        <v>6189</v>
      </c>
      <c r="Y136" t="s">
        <v>6118</v>
      </c>
      <c r="Z136" t="s">
        <v>756</v>
      </c>
      <c r="AA136" t="s">
        <v>3287</v>
      </c>
      <c r="AB136" t="s">
        <v>3920</v>
      </c>
      <c r="AC136" t="s">
        <v>3921</v>
      </c>
      <c r="AD136" t="s">
        <v>3922</v>
      </c>
      <c r="AK136" t="s">
        <v>3830</v>
      </c>
    </row>
    <row r="137" spans="1:37" x14ac:dyDescent="0.3">
      <c r="A137" t="s">
        <v>6198</v>
      </c>
      <c r="B137">
        <v>26</v>
      </c>
      <c r="C137" t="s">
        <v>6262</v>
      </c>
      <c r="D137" s="1032">
        <v>44199</v>
      </c>
      <c r="E137" t="s">
        <v>626</v>
      </c>
      <c r="F137" t="s">
        <v>17</v>
      </c>
      <c r="G137" t="s">
        <v>160</v>
      </c>
      <c r="M137">
        <v>11</v>
      </c>
      <c r="N137">
        <v>-16</v>
      </c>
      <c r="O137">
        <v>29</v>
      </c>
      <c r="P137">
        <v>0</v>
      </c>
      <c r="Q137">
        <v>0</v>
      </c>
      <c r="R137">
        <v>0</v>
      </c>
      <c r="S137">
        <v>0</v>
      </c>
      <c r="T137">
        <v>2</v>
      </c>
      <c r="U137">
        <v>4</v>
      </c>
      <c r="V137">
        <v>0</v>
      </c>
      <c r="W137" t="s">
        <v>6188</v>
      </c>
      <c r="X137" t="s">
        <v>6189</v>
      </c>
      <c r="Y137" t="s">
        <v>6120</v>
      </c>
      <c r="Z137" t="s">
        <v>756</v>
      </c>
      <c r="AA137" t="s">
        <v>3828</v>
      </c>
      <c r="AB137" t="s">
        <v>3923</v>
      </c>
      <c r="AC137" t="s">
        <v>3924</v>
      </c>
      <c r="AK137" t="s">
        <v>3829</v>
      </c>
    </row>
    <row r="138" spans="1:37" x14ac:dyDescent="0.3">
      <c r="A138" t="s">
        <v>6198</v>
      </c>
      <c r="B138">
        <v>27</v>
      </c>
      <c r="C138" t="s">
        <v>6235</v>
      </c>
      <c r="D138" s="1032">
        <v>44201</v>
      </c>
      <c r="E138" t="s">
        <v>6076</v>
      </c>
      <c r="F138" t="s">
        <v>16</v>
      </c>
      <c r="G138" t="s">
        <v>6191</v>
      </c>
      <c r="M138">
        <v>10</v>
      </c>
      <c r="N138">
        <v>-13</v>
      </c>
      <c r="O138">
        <v>32</v>
      </c>
      <c r="P138">
        <v>1</v>
      </c>
      <c r="Q138">
        <v>0</v>
      </c>
      <c r="R138">
        <v>0</v>
      </c>
      <c r="S138">
        <v>0</v>
      </c>
      <c r="T138">
        <v>2</v>
      </c>
      <c r="U138">
        <v>1</v>
      </c>
      <c r="V138">
        <v>0</v>
      </c>
      <c r="W138" t="s">
        <v>6187</v>
      </c>
      <c r="X138" t="s">
        <v>6187</v>
      </c>
      <c r="Y138" t="s">
        <v>6073</v>
      </c>
      <c r="AA138" t="s">
        <v>3827</v>
      </c>
      <c r="AB138" t="s">
        <v>3925</v>
      </c>
      <c r="AC138" t="s">
        <v>3926</v>
      </c>
      <c r="AD138" t="s">
        <v>3927</v>
      </c>
      <c r="AE138" t="s">
        <v>3928</v>
      </c>
      <c r="AF138" t="s">
        <v>3929</v>
      </c>
      <c r="AG138" t="s">
        <v>3930</v>
      </c>
      <c r="AK138" t="s">
        <v>3826</v>
      </c>
    </row>
    <row r="139" spans="1:37" x14ac:dyDescent="0.3">
      <c r="A139" t="s">
        <v>6198</v>
      </c>
      <c r="B139">
        <v>28</v>
      </c>
      <c r="C139" t="s">
        <v>6263</v>
      </c>
      <c r="D139" s="1032">
        <v>44204</v>
      </c>
      <c r="E139" t="s">
        <v>3797</v>
      </c>
      <c r="F139" t="s">
        <v>16</v>
      </c>
      <c r="G139" t="s">
        <v>6102</v>
      </c>
      <c r="M139">
        <v>10</v>
      </c>
      <c r="N139">
        <v>-13</v>
      </c>
      <c r="O139">
        <v>32</v>
      </c>
      <c r="P139">
        <v>1</v>
      </c>
      <c r="Q139">
        <v>0</v>
      </c>
      <c r="R139">
        <v>1</v>
      </c>
      <c r="S139">
        <v>1</v>
      </c>
      <c r="T139">
        <v>5</v>
      </c>
      <c r="U139">
        <v>2</v>
      </c>
      <c r="V139">
        <v>0</v>
      </c>
      <c r="W139" t="s">
        <v>6189</v>
      </c>
      <c r="X139" t="s">
        <v>6187</v>
      </c>
      <c r="Y139" t="s">
        <v>6189</v>
      </c>
      <c r="AA139" t="s">
        <v>3377</v>
      </c>
      <c r="AB139" t="s">
        <v>3931</v>
      </c>
      <c r="AK139" t="s">
        <v>3932</v>
      </c>
    </row>
    <row r="140" spans="1:37" x14ac:dyDescent="0.3">
      <c r="A140" t="s">
        <v>6198</v>
      </c>
      <c r="B140">
        <v>29</v>
      </c>
      <c r="C140" t="s">
        <v>6264</v>
      </c>
      <c r="D140" s="1032">
        <v>44206</v>
      </c>
      <c r="E140" t="s">
        <v>327</v>
      </c>
      <c r="F140" t="s">
        <v>17</v>
      </c>
      <c r="G140" t="s">
        <v>6175</v>
      </c>
      <c r="M140">
        <v>10</v>
      </c>
      <c r="N140">
        <v>-13</v>
      </c>
      <c r="O140">
        <v>35</v>
      </c>
      <c r="P140">
        <v>1</v>
      </c>
      <c r="Q140">
        <v>0</v>
      </c>
      <c r="R140">
        <v>0</v>
      </c>
      <c r="S140">
        <v>0</v>
      </c>
      <c r="T140">
        <v>1</v>
      </c>
      <c r="U140">
        <v>1</v>
      </c>
      <c r="V140">
        <v>0</v>
      </c>
      <c r="W140" t="s">
        <v>6120</v>
      </c>
      <c r="X140" t="s">
        <v>6188</v>
      </c>
      <c r="Y140" t="s">
        <v>6202</v>
      </c>
      <c r="AA140" t="s">
        <v>6175</v>
      </c>
      <c r="AB140" t="s">
        <v>3933</v>
      </c>
      <c r="AC140" t="s">
        <v>3934</v>
      </c>
      <c r="AD140" t="s">
        <v>3935</v>
      </c>
      <c r="AE140" t="s">
        <v>3936</v>
      </c>
      <c r="AF140" t="s">
        <v>3937</v>
      </c>
      <c r="AK140" t="s">
        <v>3825</v>
      </c>
    </row>
    <row r="141" spans="1:37" x14ac:dyDescent="0.3">
      <c r="A141" t="s">
        <v>6198</v>
      </c>
      <c r="B141">
        <v>30</v>
      </c>
      <c r="C141" t="s">
        <v>6241</v>
      </c>
      <c r="D141" s="1032">
        <v>44208</v>
      </c>
      <c r="E141" t="s">
        <v>6091</v>
      </c>
      <c r="F141" t="s">
        <v>16</v>
      </c>
      <c r="G141" t="s">
        <v>6211</v>
      </c>
      <c r="M141">
        <v>10</v>
      </c>
      <c r="N141">
        <v>-13</v>
      </c>
      <c r="O141">
        <v>35</v>
      </c>
      <c r="P141">
        <v>1</v>
      </c>
      <c r="Q141">
        <v>0</v>
      </c>
      <c r="R141">
        <v>0</v>
      </c>
      <c r="S141">
        <v>2</v>
      </c>
      <c r="T141">
        <v>1</v>
      </c>
      <c r="U141">
        <v>5</v>
      </c>
      <c r="V141">
        <v>0</v>
      </c>
      <c r="W141" t="s">
        <v>6189</v>
      </c>
      <c r="X141" t="s">
        <v>6097</v>
      </c>
      <c r="Y141" t="s">
        <v>6118</v>
      </c>
      <c r="AA141" t="s">
        <v>3802</v>
      </c>
      <c r="AB141" t="s">
        <v>3938</v>
      </c>
      <c r="AC141" t="s">
        <v>3939</v>
      </c>
      <c r="AD141" t="s">
        <v>3940</v>
      </c>
      <c r="AK141" t="s">
        <v>3824</v>
      </c>
    </row>
    <row r="142" spans="1:37" x14ac:dyDescent="0.3">
      <c r="A142" t="s">
        <v>6198</v>
      </c>
      <c r="B142">
        <v>31</v>
      </c>
      <c r="C142" t="s">
        <v>6265</v>
      </c>
      <c r="D142" s="1032">
        <v>44211</v>
      </c>
      <c r="E142" t="s">
        <v>325</v>
      </c>
      <c r="F142" t="s">
        <v>17</v>
      </c>
      <c r="G142" t="s">
        <v>6204</v>
      </c>
      <c r="M142">
        <v>12</v>
      </c>
      <c r="N142">
        <v>-16</v>
      </c>
      <c r="O142">
        <v>35</v>
      </c>
      <c r="P142">
        <v>0</v>
      </c>
      <c r="Q142">
        <v>0</v>
      </c>
      <c r="R142">
        <v>0</v>
      </c>
      <c r="S142">
        <v>1</v>
      </c>
      <c r="T142">
        <v>2</v>
      </c>
      <c r="U142">
        <v>3</v>
      </c>
      <c r="V142">
        <v>0</v>
      </c>
      <c r="W142" t="s">
        <v>6097</v>
      </c>
      <c r="X142" t="s">
        <v>6194</v>
      </c>
      <c r="Y142" t="s">
        <v>6189</v>
      </c>
      <c r="AA142" t="s">
        <v>3822</v>
      </c>
      <c r="AB142" t="s">
        <v>3941</v>
      </c>
      <c r="AC142" t="s">
        <v>3942</v>
      </c>
      <c r="AD142" t="s">
        <v>3943</v>
      </c>
      <c r="AK142" t="s">
        <v>3823</v>
      </c>
    </row>
    <row r="143" spans="1:37" x14ac:dyDescent="0.3">
      <c r="A143" t="s">
        <v>6198</v>
      </c>
      <c r="B143">
        <v>32</v>
      </c>
      <c r="C143" t="s">
        <v>6266</v>
      </c>
      <c r="D143" s="1032">
        <v>44213</v>
      </c>
      <c r="E143" t="s">
        <v>6086</v>
      </c>
      <c r="F143" t="s">
        <v>16</v>
      </c>
      <c r="G143" t="s">
        <v>6113</v>
      </c>
      <c r="M143">
        <v>11</v>
      </c>
      <c r="N143">
        <v>-13</v>
      </c>
      <c r="O143">
        <v>38</v>
      </c>
      <c r="P143">
        <v>0</v>
      </c>
      <c r="Q143">
        <v>0</v>
      </c>
      <c r="R143">
        <v>0</v>
      </c>
      <c r="S143">
        <v>0</v>
      </c>
      <c r="T143">
        <v>0</v>
      </c>
      <c r="U143">
        <v>5</v>
      </c>
      <c r="V143">
        <v>0</v>
      </c>
      <c r="W143" t="s">
        <v>6118</v>
      </c>
      <c r="X143" t="s">
        <v>6120</v>
      </c>
      <c r="Y143" t="s">
        <v>6189</v>
      </c>
      <c r="AA143" t="s">
        <v>3821</v>
      </c>
      <c r="AB143" t="s">
        <v>3944</v>
      </c>
      <c r="AC143" t="s">
        <v>3945</v>
      </c>
      <c r="AD143" t="s">
        <v>3946</v>
      </c>
      <c r="AK143" t="s">
        <v>3811</v>
      </c>
    </row>
    <row r="144" spans="1:37" x14ac:dyDescent="0.3">
      <c r="A144" t="s">
        <v>6198</v>
      </c>
      <c r="B144">
        <v>33</v>
      </c>
      <c r="C144" t="s">
        <v>6267</v>
      </c>
      <c r="D144" s="1032">
        <v>44216</v>
      </c>
      <c r="E144" t="s">
        <v>334</v>
      </c>
      <c r="F144" t="s">
        <v>17</v>
      </c>
      <c r="G144" t="s">
        <v>6097</v>
      </c>
      <c r="M144">
        <v>12</v>
      </c>
      <c r="N144">
        <v>-16</v>
      </c>
      <c r="O144">
        <v>38</v>
      </c>
      <c r="P144">
        <v>1</v>
      </c>
      <c r="Q144">
        <v>0</v>
      </c>
      <c r="R144">
        <v>0</v>
      </c>
      <c r="S144">
        <v>1</v>
      </c>
      <c r="T144">
        <v>2</v>
      </c>
      <c r="U144">
        <v>2</v>
      </c>
      <c r="V144">
        <v>0</v>
      </c>
      <c r="W144" t="s">
        <v>6120</v>
      </c>
      <c r="X144" t="s">
        <v>6171</v>
      </c>
      <c r="Y144" t="s">
        <v>6188</v>
      </c>
      <c r="AA144" t="s">
        <v>3819</v>
      </c>
      <c r="AB144" t="s">
        <v>3947</v>
      </c>
      <c r="AK144" t="s">
        <v>3820</v>
      </c>
    </row>
    <row r="145" spans="1:37" x14ac:dyDescent="0.3">
      <c r="A145" t="s">
        <v>6198</v>
      </c>
      <c r="B145">
        <v>34</v>
      </c>
      <c r="C145" t="s">
        <v>6268</v>
      </c>
      <c r="D145" s="1032">
        <v>44218</v>
      </c>
      <c r="E145" t="s">
        <v>6091</v>
      </c>
      <c r="F145" t="s">
        <v>16</v>
      </c>
      <c r="G145" t="s">
        <v>6192</v>
      </c>
      <c r="M145">
        <v>11</v>
      </c>
      <c r="N145">
        <v>-13</v>
      </c>
      <c r="O145">
        <v>41</v>
      </c>
      <c r="P145">
        <v>1</v>
      </c>
      <c r="Q145">
        <v>0</v>
      </c>
      <c r="R145">
        <v>0</v>
      </c>
      <c r="S145">
        <v>0</v>
      </c>
      <c r="T145">
        <v>3</v>
      </c>
      <c r="U145">
        <v>5</v>
      </c>
      <c r="V145">
        <v>0</v>
      </c>
      <c r="W145" t="s">
        <v>6188</v>
      </c>
      <c r="X145" t="s">
        <v>6194</v>
      </c>
      <c r="Y145" t="s">
        <v>6118</v>
      </c>
      <c r="AA145" t="s">
        <v>3818</v>
      </c>
      <c r="AB145" t="s">
        <v>3948</v>
      </c>
      <c r="AC145" t="s">
        <v>3949</v>
      </c>
      <c r="AD145" t="s">
        <v>3950</v>
      </c>
      <c r="AE145" t="s">
        <v>3951</v>
      </c>
      <c r="AK145" t="s">
        <v>3817</v>
      </c>
    </row>
    <row r="146" spans="1:37" x14ac:dyDescent="0.3">
      <c r="A146" t="s">
        <v>6198</v>
      </c>
      <c r="B146">
        <v>35</v>
      </c>
      <c r="C146" t="s">
        <v>6269</v>
      </c>
      <c r="D146" s="1032">
        <v>44220</v>
      </c>
      <c r="E146" t="s">
        <v>326</v>
      </c>
      <c r="F146" t="s">
        <v>17</v>
      </c>
      <c r="G146" t="s">
        <v>6113</v>
      </c>
      <c r="M146">
        <v>10</v>
      </c>
      <c r="N146">
        <v>-13</v>
      </c>
      <c r="O146">
        <v>44</v>
      </c>
      <c r="P146">
        <v>0</v>
      </c>
      <c r="Q146">
        <v>0</v>
      </c>
      <c r="R146">
        <v>0</v>
      </c>
      <c r="S146">
        <v>1</v>
      </c>
      <c r="T146">
        <v>4</v>
      </c>
      <c r="U146">
        <v>2</v>
      </c>
      <c r="V146">
        <v>0</v>
      </c>
      <c r="W146" t="s">
        <v>6187</v>
      </c>
      <c r="X146" t="s">
        <v>6118</v>
      </c>
      <c r="Y146" t="s">
        <v>6188</v>
      </c>
      <c r="AA146" t="s">
        <v>3815</v>
      </c>
      <c r="AB146" t="s">
        <v>3952</v>
      </c>
      <c r="AC146" t="s">
        <v>3953</v>
      </c>
      <c r="AD146" t="s">
        <v>3954</v>
      </c>
      <c r="AK146" t="s">
        <v>3816</v>
      </c>
    </row>
    <row r="147" spans="1:37" x14ac:dyDescent="0.3">
      <c r="A147" t="s">
        <v>6198</v>
      </c>
      <c r="B147">
        <v>36</v>
      </c>
      <c r="C147" t="s">
        <v>6284</v>
      </c>
      <c r="D147" s="1032">
        <v>44222</v>
      </c>
      <c r="E147" t="s">
        <v>328</v>
      </c>
      <c r="F147" t="s">
        <v>17</v>
      </c>
      <c r="G147" t="s">
        <v>6113</v>
      </c>
      <c r="M147">
        <v>10</v>
      </c>
      <c r="N147">
        <v>-13</v>
      </c>
      <c r="O147">
        <v>47</v>
      </c>
      <c r="P147">
        <v>1</v>
      </c>
      <c r="Q147">
        <v>0</v>
      </c>
      <c r="R147">
        <v>0</v>
      </c>
      <c r="S147">
        <v>1</v>
      </c>
      <c r="T147">
        <v>4</v>
      </c>
      <c r="U147">
        <v>3</v>
      </c>
      <c r="V147">
        <v>0</v>
      </c>
      <c r="W147" t="s">
        <v>6189</v>
      </c>
      <c r="X147" t="s">
        <v>6118</v>
      </c>
      <c r="Y147" t="s">
        <v>6120</v>
      </c>
      <c r="AA147" t="s">
        <v>3813</v>
      </c>
      <c r="AB147" t="s">
        <v>3955</v>
      </c>
      <c r="AC147" t="s">
        <v>3956</v>
      </c>
      <c r="AD147" t="s">
        <v>3957</v>
      </c>
      <c r="AK147" t="s">
        <v>3814</v>
      </c>
    </row>
    <row r="148" spans="1:37" x14ac:dyDescent="0.3">
      <c r="A148" t="s">
        <v>6198</v>
      </c>
      <c r="B148">
        <v>37</v>
      </c>
      <c r="C148" t="s">
        <v>6270</v>
      </c>
      <c r="D148" s="1032">
        <v>44225</v>
      </c>
      <c r="E148" t="s">
        <v>328</v>
      </c>
      <c r="F148" t="s">
        <v>16</v>
      </c>
      <c r="G148" t="s">
        <v>6146</v>
      </c>
      <c r="M148">
        <v>10</v>
      </c>
      <c r="N148">
        <v>-13</v>
      </c>
      <c r="O148">
        <v>47</v>
      </c>
      <c r="P148">
        <v>0</v>
      </c>
      <c r="Q148">
        <v>0</v>
      </c>
      <c r="R148">
        <v>0</v>
      </c>
      <c r="S148">
        <v>1</v>
      </c>
      <c r="T148">
        <v>2</v>
      </c>
      <c r="U148">
        <v>3</v>
      </c>
      <c r="V148">
        <v>0</v>
      </c>
      <c r="W148" t="s">
        <v>6189</v>
      </c>
      <c r="X148" t="s">
        <v>6187</v>
      </c>
      <c r="Y148" t="s">
        <v>6187</v>
      </c>
      <c r="AA148" t="s">
        <v>3812</v>
      </c>
      <c r="AB148" t="s">
        <v>3958</v>
      </c>
      <c r="AC148" t="s">
        <v>3959</v>
      </c>
      <c r="AK148" t="s">
        <v>3811</v>
      </c>
    </row>
    <row r="149" spans="1:37" x14ac:dyDescent="0.3">
      <c r="A149" t="s">
        <v>6198</v>
      </c>
      <c r="B149">
        <v>38</v>
      </c>
      <c r="C149" t="s">
        <v>6271</v>
      </c>
      <c r="D149" s="1032">
        <v>44226</v>
      </c>
      <c r="E149" t="s">
        <v>6179</v>
      </c>
      <c r="F149" t="s">
        <v>16</v>
      </c>
      <c r="G149" t="s">
        <v>6192</v>
      </c>
      <c r="M149">
        <v>9</v>
      </c>
      <c r="N149">
        <v>-10</v>
      </c>
      <c r="O149">
        <v>50</v>
      </c>
      <c r="P149">
        <v>2</v>
      </c>
      <c r="Q149">
        <v>0</v>
      </c>
      <c r="R149">
        <v>0</v>
      </c>
      <c r="S149">
        <v>1</v>
      </c>
      <c r="T149">
        <v>4</v>
      </c>
      <c r="U149">
        <v>3</v>
      </c>
      <c r="V149">
        <v>0</v>
      </c>
      <c r="W149" t="s">
        <v>6171</v>
      </c>
      <c r="X149" t="s">
        <v>6120</v>
      </c>
      <c r="Y149" t="s">
        <v>6100</v>
      </c>
      <c r="AA149" t="s">
        <v>3810</v>
      </c>
      <c r="AB149" t="s">
        <v>3960</v>
      </c>
      <c r="AC149" t="s">
        <v>3961</v>
      </c>
      <c r="AD149" t="s">
        <v>3962</v>
      </c>
      <c r="AE149" t="s">
        <v>3963</v>
      </c>
      <c r="AK149" t="s">
        <v>3862</v>
      </c>
    </row>
    <row r="150" spans="1:37" x14ac:dyDescent="0.3">
      <c r="A150" t="s">
        <v>6198</v>
      </c>
      <c r="B150">
        <v>39</v>
      </c>
      <c r="C150" t="s">
        <v>6272</v>
      </c>
      <c r="D150" s="1032">
        <v>44229</v>
      </c>
      <c r="E150" t="s">
        <v>610</v>
      </c>
      <c r="F150" t="s">
        <v>17</v>
      </c>
      <c r="G150" t="s">
        <v>6215</v>
      </c>
      <c r="M150">
        <v>10</v>
      </c>
      <c r="N150">
        <v>-13</v>
      </c>
      <c r="O150">
        <v>50</v>
      </c>
      <c r="P150">
        <v>0</v>
      </c>
      <c r="Q150">
        <v>0</v>
      </c>
      <c r="R150">
        <v>0</v>
      </c>
      <c r="S150">
        <v>1</v>
      </c>
      <c r="T150">
        <v>2</v>
      </c>
      <c r="U150">
        <v>3</v>
      </c>
      <c r="V150">
        <v>0</v>
      </c>
      <c r="W150" t="s">
        <v>6189</v>
      </c>
      <c r="X150" t="s">
        <v>6097</v>
      </c>
      <c r="Y150" t="s">
        <v>6079</v>
      </c>
      <c r="AA150" t="s">
        <v>3809</v>
      </c>
      <c r="AB150" t="s">
        <v>3964</v>
      </c>
      <c r="AK150" t="s">
        <v>3863</v>
      </c>
    </row>
    <row r="151" spans="1:37" x14ac:dyDescent="0.3">
      <c r="A151" t="s">
        <v>6198</v>
      </c>
      <c r="B151">
        <v>40</v>
      </c>
      <c r="C151" t="s">
        <v>6273</v>
      </c>
      <c r="D151" s="1032">
        <v>44232</v>
      </c>
      <c r="E151" t="s">
        <v>331</v>
      </c>
      <c r="F151" t="s">
        <v>16</v>
      </c>
      <c r="G151" t="s">
        <v>6203</v>
      </c>
      <c r="M151">
        <v>10</v>
      </c>
      <c r="N151">
        <v>-13</v>
      </c>
      <c r="O151">
        <v>50</v>
      </c>
      <c r="P151">
        <v>0</v>
      </c>
      <c r="Q151">
        <v>0</v>
      </c>
      <c r="R151">
        <v>0</v>
      </c>
      <c r="S151">
        <v>1</v>
      </c>
      <c r="T151">
        <v>3</v>
      </c>
      <c r="U151">
        <v>3</v>
      </c>
      <c r="V151">
        <v>0</v>
      </c>
      <c r="W151" t="s">
        <v>6171</v>
      </c>
      <c r="X151" t="s">
        <v>6100</v>
      </c>
      <c r="Y151" t="s">
        <v>6097</v>
      </c>
      <c r="AA151" t="s">
        <v>3806</v>
      </c>
      <c r="AB151" t="s">
        <v>3965</v>
      </c>
      <c r="AC151" t="s">
        <v>3966</v>
      </c>
      <c r="AD151" t="s">
        <v>3967</v>
      </c>
      <c r="AE151" t="s">
        <v>3968</v>
      </c>
      <c r="AK151" t="s">
        <v>3864</v>
      </c>
    </row>
    <row r="152" spans="1:37" x14ac:dyDescent="0.3">
      <c r="A152" t="s">
        <v>6198</v>
      </c>
      <c r="B152">
        <v>41</v>
      </c>
      <c r="C152" t="s">
        <v>6274</v>
      </c>
      <c r="D152" s="1032">
        <v>44234</v>
      </c>
      <c r="E152" t="s">
        <v>6076</v>
      </c>
      <c r="F152" t="s">
        <v>17</v>
      </c>
      <c r="G152" t="s">
        <v>351</v>
      </c>
      <c r="M152">
        <v>10</v>
      </c>
      <c r="N152">
        <v>-14</v>
      </c>
      <c r="O152">
        <v>52</v>
      </c>
      <c r="P152">
        <v>1</v>
      </c>
      <c r="Q152">
        <v>0</v>
      </c>
      <c r="R152">
        <v>0</v>
      </c>
      <c r="S152">
        <v>1</v>
      </c>
      <c r="T152">
        <v>3</v>
      </c>
      <c r="U152">
        <v>2</v>
      </c>
      <c r="V152">
        <v>0</v>
      </c>
      <c r="W152" t="s">
        <v>6120</v>
      </c>
      <c r="X152" t="s">
        <v>6187</v>
      </c>
      <c r="Y152" t="s">
        <v>6189</v>
      </c>
      <c r="Z152" t="s">
        <v>756</v>
      </c>
      <c r="AA152" t="s">
        <v>3805</v>
      </c>
      <c r="AB152" t="s">
        <v>3969</v>
      </c>
      <c r="AC152" t="s">
        <v>3970</v>
      </c>
      <c r="AD152" t="s">
        <v>3971</v>
      </c>
      <c r="AK152" t="s">
        <v>3865</v>
      </c>
    </row>
    <row r="153" spans="1:37" x14ac:dyDescent="0.3">
      <c r="A153" t="s">
        <v>6198</v>
      </c>
      <c r="B153">
        <v>42</v>
      </c>
      <c r="C153" t="s">
        <v>6239</v>
      </c>
      <c r="D153" s="1032">
        <v>44236</v>
      </c>
      <c r="E153" t="s">
        <v>6086</v>
      </c>
      <c r="F153" t="s">
        <v>16</v>
      </c>
      <c r="G153" t="s">
        <v>161</v>
      </c>
      <c r="M153">
        <v>10</v>
      </c>
      <c r="N153">
        <v>-13</v>
      </c>
      <c r="O153">
        <v>53</v>
      </c>
      <c r="P153">
        <v>1</v>
      </c>
      <c r="Q153">
        <v>0</v>
      </c>
      <c r="R153">
        <v>0</v>
      </c>
      <c r="S153">
        <v>1</v>
      </c>
      <c r="T153">
        <v>5</v>
      </c>
      <c r="U153">
        <v>4</v>
      </c>
      <c r="V153">
        <v>0</v>
      </c>
      <c r="W153" t="s">
        <v>6187</v>
      </c>
      <c r="X153" t="s">
        <v>6120</v>
      </c>
      <c r="Y153" t="s">
        <v>6189</v>
      </c>
      <c r="Z153" t="s">
        <v>208</v>
      </c>
      <c r="AA153" t="s">
        <v>3975</v>
      </c>
      <c r="AB153" t="s">
        <v>3972</v>
      </c>
      <c r="AC153" t="s">
        <v>3973</v>
      </c>
      <c r="AJ153" t="s">
        <v>3974</v>
      </c>
      <c r="AK153" t="s">
        <v>3866</v>
      </c>
    </row>
    <row r="154" spans="1:37" x14ac:dyDescent="0.3">
      <c r="A154" t="s">
        <v>6198</v>
      </c>
      <c r="B154">
        <v>43</v>
      </c>
      <c r="C154" t="s">
        <v>6244</v>
      </c>
      <c r="D154" s="1032">
        <v>44242</v>
      </c>
      <c r="E154" t="s">
        <v>610</v>
      </c>
      <c r="F154" t="s">
        <v>17</v>
      </c>
      <c r="G154" t="s">
        <v>589</v>
      </c>
      <c r="M154">
        <v>10</v>
      </c>
      <c r="N154">
        <v>-15</v>
      </c>
      <c r="O154">
        <v>54</v>
      </c>
      <c r="P154">
        <v>0</v>
      </c>
      <c r="Q154">
        <v>0</v>
      </c>
      <c r="R154">
        <v>0</v>
      </c>
      <c r="S154">
        <v>0</v>
      </c>
      <c r="T154">
        <v>4</v>
      </c>
      <c r="U154">
        <v>4</v>
      </c>
      <c r="V154">
        <v>0</v>
      </c>
      <c r="W154" t="s">
        <v>6188</v>
      </c>
      <c r="X154" t="s">
        <v>6189</v>
      </c>
      <c r="Y154" t="s">
        <v>6120</v>
      </c>
      <c r="Z154" t="s">
        <v>3213</v>
      </c>
      <c r="AA154" t="s">
        <v>3803</v>
      </c>
      <c r="AB154" t="s">
        <v>3982</v>
      </c>
      <c r="AK154" t="s">
        <v>3983</v>
      </c>
    </row>
    <row r="155" spans="1:37" x14ac:dyDescent="0.3">
      <c r="A155" t="s">
        <v>6198</v>
      </c>
      <c r="B155">
        <v>44</v>
      </c>
      <c r="C155" t="s">
        <v>6275</v>
      </c>
      <c r="D155" s="1032">
        <v>44244</v>
      </c>
      <c r="E155" t="s">
        <v>626</v>
      </c>
      <c r="F155" t="s">
        <v>16</v>
      </c>
      <c r="G155" t="s">
        <v>6211</v>
      </c>
      <c r="M155">
        <v>11</v>
      </c>
      <c r="N155">
        <v>-15</v>
      </c>
      <c r="O155">
        <v>54</v>
      </c>
      <c r="P155">
        <v>0</v>
      </c>
      <c r="Q155">
        <v>0</v>
      </c>
      <c r="R155">
        <v>0</v>
      </c>
      <c r="S155">
        <v>0</v>
      </c>
      <c r="T155">
        <v>2</v>
      </c>
      <c r="U155">
        <v>3</v>
      </c>
      <c r="V155">
        <v>0</v>
      </c>
      <c r="W155" t="s">
        <v>6102</v>
      </c>
      <c r="X155" t="s">
        <v>6118</v>
      </c>
      <c r="Y155" t="s">
        <v>6188</v>
      </c>
      <c r="AA155" t="s">
        <v>3802</v>
      </c>
      <c r="AB155" t="s">
        <v>3984</v>
      </c>
      <c r="AC155" t="s">
        <v>3985</v>
      </c>
      <c r="AD155" t="s">
        <v>3986</v>
      </c>
      <c r="AK155" t="s">
        <v>3867</v>
      </c>
    </row>
    <row r="156" spans="1:37" x14ac:dyDescent="0.3">
      <c r="A156" t="s">
        <v>6198</v>
      </c>
      <c r="B156">
        <v>45</v>
      </c>
      <c r="C156" t="s">
        <v>6276</v>
      </c>
      <c r="D156" s="1032">
        <v>44246</v>
      </c>
      <c r="E156" t="s">
        <v>1274</v>
      </c>
      <c r="F156" t="s">
        <v>17</v>
      </c>
      <c r="G156" t="s">
        <v>6146</v>
      </c>
      <c r="M156">
        <v>11</v>
      </c>
      <c r="N156">
        <v>-18</v>
      </c>
      <c r="O156">
        <v>54</v>
      </c>
      <c r="P156">
        <v>1</v>
      </c>
      <c r="Q156">
        <v>0</v>
      </c>
      <c r="R156">
        <v>0</v>
      </c>
      <c r="S156">
        <v>1</v>
      </c>
      <c r="T156">
        <v>3</v>
      </c>
      <c r="U156">
        <v>2</v>
      </c>
      <c r="V156">
        <v>0</v>
      </c>
      <c r="W156" t="s">
        <v>6171</v>
      </c>
      <c r="X156" t="s">
        <v>6187</v>
      </c>
      <c r="Y156" t="s">
        <v>6120</v>
      </c>
      <c r="AA156" t="s">
        <v>3061</v>
      </c>
      <c r="AB156" t="s">
        <v>3987</v>
      </c>
      <c r="AC156" t="s">
        <v>3988</v>
      </c>
      <c r="AK156" t="s">
        <v>3868</v>
      </c>
    </row>
    <row r="157" spans="1:37" x14ac:dyDescent="0.3">
      <c r="A157" t="s">
        <v>6198</v>
      </c>
      <c r="B157">
        <v>46</v>
      </c>
      <c r="C157" t="s">
        <v>6277</v>
      </c>
      <c r="D157" s="1032">
        <v>44248</v>
      </c>
      <c r="E157" t="s">
        <v>327</v>
      </c>
      <c r="F157" t="s">
        <v>16</v>
      </c>
      <c r="G157" t="s">
        <v>6100</v>
      </c>
      <c r="M157">
        <v>11</v>
      </c>
      <c r="N157">
        <v>-15</v>
      </c>
      <c r="O157">
        <v>57</v>
      </c>
      <c r="P157">
        <v>1</v>
      </c>
      <c r="Q157">
        <v>1</v>
      </c>
      <c r="R157">
        <v>0</v>
      </c>
      <c r="S157">
        <v>1</v>
      </c>
      <c r="T157">
        <v>4</v>
      </c>
      <c r="U157">
        <v>6</v>
      </c>
      <c r="V157">
        <v>0</v>
      </c>
      <c r="W157" t="s">
        <v>6120</v>
      </c>
      <c r="X157" t="s">
        <v>6189</v>
      </c>
      <c r="Y157" t="s">
        <v>6089</v>
      </c>
      <c r="AA157" t="s">
        <v>3804</v>
      </c>
      <c r="AB157" t="s">
        <v>3989</v>
      </c>
      <c r="AC157" t="s">
        <v>3990</v>
      </c>
      <c r="AD157" t="s">
        <v>3991</v>
      </c>
      <c r="AK157" t="s">
        <v>3869</v>
      </c>
    </row>
    <row r="158" spans="1:37" x14ac:dyDescent="0.3">
      <c r="A158" t="s">
        <v>6198</v>
      </c>
      <c r="B158">
        <v>47</v>
      </c>
      <c r="C158" t="s">
        <v>6249</v>
      </c>
      <c r="D158" s="1032">
        <v>44250</v>
      </c>
      <c r="E158" t="s">
        <v>626</v>
      </c>
      <c r="F158" t="s">
        <v>16</v>
      </c>
      <c r="G158" t="s">
        <v>6118</v>
      </c>
      <c r="M158">
        <v>11</v>
      </c>
      <c r="N158">
        <v>-12</v>
      </c>
      <c r="O158">
        <v>60</v>
      </c>
      <c r="P158">
        <v>2</v>
      </c>
      <c r="Q158">
        <v>0</v>
      </c>
      <c r="R158">
        <v>0</v>
      </c>
      <c r="S158">
        <v>1</v>
      </c>
      <c r="T158">
        <v>5</v>
      </c>
      <c r="U158">
        <v>3</v>
      </c>
      <c r="V158">
        <v>0</v>
      </c>
      <c r="W158" t="s">
        <v>6187</v>
      </c>
      <c r="X158" t="s">
        <v>6188</v>
      </c>
      <c r="Y158" t="s">
        <v>6120</v>
      </c>
      <c r="AA158" t="s">
        <v>3052</v>
      </c>
      <c r="AB158" t="s">
        <v>3992</v>
      </c>
      <c r="AC158" t="s">
        <v>3993</v>
      </c>
      <c r="AK158" t="s">
        <v>3870</v>
      </c>
    </row>
    <row r="159" spans="1:37" x14ac:dyDescent="0.3">
      <c r="A159" t="s">
        <v>6198</v>
      </c>
      <c r="B159">
        <v>48</v>
      </c>
      <c r="C159" t="s">
        <v>6278</v>
      </c>
      <c r="D159" s="1032">
        <v>44253</v>
      </c>
      <c r="E159" t="s">
        <v>325</v>
      </c>
      <c r="F159" t="s">
        <v>16</v>
      </c>
      <c r="G159" t="s">
        <v>6073</v>
      </c>
      <c r="M159">
        <v>11</v>
      </c>
      <c r="N159">
        <v>-9</v>
      </c>
      <c r="O159">
        <v>63</v>
      </c>
      <c r="P159">
        <v>1</v>
      </c>
      <c r="Q159">
        <v>1</v>
      </c>
      <c r="R159">
        <v>0</v>
      </c>
      <c r="S159">
        <v>0</v>
      </c>
      <c r="T159">
        <v>3</v>
      </c>
      <c r="U159">
        <v>4</v>
      </c>
      <c r="V159">
        <v>0</v>
      </c>
      <c r="W159" t="s">
        <v>6100</v>
      </c>
      <c r="X159" t="s">
        <v>6120</v>
      </c>
      <c r="Y159" t="s">
        <v>6189</v>
      </c>
      <c r="AA159" t="s">
        <v>3801</v>
      </c>
      <c r="AB159" t="s">
        <v>3994</v>
      </c>
      <c r="AC159" t="s">
        <v>3995</v>
      </c>
      <c r="AD159" t="s">
        <v>3996</v>
      </c>
      <c r="AE159" t="s">
        <v>3997</v>
      </c>
      <c r="AK159" t="s">
        <v>3871</v>
      </c>
    </row>
    <row r="160" spans="1:37" x14ac:dyDescent="0.3">
      <c r="A160" t="s">
        <v>6198</v>
      </c>
      <c r="B160">
        <v>49</v>
      </c>
      <c r="C160" t="s">
        <v>6279</v>
      </c>
      <c r="D160" s="1032">
        <v>44255</v>
      </c>
      <c r="E160" t="s">
        <v>6086</v>
      </c>
      <c r="F160" t="s">
        <v>17</v>
      </c>
      <c r="G160" t="s">
        <v>6209</v>
      </c>
      <c r="M160">
        <v>11</v>
      </c>
      <c r="N160">
        <v>-9</v>
      </c>
      <c r="O160">
        <v>66</v>
      </c>
      <c r="P160">
        <v>0</v>
      </c>
      <c r="Q160">
        <v>0</v>
      </c>
      <c r="R160">
        <v>0</v>
      </c>
      <c r="S160">
        <v>1</v>
      </c>
      <c r="T160">
        <v>3</v>
      </c>
      <c r="U160">
        <v>3</v>
      </c>
      <c r="V160">
        <v>0</v>
      </c>
      <c r="W160" t="s">
        <v>6189</v>
      </c>
      <c r="X160" t="s">
        <v>6148</v>
      </c>
      <c r="Y160" t="s">
        <v>6187</v>
      </c>
      <c r="AA160" t="s">
        <v>3800</v>
      </c>
      <c r="AB160" t="s">
        <v>3998</v>
      </c>
      <c r="AC160" t="s">
        <v>3999</v>
      </c>
      <c r="AD160" t="s">
        <v>4000</v>
      </c>
      <c r="AE160" t="s">
        <v>4001</v>
      </c>
      <c r="AF160" t="s">
        <v>4002</v>
      </c>
      <c r="AG160" t="s">
        <v>4003</v>
      </c>
      <c r="AK160" t="s">
        <v>4004</v>
      </c>
    </row>
    <row r="161" spans="1:37" x14ac:dyDescent="0.3">
      <c r="A161" t="s">
        <v>6198</v>
      </c>
      <c r="B161">
        <v>50</v>
      </c>
      <c r="C161" t="s">
        <v>6280</v>
      </c>
      <c r="D161" s="1032">
        <v>44259</v>
      </c>
      <c r="E161" t="s">
        <v>334</v>
      </c>
      <c r="F161" t="s">
        <v>17</v>
      </c>
      <c r="G161" t="s">
        <v>6113</v>
      </c>
      <c r="M161">
        <v>11</v>
      </c>
      <c r="N161">
        <v>-6</v>
      </c>
      <c r="O161">
        <v>69</v>
      </c>
      <c r="P161">
        <v>1</v>
      </c>
      <c r="Q161">
        <v>0</v>
      </c>
      <c r="R161">
        <v>0</v>
      </c>
      <c r="S161">
        <v>1</v>
      </c>
      <c r="T161">
        <v>6</v>
      </c>
      <c r="U161">
        <v>4</v>
      </c>
      <c r="V161">
        <v>0</v>
      </c>
      <c r="W161" t="s">
        <v>6120</v>
      </c>
      <c r="X161" t="s">
        <v>6187</v>
      </c>
      <c r="Y161" t="s">
        <v>6187</v>
      </c>
      <c r="AA161" t="s">
        <v>3799</v>
      </c>
      <c r="AB161" t="s">
        <v>4005</v>
      </c>
      <c r="AC161" t="s">
        <v>4006</v>
      </c>
      <c r="AD161" t="s">
        <v>4007</v>
      </c>
      <c r="AK161" t="s">
        <v>3807</v>
      </c>
    </row>
    <row r="162" spans="1:37" x14ac:dyDescent="0.3">
      <c r="A162" t="s">
        <v>6198</v>
      </c>
      <c r="B162">
        <v>51</v>
      </c>
      <c r="C162" t="s">
        <v>6281</v>
      </c>
      <c r="D162" s="1032">
        <v>44260</v>
      </c>
      <c r="E162" t="s">
        <v>6091</v>
      </c>
      <c r="F162" t="s">
        <v>17</v>
      </c>
      <c r="G162" t="s">
        <v>6217</v>
      </c>
      <c r="M162">
        <v>11</v>
      </c>
      <c r="N162">
        <v>-6</v>
      </c>
      <c r="O162">
        <v>72</v>
      </c>
      <c r="P162">
        <v>2</v>
      </c>
      <c r="Q162">
        <v>0</v>
      </c>
      <c r="R162">
        <v>1</v>
      </c>
      <c r="S162">
        <v>0</v>
      </c>
      <c r="T162">
        <v>3</v>
      </c>
      <c r="U162">
        <v>4</v>
      </c>
      <c r="V162">
        <v>0</v>
      </c>
      <c r="W162" t="s">
        <v>6100</v>
      </c>
      <c r="X162" t="s">
        <v>6110</v>
      </c>
      <c r="Y162" t="s">
        <v>6097</v>
      </c>
      <c r="AA162" t="s">
        <v>3843</v>
      </c>
      <c r="AB162" t="s">
        <v>4008</v>
      </c>
      <c r="AC162" t="s">
        <v>4009</v>
      </c>
      <c r="AD162" t="s">
        <v>4010</v>
      </c>
      <c r="AE162" t="s">
        <v>4011</v>
      </c>
      <c r="AF162" t="s">
        <v>4012</v>
      </c>
      <c r="AG162" t="s">
        <v>4013</v>
      </c>
      <c r="AH162" t="s">
        <v>4014</v>
      </c>
      <c r="AK162" t="s">
        <v>3808</v>
      </c>
    </row>
    <row r="163" spans="1:37" x14ac:dyDescent="0.3">
      <c r="A163" t="s">
        <v>6198</v>
      </c>
      <c r="B163">
        <v>52</v>
      </c>
      <c r="C163" t="s">
        <v>6282</v>
      </c>
      <c r="D163" s="1032">
        <v>44262</v>
      </c>
      <c r="E163" t="s">
        <v>326</v>
      </c>
      <c r="F163" t="s">
        <v>16</v>
      </c>
      <c r="G163" t="s">
        <v>6079</v>
      </c>
      <c r="M163">
        <v>11</v>
      </c>
      <c r="N163">
        <v>-6</v>
      </c>
      <c r="O163">
        <v>72</v>
      </c>
      <c r="P163">
        <v>0</v>
      </c>
      <c r="Q163">
        <v>0</v>
      </c>
      <c r="R163">
        <v>0</v>
      </c>
      <c r="S163">
        <v>1</v>
      </c>
      <c r="T163">
        <v>5</v>
      </c>
      <c r="U163">
        <v>4</v>
      </c>
      <c r="V163">
        <v>0</v>
      </c>
      <c r="W163" t="s">
        <v>6189</v>
      </c>
      <c r="X163" t="s">
        <v>6189</v>
      </c>
      <c r="Y163" t="s">
        <v>6189</v>
      </c>
      <c r="AA163" t="s">
        <v>6079</v>
      </c>
      <c r="AB163" t="s">
        <v>515</v>
      </c>
      <c r="AK163" t="s">
        <v>3872</v>
      </c>
    </row>
    <row r="164" spans="1:37" x14ac:dyDescent="0.3">
      <c r="A164" t="s">
        <v>6198</v>
      </c>
      <c r="B164">
        <v>53</v>
      </c>
      <c r="C164" t="s">
        <v>336</v>
      </c>
      <c r="D164" s="1032">
        <v>44265</v>
      </c>
      <c r="E164" t="s">
        <v>1274</v>
      </c>
      <c r="F164" t="s">
        <v>16</v>
      </c>
      <c r="G164" t="s">
        <v>6171</v>
      </c>
      <c r="P164">
        <v>0</v>
      </c>
      <c r="Q164">
        <v>0</v>
      </c>
      <c r="R164">
        <v>0</v>
      </c>
      <c r="S164">
        <v>1</v>
      </c>
      <c r="T164">
        <v>4</v>
      </c>
      <c r="U164">
        <v>4</v>
      </c>
      <c r="V164">
        <v>0</v>
      </c>
      <c r="W164" t="s">
        <v>6189</v>
      </c>
      <c r="X164" t="s">
        <v>6188</v>
      </c>
      <c r="Y164" t="s">
        <v>6189</v>
      </c>
      <c r="AA164" t="s">
        <v>6171</v>
      </c>
      <c r="AB164" t="s">
        <v>515</v>
      </c>
      <c r="AK164" t="s">
        <v>3873</v>
      </c>
    </row>
    <row r="165" spans="1:37" x14ac:dyDescent="0.3">
      <c r="A165" t="s">
        <v>6198</v>
      </c>
      <c r="B165">
        <v>54</v>
      </c>
      <c r="C165" t="s">
        <v>336</v>
      </c>
      <c r="D165" s="1032">
        <v>44266</v>
      </c>
      <c r="E165" t="s">
        <v>1274</v>
      </c>
      <c r="F165" t="s">
        <v>16</v>
      </c>
      <c r="G165" t="s">
        <v>6102</v>
      </c>
      <c r="P165">
        <v>1</v>
      </c>
      <c r="Q165">
        <v>0</v>
      </c>
      <c r="R165">
        <v>0</v>
      </c>
      <c r="S165">
        <v>1</v>
      </c>
      <c r="T165">
        <v>4</v>
      </c>
      <c r="U165">
        <v>4</v>
      </c>
      <c r="V165">
        <v>0</v>
      </c>
      <c r="W165" t="s">
        <v>6187</v>
      </c>
      <c r="X165" t="s">
        <v>6171</v>
      </c>
      <c r="Y165" t="s">
        <v>6188</v>
      </c>
      <c r="AA165" t="s">
        <v>3307</v>
      </c>
      <c r="AB165" t="s">
        <v>4015</v>
      </c>
      <c r="AK165" t="s">
        <v>6552</v>
      </c>
    </row>
    <row r="166" spans="1:37" x14ac:dyDescent="0.3">
      <c r="A166" t="s">
        <v>6198</v>
      </c>
      <c r="B166">
        <v>55</v>
      </c>
      <c r="C166" t="s">
        <v>336</v>
      </c>
      <c r="D166" s="1032">
        <v>44268</v>
      </c>
      <c r="E166" t="s">
        <v>1274</v>
      </c>
      <c r="F166" t="s">
        <v>17</v>
      </c>
      <c r="G166" t="s">
        <v>6084</v>
      </c>
      <c r="P166">
        <v>0</v>
      </c>
      <c r="Q166">
        <v>0</v>
      </c>
      <c r="R166">
        <v>0</v>
      </c>
      <c r="S166">
        <v>1</v>
      </c>
      <c r="T166">
        <v>5</v>
      </c>
      <c r="U166">
        <v>2</v>
      </c>
      <c r="V166">
        <v>0</v>
      </c>
      <c r="W166" t="s">
        <v>6079</v>
      </c>
      <c r="X166" t="s">
        <v>6171</v>
      </c>
      <c r="Y166" t="s">
        <v>6120</v>
      </c>
      <c r="AA166" t="s">
        <v>3242</v>
      </c>
      <c r="AB166" t="s">
        <v>4016</v>
      </c>
      <c r="AK166" t="s">
        <v>4638</v>
      </c>
    </row>
    <row r="167" spans="1:37" x14ac:dyDescent="0.3">
      <c r="A167" t="s">
        <v>6197</v>
      </c>
      <c r="B167">
        <v>1</v>
      </c>
      <c r="C167" t="s">
        <v>6284</v>
      </c>
      <c r="D167" s="1032">
        <v>44449</v>
      </c>
      <c r="E167" t="s">
        <v>326</v>
      </c>
      <c r="F167" t="s">
        <v>16</v>
      </c>
      <c r="G167" t="s">
        <v>6073</v>
      </c>
      <c r="M167">
        <v>3</v>
      </c>
      <c r="N167">
        <v>3</v>
      </c>
      <c r="O167">
        <v>3</v>
      </c>
      <c r="P167">
        <v>2</v>
      </c>
      <c r="Q167">
        <v>1</v>
      </c>
      <c r="R167">
        <v>0</v>
      </c>
      <c r="S167">
        <v>0</v>
      </c>
      <c r="T167">
        <v>3</v>
      </c>
      <c r="U167">
        <v>7</v>
      </c>
      <c r="V167">
        <v>3452</v>
      </c>
      <c r="W167" t="s">
        <v>6089</v>
      </c>
      <c r="X167" t="s">
        <v>6187</v>
      </c>
      <c r="Y167" t="s">
        <v>6187</v>
      </c>
      <c r="AA167" t="s">
        <v>4114</v>
      </c>
      <c r="AB167" t="s">
        <v>4116</v>
      </c>
      <c r="AC167" t="s">
        <v>4117</v>
      </c>
      <c r="AD167" t="s">
        <v>4118</v>
      </c>
      <c r="AE167" t="s">
        <v>4119</v>
      </c>
      <c r="AK167" t="s">
        <v>4115</v>
      </c>
    </row>
    <row r="168" spans="1:37" x14ac:dyDescent="0.3">
      <c r="A168" t="s">
        <v>6197</v>
      </c>
      <c r="B168">
        <v>2</v>
      </c>
      <c r="C168" t="s">
        <v>6233</v>
      </c>
      <c r="D168" s="1032">
        <v>44451</v>
      </c>
      <c r="E168" t="s">
        <v>610</v>
      </c>
      <c r="F168" t="s">
        <v>17</v>
      </c>
      <c r="G168" t="s">
        <v>352</v>
      </c>
      <c r="M168">
        <v>3</v>
      </c>
      <c r="N168">
        <v>2</v>
      </c>
      <c r="O168">
        <v>5</v>
      </c>
      <c r="P168">
        <v>0</v>
      </c>
      <c r="Q168">
        <v>0</v>
      </c>
      <c r="R168">
        <v>0</v>
      </c>
      <c r="S168">
        <v>2</v>
      </c>
      <c r="T168">
        <v>4</v>
      </c>
      <c r="U168">
        <v>8</v>
      </c>
      <c r="V168">
        <v>3356</v>
      </c>
      <c r="W168" t="s">
        <v>6187</v>
      </c>
      <c r="X168" t="s">
        <v>6188</v>
      </c>
      <c r="Y168" t="s">
        <v>6187</v>
      </c>
      <c r="Z168" t="s">
        <v>352</v>
      </c>
      <c r="AA168" t="s">
        <v>4121</v>
      </c>
      <c r="AB168" t="s">
        <v>4123</v>
      </c>
      <c r="AC168" t="s">
        <v>4124</v>
      </c>
      <c r="AJ168" t="s">
        <v>4125</v>
      </c>
      <c r="AK168" t="s">
        <v>4120</v>
      </c>
    </row>
    <row r="169" spans="1:37" x14ac:dyDescent="0.3">
      <c r="A169" t="s">
        <v>6197</v>
      </c>
      <c r="B169">
        <v>3</v>
      </c>
      <c r="C169" t="s">
        <v>6234</v>
      </c>
      <c r="D169" s="1032">
        <v>44453</v>
      </c>
      <c r="E169" t="s">
        <v>334</v>
      </c>
      <c r="F169" t="s">
        <v>16</v>
      </c>
      <c r="G169" t="s">
        <v>163</v>
      </c>
      <c r="M169">
        <v>3</v>
      </c>
      <c r="N169">
        <v>3</v>
      </c>
      <c r="O169">
        <v>6</v>
      </c>
      <c r="P169">
        <v>2</v>
      </c>
      <c r="Q169">
        <v>0</v>
      </c>
      <c r="R169">
        <v>0</v>
      </c>
      <c r="S169">
        <v>2</v>
      </c>
      <c r="T169">
        <v>4</v>
      </c>
      <c r="U169">
        <v>7</v>
      </c>
      <c r="V169">
        <v>2569</v>
      </c>
      <c r="W169" t="s">
        <v>6089</v>
      </c>
      <c r="X169" t="s">
        <v>6097</v>
      </c>
      <c r="Y169" t="s">
        <v>6189</v>
      </c>
      <c r="Z169" t="s">
        <v>3213</v>
      </c>
      <c r="AA169" t="s">
        <v>4126</v>
      </c>
      <c r="AB169" t="s">
        <v>4127</v>
      </c>
      <c r="AC169" t="s">
        <v>4128</v>
      </c>
      <c r="AD169" t="s">
        <v>4129</v>
      </c>
      <c r="AK169" t="s">
        <v>4122</v>
      </c>
    </row>
    <row r="170" spans="1:37" x14ac:dyDescent="0.3">
      <c r="A170" t="s">
        <v>6197</v>
      </c>
      <c r="B170">
        <v>4</v>
      </c>
      <c r="C170" t="s">
        <v>6235</v>
      </c>
      <c r="D170" s="1032">
        <v>44458</v>
      </c>
      <c r="E170" t="s">
        <v>332</v>
      </c>
      <c r="F170" t="s">
        <v>16</v>
      </c>
      <c r="G170" t="s">
        <v>6146</v>
      </c>
      <c r="M170">
        <v>9</v>
      </c>
      <c r="N170">
        <v>3</v>
      </c>
      <c r="O170">
        <v>6</v>
      </c>
      <c r="P170">
        <v>0</v>
      </c>
      <c r="Q170">
        <v>0</v>
      </c>
      <c r="R170">
        <v>0</v>
      </c>
      <c r="S170">
        <v>1</v>
      </c>
      <c r="T170">
        <v>5</v>
      </c>
      <c r="U170">
        <v>5</v>
      </c>
      <c r="V170">
        <v>4700</v>
      </c>
      <c r="W170" t="s">
        <v>6189</v>
      </c>
      <c r="X170" t="s">
        <v>6187</v>
      </c>
      <c r="Y170" t="s">
        <v>6187</v>
      </c>
      <c r="AA170" t="s">
        <v>4130</v>
      </c>
      <c r="AB170" t="s">
        <v>4136</v>
      </c>
      <c r="AC170" t="s">
        <v>4137</v>
      </c>
      <c r="AK170" t="s">
        <v>4131</v>
      </c>
    </row>
    <row r="171" spans="1:37" x14ac:dyDescent="0.3">
      <c r="A171" t="s">
        <v>6197</v>
      </c>
      <c r="B171">
        <v>5</v>
      </c>
      <c r="C171" t="s">
        <v>6246</v>
      </c>
      <c r="D171" s="1032">
        <v>44460</v>
      </c>
      <c r="E171" t="s">
        <v>327</v>
      </c>
      <c r="F171" t="s">
        <v>17</v>
      </c>
      <c r="G171" t="s">
        <v>6218</v>
      </c>
      <c r="M171">
        <v>12</v>
      </c>
      <c r="N171">
        <v>0</v>
      </c>
      <c r="O171">
        <v>6</v>
      </c>
      <c r="P171">
        <v>0</v>
      </c>
      <c r="Q171">
        <v>0</v>
      </c>
      <c r="R171">
        <v>0</v>
      </c>
      <c r="S171">
        <v>1</v>
      </c>
      <c r="T171">
        <v>4</v>
      </c>
      <c r="U171">
        <v>2</v>
      </c>
      <c r="V171">
        <v>2464</v>
      </c>
      <c r="W171" t="s">
        <v>6120</v>
      </c>
      <c r="X171" t="s">
        <v>6207</v>
      </c>
      <c r="Y171" t="s">
        <v>6100</v>
      </c>
      <c r="AA171" t="s">
        <v>4133</v>
      </c>
      <c r="AB171" t="s">
        <v>4138</v>
      </c>
      <c r="AC171" t="s">
        <v>4139</v>
      </c>
      <c r="AD171" t="s">
        <v>4140</v>
      </c>
      <c r="AE171" t="s">
        <v>4141</v>
      </c>
      <c r="AK171" t="s">
        <v>4132</v>
      </c>
    </row>
    <row r="172" spans="1:37" x14ac:dyDescent="0.3">
      <c r="A172" t="s">
        <v>6197</v>
      </c>
      <c r="B172">
        <v>6</v>
      </c>
      <c r="C172" t="s">
        <v>6236</v>
      </c>
      <c r="D172" s="1032">
        <v>44462</v>
      </c>
      <c r="E172" t="s">
        <v>325</v>
      </c>
      <c r="F172" t="s">
        <v>16</v>
      </c>
      <c r="G172" t="s">
        <v>6205</v>
      </c>
      <c r="M172">
        <v>12</v>
      </c>
      <c r="N172">
        <v>0</v>
      </c>
      <c r="O172">
        <v>6</v>
      </c>
      <c r="P172">
        <v>1</v>
      </c>
      <c r="Q172">
        <v>0</v>
      </c>
      <c r="R172">
        <v>1</v>
      </c>
      <c r="S172">
        <v>2</v>
      </c>
      <c r="T172">
        <v>4</v>
      </c>
      <c r="U172">
        <v>5</v>
      </c>
      <c r="V172">
        <v>4752</v>
      </c>
      <c r="W172" t="s">
        <v>6097</v>
      </c>
      <c r="X172" t="s">
        <v>6097</v>
      </c>
      <c r="Y172" t="s">
        <v>6194</v>
      </c>
      <c r="AA172" t="s">
        <v>4134</v>
      </c>
      <c r="AB172" t="s">
        <v>4153</v>
      </c>
      <c r="AC172" t="s">
        <v>4154</v>
      </c>
      <c r="AD172" t="s">
        <v>4155</v>
      </c>
      <c r="AE172" t="s">
        <v>4156</v>
      </c>
      <c r="AJ172" t="s">
        <v>4446</v>
      </c>
      <c r="AK172" t="s">
        <v>4135</v>
      </c>
    </row>
    <row r="173" spans="1:37" x14ac:dyDescent="0.3">
      <c r="A173" t="s">
        <v>6197</v>
      </c>
      <c r="B173">
        <v>7</v>
      </c>
      <c r="C173" t="s">
        <v>6237</v>
      </c>
      <c r="D173" s="1032">
        <v>44465</v>
      </c>
      <c r="E173" t="s">
        <v>331</v>
      </c>
      <c r="F173" t="s">
        <v>17</v>
      </c>
      <c r="G173" t="s">
        <v>6104</v>
      </c>
      <c r="M173">
        <v>14</v>
      </c>
      <c r="N173">
        <v>-3</v>
      </c>
      <c r="O173">
        <v>6</v>
      </c>
      <c r="P173">
        <v>1</v>
      </c>
      <c r="Q173">
        <v>0</v>
      </c>
      <c r="R173">
        <v>0</v>
      </c>
      <c r="S173">
        <v>0</v>
      </c>
      <c r="T173">
        <v>3</v>
      </c>
      <c r="U173">
        <v>1</v>
      </c>
      <c r="V173">
        <v>2626</v>
      </c>
      <c r="W173" t="s">
        <v>6146</v>
      </c>
      <c r="X173" t="s">
        <v>6188</v>
      </c>
      <c r="Y173" t="s">
        <v>6171</v>
      </c>
      <c r="AA173" t="s">
        <v>4144</v>
      </c>
      <c r="AB173" t="s">
        <v>4157</v>
      </c>
      <c r="AC173" t="s">
        <v>4158</v>
      </c>
      <c r="AK173" t="s">
        <v>4143</v>
      </c>
    </row>
    <row r="174" spans="1:37" x14ac:dyDescent="0.3">
      <c r="A174" t="s">
        <v>6197</v>
      </c>
      <c r="B174">
        <v>8</v>
      </c>
      <c r="C174" t="s">
        <v>6238</v>
      </c>
      <c r="D174" s="1032">
        <v>44467</v>
      </c>
      <c r="E174" t="s">
        <v>6086</v>
      </c>
      <c r="F174" t="s">
        <v>16</v>
      </c>
      <c r="G174" t="s">
        <v>161</v>
      </c>
      <c r="M174">
        <v>13</v>
      </c>
      <c r="N174">
        <v>-2</v>
      </c>
      <c r="O174">
        <v>7</v>
      </c>
      <c r="P174">
        <v>0</v>
      </c>
      <c r="Q174">
        <v>0</v>
      </c>
      <c r="R174">
        <v>0</v>
      </c>
      <c r="S174">
        <v>0</v>
      </c>
      <c r="T174">
        <v>4</v>
      </c>
      <c r="U174">
        <v>4</v>
      </c>
      <c r="V174">
        <v>2768</v>
      </c>
      <c r="W174" t="s">
        <v>6120</v>
      </c>
      <c r="X174" t="s">
        <v>6097</v>
      </c>
      <c r="Y174" t="s">
        <v>6188</v>
      </c>
      <c r="Z174" t="s">
        <v>208</v>
      </c>
      <c r="AA174" t="s">
        <v>4145</v>
      </c>
      <c r="AB174" t="s">
        <v>4159</v>
      </c>
      <c r="AC174" t="s">
        <v>4160</v>
      </c>
      <c r="AJ174" t="s">
        <v>4161</v>
      </c>
      <c r="AK174" t="s">
        <v>4146</v>
      </c>
    </row>
    <row r="175" spans="1:37" x14ac:dyDescent="0.3">
      <c r="A175" t="s">
        <v>6197</v>
      </c>
      <c r="B175">
        <v>9</v>
      </c>
      <c r="C175" t="s">
        <v>6239</v>
      </c>
      <c r="D175" s="1032">
        <v>44470</v>
      </c>
      <c r="E175" t="s">
        <v>6179</v>
      </c>
      <c r="F175" t="s">
        <v>17</v>
      </c>
      <c r="G175" t="s">
        <v>6211</v>
      </c>
      <c r="M175">
        <v>13</v>
      </c>
      <c r="N175">
        <v>-5</v>
      </c>
      <c r="O175">
        <v>7</v>
      </c>
      <c r="P175">
        <v>0</v>
      </c>
      <c r="Q175">
        <v>0</v>
      </c>
      <c r="R175">
        <v>0</v>
      </c>
      <c r="S175">
        <v>0</v>
      </c>
      <c r="T175">
        <v>5</v>
      </c>
      <c r="U175">
        <v>1</v>
      </c>
      <c r="V175">
        <v>2580</v>
      </c>
      <c r="W175" t="s">
        <v>6089</v>
      </c>
      <c r="X175" t="s">
        <v>6102</v>
      </c>
      <c r="Y175" t="s">
        <v>6189</v>
      </c>
      <c r="AA175" t="s">
        <v>4149</v>
      </c>
      <c r="AB175" t="s">
        <v>4162</v>
      </c>
      <c r="AC175" t="s">
        <v>4163</v>
      </c>
      <c r="AD175" t="s">
        <v>4164</v>
      </c>
      <c r="AK175" t="s">
        <v>4147</v>
      </c>
    </row>
    <row r="176" spans="1:37" x14ac:dyDescent="0.3">
      <c r="A176" t="s">
        <v>6197</v>
      </c>
      <c r="B176">
        <v>10</v>
      </c>
      <c r="C176" t="s">
        <v>6240</v>
      </c>
      <c r="D176" s="1032">
        <v>44472</v>
      </c>
      <c r="E176" t="s">
        <v>6091</v>
      </c>
      <c r="F176" t="s">
        <v>16</v>
      </c>
      <c r="G176" t="s">
        <v>6110</v>
      </c>
      <c r="M176">
        <v>12</v>
      </c>
      <c r="N176">
        <v>-2</v>
      </c>
      <c r="O176">
        <v>10</v>
      </c>
      <c r="P176">
        <v>0</v>
      </c>
      <c r="Q176">
        <v>0</v>
      </c>
      <c r="R176">
        <v>0</v>
      </c>
      <c r="S176">
        <v>0</v>
      </c>
      <c r="T176">
        <v>1</v>
      </c>
      <c r="U176">
        <v>2</v>
      </c>
      <c r="V176">
        <v>5639</v>
      </c>
      <c r="W176" t="s">
        <v>6120</v>
      </c>
      <c r="X176" t="s">
        <v>6188</v>
      </c>
      <c r="Y176" t="s">
        <v>6089</v>
      </c>
      <c r="AA176" t="s">
        <v>6110</v>
      </c>
      <c r="AB176" t="s">
        <v>4191</v>
      </c>
      <c r="AC176" t="s">
        <v>4192</v>
      </c>
      <c r="AD176" t="s">
        <v>4193</v>
      </c>
      <c r="AK176" t="s">
        <v>4148</v>
      </c>
    </row>
    <row r="177" spans="1:37" x14ac:dyDescent="0.3">
      <c r="A177" t="s">
        <v>6197</v>
      </c>
      <c r="B177">
        <v>11</v>
      </c>
      <c r="C177" t="s">
        <v>6241</v>
      </c>
      <c r="D177" s="1032">
        <v>44477</v>
      </c>
      <c r="E177" t="s">
        <v>328</v>
      </c>
      <c r="F177" t="s">
        <v>16</v>
      </c>
      <c r="G177" t="s">
        <v>6148</v>
      </c>
      <c r="M177">
        <v>12</v>
      </c>
      <c r="N177">
        <v>1</v>
      </c>
      <c r="O177">
        <v>13</v>
      </c>
      <c r="P177">
        <v>0</v>
      </c>
      <c r="Q177">
        <v>0</v>
      </c>
      <c r="R177">
        <v>0</v>
      </c>
      <c r="S177">
        <v>0</v>
      </c>
      <c r="T177">
        <v>3</v>
      </c>
      <c r="U177">
        <v>2</v>
      </c>
      <c r="V177">
        <v>4925</v>
      </c>
      <c r="W177" t="s">
        <v>6120</v>
      </c>
      <c r="X177" t="s">
        <v>6089</v>
      </c>
      <c r="Y177" t="s">
        <v>6187</v>
      </c>
      <c r="AA177" t="s">
        <v>4151</v>
      </c>
      <c r="AB177" t="s">
        <v>4194</v>
      </c>
      <c r="AC177" t="s">
        <v>4195</v>
      </c>
      <c r="AD177" t="s">
        <v>4196</v>
      </c>
      <c r="AE177" t="s">
        <v>4197</v>
      </c>
      <c r="AK177" t="s">
        <v>4152</v>
      </c>
    </row>
    <row r="178" spans="1:37" x14ac:dyDescent="0.3">
      <c r="A178" t="s">
        <v>6197</v>
      </c>
      <c r="B178">
        <v>12</v>
      </c>
      <c r="C178" t="s">
        <v>6242</v>
      </c>
      <c r="D178" s="1032">
        <v>44479</v>
      </c>
      <c r="E178" t="s">
        <v>1274</v>
      </c>
      <c r="F178" t="s">
        <v>17</v>
      </c>
      <c r="G178" t="s">
        <v>6211</v>
      </c>
      <c r="M178">
        <v>12</v>
      </c>
      <c r="N178">
        <v>-2</v>
      </c>
      <c r="O178">
        <v>13</v>
      </c>
      <c r="P178">
        <v>2</v>
      </c>
      <c r="Q178">
        <v>0</v>
      </c>
      <c r="R178">
        <v>0</v>
      </c>
      <c r="S178">
        <v>0</v>
      </c>
      <c r="T178">
        <v>3</v>
      </c>
      <c r="U178">
        <v>3</v>
      </c>
      <c r="V178">
        <v>2663</v>
      </c>
      <c r="W178" t="s">
        <v>6187</v>
      </c>
      <c r="X178" t="s">
        <v>6118</v>
      </c>
      <c r="Y178" t="s">
        <v>6171</v>
      </c>
      <c r="AA178" t="s">
        <v>4166</v>
      </c>
      <c r="AB178" t="s">
        <v>4198</v>
      </c>
      <c r="AC178" t="s">
        <v>4199</v>
      </c>
      <c r="AD178" t="s">
        <v>4200</v>
      </c>
      <c r="AK178" t="s">
        <v>4165</v>
      </c>
    </row>
    <row r="179" spans="1:37" x14ac:dyDescent="0.3">
      <c r="A179" t="s">
        <v>6197</v>
      </c>
      <c r="B179">
        <v>13</v>
      </c>
      <c r="C179" t="s">
        <v>6243</v>
      </c>
      <c r="D179" s="1032">
        <v>44484</v>
      </c>
      <c r="E179" t="s">
        <v>626</v>
      </c>
      <c r="F179" t="s">
        <v>16</v>
      </c>
      <c r="G179" t="s">
        <v>6189</v>
      </c>
      <c r="M179">
        <v>12</v>
      </c>
      <c r="N179">
        <v>-2</v>
      </c>
      <c r="O179">
        <v>13</v>
      </c>
      <c r="P179">
        <v>0</v>
      </c>
      <c r="Q179">
        <v>0</v>
      </c>
      <c r="R179">
        <v>0</v>
      </c>
      <c r="S179">
        <v>0</v>
      </c>
      <c r="T179">
        <v>1</v>
      </c>
      <c r="U179">
        <v>2</v>
      </c>
      <c r="V179">
        <v>4637</v>
      </c>
      <c r="W179" t="s">
        <v>6188</v>
      </c>
      <c r="X179" t="s">
        <v>6188</v>
      </c>
      <c r="Y179" t="s">
        <v>6189</v>
      </c>
      <c r="AA179" t="s">
        <v>6189</v>
      </c>
      <c r="AB179" t="s">
        <v>515</v>
      </c>
      <c r="AK179" t="s">
        <v>4184</v>
      </c>
    </row>
    <row r="180" spans="1:37" x14ac:dyDescent="0.3">
      <c r="A180" t="s">
        <v>6197</v>
      </c>
      <c r="B180">
        <v>14</v>
      </c>
      <c r="C180" t="s">
        <v>6245</v>
      </c>
      <c r="D180" s="1032">
        <v>44486</v>
      </c>
      <c r="E180" t="s">
        <v>6076</v>
      </c>
      <c r="F180" t="s">
        <v>17</v>
      </c>
      <c r="G180" t="s">
        <v>6192</v>
      </c>
      <c r="M180">
        <v>11</v>
      </c>
      <c r="N180">
        <v>-2</v>
      </c>
      <c r="O180">
        <v>16</v>
      </c>
      <c r="P180">
        <v>1</v>
      </c>
      <c r="Q180">
        <v>0</v>
      </c>
      <c r="R180">
        <v>0</v>
      </c>
      <c r="S180">
        <v>2</v>
      </c>
      <c r="T180">
        <v>5</v>
      </c>
      <c r="U180">
        <v>5</v>
      </c>
      <c r="V180">
        <v>2574</v>
      </c>
      <c r="W180" t="s">
        <v>6188</v>
      </c>
      <c r="X180" t="s">
        <v>6187</v>
      </c>
      <c r="Y180" t="s">
        <v>6113</v>
      </c>
      <c r="AA180" t="s">
        <v>4186</v>
      </c>
      <c r="AB180" t="s">
        <v>4187</v>
      </c>
      <c r="AC180" t="s">
        <v>4188</v>
      </c>
      <c r="AD180" t="s">
        <v>4189</v>
      </c>
      <c r="AE180" t="s">
        <v>4190</v>
      </c>
      <c r="AK180" t="s">
        <v>4185</v>
      </c>
    </row>
    <row r="181" spans="1:37" x14ac:dyDescent="0.3">
      <c r="A181" t="s">
        <v>6197</v>
      </c>
      <c r="B181">
        <v>15</v>
      </c>
      <c r="C181" t="s">
        <v>6244</v>
      </c>
      <c r="D181" s="1032">
        <v>44491</v>
      </c>
      <c r="E181" t="s">
        <v>326</v>
      </c>
      <c r="F181" t="s">
        <v>17</v>
      </c>
      <c r="G181" t="s">
        <v>6118</v>
      </c>
      <c r="M181">
        <v>11</v>
      </c>
      <c r="N181">
        <v>-2</v>
      </c>
      <c r="O181">
        <v>19</v>
      </c>
      <c r="P181">
        <v>0</v>
      </c>
      <c r="Q181">
        <v>0</v>
      </c>
      <c r="R181">
        <v>0</v>
      </c>
      <c r="S181">
        <v>1</v>
      </c>
      <c r="T181">
        <v>2</v>
      </c>
      <c r="U181">
        <v>4</v>
      </c>
      <c r="V181">
        <v>2544</v>
      </c>
      <c r="W181" t="s">
        <v>6188</v>
      </c>
      <c r="X181" t="s">
        <v>6120</v>
      </c>
      <c r="Y181" t="s">
        <v>6187</v>
      </c>
      <c r="AA181" t="s">
        <v>3496</v>
      </c>
      <c r="AB181" t="s">
        <v>4213</v>
      </c>
      <c r="AC181" t="s">
        <v>4214</v>
      </c>
      <c r="AK181" t="s">
        <v>4201</v>
      </c>
    </row>
    <row r="182" spans="1:37" x14ac:dyDescent="0.3">
      <c r="A182" t="s">
        <v>6197</v>
      </c>
      <c r="B182">
        <v>16</v>
      </c>
      <c r="C182" t="s">
        <v>6247</v>
      </c>
      <c r="D182" s="1032">
        <v>44493</v>
      </c>
      <c r="E182" t="s">
        <v>610</v>
      </c>
      <c r="F182" t="s">
        <v>16</v>
      </c>
      <c r="G182" t="s">
        <v>6079</v>
      </c>
      <c r="M182">
        <v>13</v>
      </c>
      <c r="N182">
        <v>-2</v>
      </c>
      <c r="O182">
        <v>19</v>
      </c>
      <c r="P182">
        <v>0</v>
      </c>
      <c r="Q182">
        <v>0</v>
      </c>
      <c r="R182">
        <v>0</v>
      </c>
      <c r="S182">
        <v>1</v>
      </c>
      <c r="T182">
        <v>3</v>
      </c>
      <c r="U182">
        <v>6</v>
      </c>
      <c r="V182">
        <v>5151</v>
      </c>
      <c r="W182" t="s">
        <v>6171</v>
      </c>
      <c r="X182" t="s">
        <v>6189</v>
      </c>
      <c r="Y182" t="s">
        <v>6188</v>
      </c>
      <c r="AA182" t="s">
        <v>6079</v>
      </c>
      <c r="AB182" t="s">
        <v>515</v>
      </c>
      <c r="AK182" t="s">
        <v>4202</v>
      </c>
    </row>
    <row r="183" spans="1:37" x14ac:dyDescent="0.3">
      <c r="A183" t="s">
        <v>6197</v>
      </c>
      <c r="B183">
        <v>17</v>
      </c>
      <c r="C183" t="s">
        <v>6248</v>
      </c>
      <c r="D183" s="1032">
        <v>44495</v>
      </c>
      <c r="E183" t="s">
        <v>334</v>
      </c>
      <c r="F183" t="s">
        <v>17</v>
      </c>
      <c r="G183" t="s">
        <v>6104</v>
      </c>
      <c r="M183">
        <v>13</v>
      </c>
      <c r="N183">
        <v>-5</v>
      </c>
      <c r="O183">
        <v>19</v>
      </c>
      <c r="P183">
        <v>0</v>
      </c>
      <c r="Q183">
        <v>0</v>
      </c>
      <c r="R183">
        <v>0</v>
      </c>
      <c r="S183">
        <v>2</v>
      </c>
      <c r="T183">
        <v>4</v>
      </c>
      <c r="U183">
        <v>3</v>
      </c>
      <c r="V183">
        <v>2345</v>
      </c>
      <c r="W183" t="s">
        <v>6187</v>
      </c>
      <c r="X183" t="s">
        <v>6097</v>
      </c>
      <c r="Y183" t="s">
        <v>6171</v>
      </c>
      <c r="AA183" t="s">
        <v>4206</v>
      </c>
      <c r="AB183" t="s">
        <v>4215</v>
      </c>
      <c r="AC183" t="s">
        <v>4216</v>
      </c>
      <c r="AK183" t="s">
        <v>4203</v>
      </c>
    </row>
    <row r="184" spans="1:37" x14ac:dyDescent="0.3">
      <c r="A184" t="s">
        <v>6197</v>
      </c>
      <c r="B184">
        <v>18</v>
      </c>
      <c r="C184" t="s">
        <v>6250</v>
      </c>
      <c r="D184" s="1032">
        <v>44500</v>
      </c>
      <c r="E184" t="s">
        <v>332</v>
      </c>
      <c r="F184" t="s">
        <v>17</v>
      </c>
      <c r="G184" t="s">
        <v>6192</v>
      </c>
      <c r="M184">
        <v>12</v>
      </c>
      <c r="N184">
        <v>-5</v>
      </c>
      <c r="O184">
        <v>22</v>
      </c>
      <c r="P184">
        <v>1</v>
      </c>
      <c r="Q184">
        <v>0</v>
      </c>
      <c r="R184">
        <v>0</v>
      </c>
      <c r="S184">
        <v>0</v>
      </c>
      <c r="T184">
        <v>3</v>
      </c>
      <c r="U184">
        <v>2</v>
      </c>
      <c r="V184">
        <v>3570</v>
      </c>
      <c r="W184" t="s">
        <v>6100</v>
      </c>
      <c r="X184" t="s">
        <v>6171</v>
      </c>
      <c r="Y184" t="s">
        <v>6120</v>
      </c>
      <c r="AA184" t="s">
        <v>4207</v>
      </c>
      <c r="AB184" t="s">
        <v>4217</v>
      </c>
      <c r="AC184" t="s">
        <v>4218</v>
      </c>
      <c r="AD184" t="s">
        <v>4219</v>
      </c>
      <c r="AE184" t="s">
        <v>4220</v>
      </c>
      <c r="AJ184" t="s">
        <v>4208</v>
      </c>
      <c r="AK184" t="s">
        <v>4204</v>
      </c>
    </row>
    <row r="185" spans="1:37" x14ac:dyDescent="0.3">
      <c r="A185" t="s">
        <v>6197</v>
      </c>
      <c r="B185">
        <v>19</v>
      </c>
      <c r="C185" t="s">
        <v>6251</v>
      </c>
      <c r="D185" s="1032">
        <v>44502</v>
      </c>
      <c r="E185" t="s">
        <v>327</v>
      </c>
      <c r="F185" t="s">
        <v>16</v>
      </c>
      <c r="G185" t="s">
        <v>6082</v>
      </c>
      <c r="M185">
        <v>12</v>
      </c>
      <c r="N185">
        <v>-5</v>
      </c>
      <c r="O185">
        <v>22</v>
      </c>
      <c r="P185">
        <v>1</v>
      </c>
      <c r="Q185">
        <v>0</v>
      </c>
      <c r="R185">
        <v>0</v>
      </c>
      <c r="S185">
        <v>0</v>
      </c>
      <c r="T185">
        <v>1</v>
      </c>
      <c r="U185">
        <v>1</v>
      </c>
      <c r="V185">
        <v>7045</v>
      </c>
      <c r="W185" t="s">
        <v>6187</v>
      </c>
      <c r="X185" t="s">
        <v>6102</v>
      </c>
      <c r="Y185" t="s">
        <v>6188</v>
      </c>
      <c r="AA185" t="s">
        <v>4209</v>
      </c>
      <c r="AB185" t="s">
        <v>4386</v>
      </c>
      <c r="AC185" t="s">
        <v>4387</v>
      </c>
      <c r="AK185" t="s">
        <v>4211</v>
      </c>
    </row>
    <row r="186" spans="1:37" x14ac:dyDescent="0.3">
      <c r="A186" t="s">
        <v>6197</v>
      </c>
      <c r="B186">
        <v>20</v>
      </c>
      <c r="C186" t="s">
        <v>6252</v>
      </c>
      <c r="D186" s="1032">
        <v>44504</v>
      </c>
      <c r="E186" t="s">
        <v>325</v>
      </c>
      <c r="F186" t="s">
        <v>17</v>
      </c>
      <c r="G186" t="s">
        <v>6113</v>
      </c>
      <c r="M186">
        <v>12</v>
      </c>
      <c r="N186">
        <v>-5</v>
      </c>
      <c r="O186">
        <v>25</v>
      </c>
      <c r="P186">
        <v>1</v>
      </c>
      <c r="Q186">
        <v>0</v>
      </c>
      <c r="R186">
        <v>0</v>
      </c>
      <c r="S186">
        <v>1</v>
      </c>
      <c r="T186">
        <v>7</v>
      </c>
      <c r="U186">
        <v>5</v>
      </c>
      <c r="V186">
        <v>2630</v>
      </c>
      <c r="W186" t="s">
        <v>6089</v>
      </c>
      <c r="X186" t="s">
        <v>6187</v>
      </c>
      <c r="Y186" t="s">
        <v>6189</v>
      </c>
      <c r="AA186" t="s">
        <v>4210</v>
      </c>
      <c r="AB186" t="s">
        <v>4388</v>
      </c>
      <c r="AC186" t="s">
        <v>4389</v>
      </c>
      <c r="AD186" t="s">
        <v>4390</v>
      </c>
      <c r="AK186" t="s">
        <v>4212</v>
      </c>
    </row>
    <row r="187" spans="1:37" x14ac:dyDescent="0.3">
      <c r="A187" t="s">
        <v>6197</v>
      </c>
      <c r="B187">
        <v>21</v>
      </c>
      <c r="C187" t="s">
        <v>6253</v>
      </c>
      <c r="D187" s="1032">
        <v>44507</v>
      </c>
      <c r="E187" t="s">
        <v>331</v>
      </c>
      <c r="F187" t="s">
        <v>16</v>
      </c>
      <c r="G187" t="s">
        <v>6192</v>
      </c>
      <c r="M187">
        <v>10</v>
      </c>
      <c r="N187">
        <v>-2</v>
      </c>
      <c r="O187">
        <v>28</v>
      </c>
      <c r="P187">
        <v>0</v>
      </c>
      <c r="Q187">
        <v>0</v>
      </c>
      <c r="R187">
        <v>0</v>
      </c>
      <c r="S187">
        <v>0</v>
      </c>
      <c r="T187">
        <v>2</v>
      </c>
      <c r="U187">
        <v>4</v>
      </c>
      <c r="V187">
        <v>3335</v>
      </c>
      <c r="W187" t="s">
        <v>6120</v>
      </c>
      <c r="X187" t="s">
        <v>6110</v>
      </c>
      <c r="Y187" t="s">
        <v>6079</v>
      </c>
      <c r="AA187" t="s">
        <v>3313</v>
      </c>
      <c r="AB187" t="s">
        <v>4391</v>
      </c>
      <c r="AC187" t="s">
        <v>4392</v>
      </c>
      <c r="AD187" t="s">
        <v>4393</v>
      </c>
      <c r="AE187" t="s">
        <v>4394</v>
      </c>
      <c r="AK187" t="s">
        <v>4221</v>
      </c>
    </row>
    <row r="188" spans="1:37" x14ac:dyDescent="0.3">
      <c r="A188" t="s">
        <v>6197</v>
      </c>
      <c r="B188">
        <v>22</v>
      </c>
      <c r="C188" t="s">
        <v>6254</v>
      </c>
      <c r="D188" s="1032">
        <v>44519</v>
      </c>
      <c r="E188" t="s">
        <v>6086</v>
      </c>
      <c r="F188" t="s">
        <v>17</v>
      </c>
      <c r="G188" t="s">
        <v>6175</v>
      </c>
      <c r="M188">
        <v>9</v>
      </c>
      <c r="N188">
        <v>-2</v>
      </c>
      <c r="O188">
        <v>31</v>
      </c>
      <c r="P188">
        <v>4</v>
      </c>
      <c r="Q188">
        <v>0</v>
      </c>
      <c r="R188">
        <v>0</v>
      </c>
      <c r="S188">
        <v>0</v>
      </c>
      <c r="T188">
        <v>8</v>
      </c>
      <c r="U188">
        <v>3</v>
      </c>
      <c r="V188">
        <v>4038</v>
      </c>
      <c r="W188" t="s">
        <v>6089</v>
      </c>
      <c r="X188" t="s">
        <v>6110</v>
      </c>
      <c r="Y188" t="s">
        <v>6188</v>
      </c>
      <c r="AA188" t="s">
        <v>6175</v>
      </c>
      <c r="AB188" t="s">
        <v>4420</v>
      </c>
      <c r="AC188" t="s">
        <v>4421</v>
      </c>
      <c r="AD188" t="s">
        <v>4422</v>
      </c>
      <c r="AE188" t="s">
        <v>4423</v>
      </c>
      <c r="AF188" t="s">
        <v>4424</v>
      </c>
      <c r="AK188" t="s">
        <v>4399</v>
      </c>
    </row>
    <row r="189" spans="1:37" x14ac:dyDescent="0.3">
      <c r="A189" t="s">
        <v>6197</v>
      </c>
      <c r="B189">
        <v>23</v>
      </c>
      <c r="C189" t="s">
        <v>6255</v>
      </c>
      <c r="D189" s="1032">
        <v>44521</v>
      </c>
      <c r="E189" t="s">
        <v>6179</v>
      </c>
      <c r="F189" t="s">
        <v>16</v>
      </c>
      <c r="G189" t="s">
        <v>6082</v>
      </c>
      <c r="M189">
        <v>10</v>
      </c>
      <c r="N189">
        <v>-2</v>
      </c>
      <c r="O189">
        <v>31</v>
      </c>
      <c r="P189">
        <v>0</v>
      </c>
      <c r="Q189">
        <v>0</v>
      </c>
      <c r="R189">
        <v>0</v>
      </c>
      <c r="S189">
        <v>0</v>
      </c>
      <c r="T189">
        <v>0</v>
      </c>
      <c r="U189">
        <v>2</v>
      </c>
      <c r="V189">
        <v>5767</v>
      </c>
      <c r="W189" t="s">
        <v>6120</v>
      </c>
      <c r="X189" t="s">
        <v>6171</v>
      </c>
      <c r="Y189" t="s">
        <v>6097</v>
      </c>
      <c r="AA189" t="s">
        <v>4401</v>
      </c>
      <c r="AB189" t="s">
        <v>4425</v>
      </c>
      <c r="AC189" t="s">
        <v>4426</v>
      </c>
      <c r="AK189" t="s">
        <v>4400</v>
      </c>
    </row>
    <row r="190" spans="1:37" x14ac:dyDescent="0.3">
      <c r="A190" t="s">
        <v>6197</v>
      </c>
      <c r="B190">
        <v>24</v>
      </c>
      <c r="C190" t="s">
        <v>6256</v>
      </c>
      <c r="D190" s="1032">
        <v>44526</v>
      </c>
      <c r="E190" t="s">
        <v>6091</v>
      </c>
      <c r="F190" t="s">
        <v>17</v>
      </c>
      <c r="G190" t="s">
        <v>6113</v>
      </c>
      <c r="M190">
        <v>11</v>
      </c>
      <c r="N190">
        <v>-2</v>
      </c>
      <c r="O190">
        <v>34</v>
      </c>
      <c r="P190">
        <v>1</v>
      </c>
      <c r="Q190">
        <v>1</v>
      </c>
      <c r="R190">
        <v>0</v>
      </c>
      <c r="S190">
        <v>0</v>
      </c>
      <c r="T190">
        <v>3</v>
      </c>
      <c r="U190">
        <v>3</v>
      </c>
      <c r="V190">
        <v>1000</v>
      </c>
      <c r="W190" t="s">
        <v>6187</v>
      </c>
      <c r="X190" t="s">
        <v>6120</v>
      </c>
      <c r="Y190" t="s">
        <v>6187</v>
      </c>
      <c r="AA190" t="s">
        <v>3815</v>
      </c>
      <c r="AB190" t="s">
        <v>4427</v>
      </c>
      <c r="AC190" t="s">
        <v>4428</v>
      </c>
      <c r="AD190" t="s">
        <v>4429</v>
      </c>
      <c r="AK190" t="s">
        <v>4403</v>
      </c>
    </row>
    <row r="191" spans="1:37" x14ac:dyDescent="0.3">
      <c r="A191" t="s">
        <v>6197</v>
      </c>
      <c r="B191">
        <v>25</v>
      </c>
      <c r="C191" t="s">
        <v>6257</v>
      </c>
      <c r="D191" s="1032">
        <v>44528</v>
      </c>
      <c r="E191" t="s">
        <v>328</v>
      </c>
      <c r="F191" t="s">
        <v>17</v>
      </c>
      <c r="G191" t="s">
        <v>354</v>
      </c>
      <c r="M191">
        <v>10</v>
      </c>
      <c r="N191">
        <v>-4</v>
      </c>
      <c r="O191">
        <v>35</v>
      </c>
      <c r="P191">
        <v>0</v>
      </c>
      <c r="Q191">
        <v>0</v>
      </c>
      <c r="R191">
        <v>0</v>
      </c>
      <c r="S191">
        <v>0</v>
      </c>
      <c r="T191">
        <v>6</v>
      </c>
      <c r="U191">
        <v>0</v>
      </c>
      <c r="V191">
        <v>1000</v>
      </c>
      <c r="W191" t="s">
        <v>6120</v>
      </c>
      <c r="X191" t="s">
        <v>6194</v>
      </c>
      <c r="Y191" t="s">
        <v>6189</v>
      </c>
      <c r="Z191" t="s">
        <v>208</v>
      </c>
      <c r="AA191" t="s">
        <v>4404</v>
      </c>
      <c r="AB191" t="s">
        <v>4430</v>
      </c>
      <c r="AC191" t="s">
        <v>4431</v>
      </c>
      <c r="AD191" t="s">
        <v>4432</v>
      </c>
      <c r="AJ191" t="s">
        <v>4554</v>
      </c>
      <c r="AK191" t="s">
        <v>4405</v>
      </c>
    </row>
    <row r="192" spans="1:37" x14ac:dyDescent="0.3">
      <c r="A192" t="s">
        <v>6197</v>
      </c>
      <c r="B192">
        <v>26</v>
      </c>
      <c r="C192" t="s">
        <v>6258</v>
      </c>
      <c r="D192" s="1032">
        <v>44530</v>
      </c>
      <c r="E192" t="s">
        <v>1274</v>
      </c>
      <c r="F192" t="s">
        <v>16</v>
      </c>
      <c r="G192" t="s">
        <v>6146</v>
      </c>
      <c r="M192">
        <v>11</v>
      </c>
      <c r="N192">
        <v>-4</v>
      </c>
      <c r="O192">
        <v>35</v>
      </c>
      <c r="P192">
        <v>0</v>
      </c>
      <c r="Q192">
        <v>0</v>
      </c>
      <c r="R192">
        <v>0</v>
      </c>
      <c r="S192">
        <v>0</v>
      </c>
      <c r="T192">
        <v>1</v>
      </c>
      <c r="U192">
        <v>2</v>
      </c>
      <c r="V192">
        <v>955</v>
      </c>
      <c r="W192" t="s">
        <v>6120</v>
      </c>
      <c r="X192" t="s">
        <v>6102</v>
      </c>
      <c r="Y192" t="s">
        <v>6188</v>
      </c>
      <c r="AA192" t="s">
        <v>4408</v>
      </c>
      <c r="AB192" t="s">
        <v>4433</v>
      </c>
      <c r="AC192" t="s">
        <v>4434</v>
      </c>
      <c r="AJ192" t="s">
        <v>4407</v>
      </c>
      <c r="AK192" t="s">
        <v>4406</v>
      </c>
    </row>
    <row r="193" spans="1:37" x14ac:dyDescent="0.3">
      <c r="A193" t="s">
        <v>6197</v>
      </c>
      <c r="B193">
        <v>27</v>
      </c>
      <c r="C193" t="s">
        <v>6259</v>
      </c>
      <c r="D193" s="1032">
        <v>44533</v>
      </c>
      <c r="E193" t="s">
        <v>626</v>
      </c>
      <c r="F193" t="s">
        <v>17</v>
      </c>
      <c r="G193" t="s">
        <v>6211</v>
      </c>
      <c r="M193">
        <v>12</v>
      </c>
      <c r="N193">
        <v>-7</v>
      </c>
      <c r="O193">
        <v>35</v>
      </c>
      <c r="P193">
        <v>1</v>
      </c>
      <c r="Q193">
        <v>0</v>
      </c>
      <c r="R193">
        <v>0</v>
      </c>
      <c r="S193">
        <v>2</v>
      </c>
      <c r="T193">
        <v>4</v>
      </c>
      <c r="U193">
        <v>4</v>
      </c>
      <c r="V193">
        <v>1000</v>
      </c>
      <c r="W193" t="s">
        <v>6189</v>
      </c>
      <c r="X193" t="s">
        <v>6194</v>
      </c>
      <c r="Y193" t="s">
        <v>6187</v>
      </c>
      <c r="AA193" t="s">
        <v>4415</v>
      </c>
      <c r="AB193" t="s">
        <v>4435</v>
      </c>
      <c r="AC193" t="s">
        <v>4436</v>
      </c>
      <c r="AD193" t="s">
        <v>4437</v>
      </c>
      <c r="AK193" t="s">
        <v>4414</v>
      </c>
    </row>
    <row r="194" spans="1:37" x14ac:dyDescent="0.3">
      <c r="A194" t="s">
        <v>6197</v>
      </c>
      <c r="B194">
        <v>28</v>
      </c>
      <c r="C194" t="s">
        <v>6260</v>
      </c>
      <c r="D194" s="1032">
        <v>44535</v>
      </c>
      <c r="E194" t="s">
        <v>6076</v>
      </c>
      <c r="F194" t="s">
        <v>16</v>
      </c>
      <c r="G194" t="s">
        <v>6113</v>
      </c>
      <c r="M194">
        <v>11</v>
      </c>
      <c r="N194">
        <v>-4</v>
      </c>
      <c r="O194">
        <v>38</v>
      </c>
      <c r="P194">
        <v>0</v>
      </c>
      <c r="Q194">
        <v>0</v>
      </c>
      <c r="R194">
        <v>0</v>
      </c>
      <c r="S194">
        <v>0</v>
      </c>
      <c r="T194">
        <v>2</v>
      </c>
      <c r="U194">
        <v>7</v>
      </c>
      <c r="V194">
        <v>1000</v>
      </c>
      <c r="W194" t="s">
        <v>6118</v>
      </c>
      <c r="X194" t="s">
        <v>6188</v>
      </c>
      <c r="Y194" t="s">
        <v>6187</v>
      </c>
      <c r="AA194" t="s">
        <v>4210</v>
      </c>
      <c r="AB194" t="s">
        <v>4438</v>
      </c>
      <c r="AC194" t="s">
        <v>4439</v>
      </c>
      <c r="AD194" t="s">
        <v>4440</v>
      </c>
      <c r="AK194" t="s">
        <v>4417</v>
      </c>
    </row>
    <row r="195" spans="1:37" x14ac:dyDescent="0.3">
      <c r="A195" t="s">
        <v>6197</v>
      </c>
      <c r="B195">
        <v>29</v>
      </c>
      <c r="C195" t="s">
        <v>6261</v>
      </c>
      <c r="D195" s="1032">
        <v>44540</v>
      </c>
      <c r="E195" t="s">
        <v>326</v>
      </c>
      <c r="F195" t="s">
        <v>16</v>
      </c>
      <c r="G195" t="s">
        <v>6128</v>
      </c>
      <c r="M195">
        <v>12</v>
      </c>
      <c r="N195">
        <v>-4</v>
      </c>
      <c r="O195">
        <v>38</v>
      </c>
      <c r="P195">
        <v>0</v>
      </c>
      <c r="Q195">
        <v>0</v>
      </c>
      <c r="R195">
        <v>0</v>
      </c>
      <c r="S195">
        <v>1</v>
      </c>
      <c r="T195">
        <v>0</v>
      </c>
      <c r="U195">
        <v>2</v>
      </c>
      <c r="V195">
        <v>1000</v>
      </c>
      <c r="W195" t="s">
        <v>6171</v>
      </c>
      <c r="X195" t="s">
        <v>6120</v>
      </c>
      <c r="Y195" t="s">
        <v>6171</v>
      </c>
      <c r="AA195" t="s">
        <v>4444</v>
      </c>
      <c r="AB195" t="s">
        <v>4443</v>
      </c>
      <c r="AK195" t="s">
        <v>4442</v>
      </c>
    </row>
    <row r="196" spans="1:37" x14ac:dyDescent="0.3">
      <c r="A196" t="s">
        <v>6197</v>
      </c>
      <c r="B196">
        <v>30</v>
      </c>
      <c r="C196" t="s">
        <v>6262</v>
      </c>
      <c r="D196" s="1032">
        <v>44542</v>
      </c>
      <c r="E196" t="s">
        <v>610</v>
      </c>
      <c r="F196" t="s">
        <v>17</v>
      </c>
      <c r="G196" t="s">
        <v>6089</v>
      </c>
      <c r="M196">
        <v>11</v>
      </c>
      <c r="N196">
        <v>-4</v>
      </c>
      <c r="O196">
        <v>41</v>
      </c>
      <c r="P196">
        <v>0</v>
      </c>
      <c r="Q196">
        <v>1</v>
      </c>
      <c r="R196">
        <v>0</v>
      </c>
      <c r="S196">
        <v>0</v>
      </c>
      <c r="T196">
        <v>5</v>
      </c>
      <c r="U196">
        <v>4</v>
      </c>
      <c r="V196">
        <v>1000</v>
      </c>
      <c r="W196" t="s">
        <v>6120</v>
      </c>
      <c r="X196" t="s">
        <v>6188</v>
      </c>
      <c r="Y196" t="s">
        <v>6120</v>
      </c>
      <c r="AA196" t="s">
        <v>6089</v>
      </c>
      <c r="AB196" t="s">
        <v>4460</v>
      </c>
      <c r="AC196" t="s">
        <v>4461</v>
      </c>
      <c r="AJ196" t="s">
        <v>4445</v>
      </c>
      <c r="AK196" t="s">
        <v>4441</v>
      </c>
    </row>
    <row r="197" spans="1:37" x14ac:dyDescent="0.3">
      <c r="A197" t="s">
        <v>6197</v>
      </c>
      <c r="B197">
        <v>31</v>
      </c>
      <c r="C197" t="s">
        <v>6263</v>
      </c>
      <c r="D197" s="1032">
        <v>44551</v>
      </c>
      <c r="E197" t="s">
        <v>334</v>
      </c>
      <c r="F197" t="s">
        <v>16</v>
      </c>
      <c r="G197" t="s">
        <v>6102</v>
      </c>
      <c r="M197">
        <v>12</v>
      </c>
      <c r="N197">
        <v>-4</v>
      </c>
      <c r="O197">
        <v>41</v>
      </c>
      <c r="P197">
        <v>0</v>
      </c>
      <c r="Q197">
        <v>0</v>
      </c>
      <c r="R197">
        <v>0</v>
      </c>
      <c r="S197">
        <v>1</v>
      </c>
      <c r="T197">
        <v>3</v>
      </c>
      <c r="U197">
        <v>4</v>
      </c>
      <c r="V197">
        <v>1000</v>
      </c>
      <c r="W197" t="s">
        <v>6120</v>
      </c>
      <c r="X197" t="s">
        <v>6189</v>
      </c>
      <c r="Y197" t="s">
        <v>6171</v>
      </c>
      <c r="AA197" t="s">
        <v>3601</v>
      </c>
      <c r="AB197" t="s">
        <v>4462</v>
      </c>
      <c r="AK197" t="s">
        <v>4447</v>
      </c>
    </row>
    <row r="198" spans="1:37" x14ac:dyDescent="0.3">
      <c r="A198" t="s">
        <v>6197</v>
      </c>
      <c r="B198">
        <v>32</v>
      </c>
      <c r="C198" t="s">
        <v>6265</v>
      </c>
      <c r="D198" s="1032">
        <v>44556</v>
      </c>
      <c r="E198" t="s">
        <v>332</v>
      </c>
      <c r="F198" t="s">
        <v>16</v>
      </c>
      <c r="G198" t="s">
        <v>171</v>
      </c>
      <c r="M198">
        <v>12</v>
      </c>
      <c r="N198">
        <v>-3</v>
      </c>
      <c r="O198">
        <v>42</v>
      </c>
      <c r="P198">
        <v>1</v>
      </c>
      <c r="Q198">
        <v>0</v>
      </c>
      <c r="R198">
        <v>0</v>
      </c>
      <c r="S198">
        <v>1</v>
      </c>
      <c r="T198">
        <v>6</v>
      </c>
      <c r="U198">
        <v>5</v>
      </c>
      <c r="V198">
        <v>1000</v>
      </c>
      <c r="W198" t="s">
        <v>6188</v>
      </c>
      <c r="X198" t="s">
        <v>6187</v>
      </c>
      <c r="Y198" t="s">
        <v>6187</v>
      </c>
      <c r="Z198" t="s">
        <v>3213</v>
      </c>
      <c r="AA198" t="s">
        <v>4448</v>
      </c>
      <c r="AB198" t="s">
        <v>4463</v>
      </c>
      <c r="AC198" t="s">
        <v>4464</v>
      </c>
      <c r="AK198" t="s">
        <v>4451</v>
      </c>
    </row>
    <row r="199" spans="1:37" x14ac:dyDescent="0.3">
      <c r="A199" t="s">
        <v>6197</v>
      </c>
      <c r="B199">
        <v>33</v>
      </c>
      <c r="C199" t="s">
        <v>6266</v>
      </c>
      <c r="D199" s="1032">
        <v>44558</v>
      </c>
      <c r="E199" t="s">
        <v>327</v>
      </c>
      <c r="F199" t="s">
        <v>17</v>
      </c>
      <c r="G199" t="s">
        <v>6084</v>
      </c>
      <c r="M199">
        <v>12</v>
      </c>
      <c r="N199">
        <v>-6</v>
      </c>
      <c r="O199">
        <v>42</v>
      </c>
      <c r="P199">
        <v>1</v>
      </c>
      <c r="Q199">
        <v>0</v>
      </c>
      <c r="R199">
        <v>0</v>
      </c>
      <c r="S199">
        <v>2</v>
      </c>
      <c r="T199">
        <v>3</v>
      </c>
      <c r="U199">
        <v>5</v>
      </c>
      <c r="V199">
        <v>1000</v>
      </c>
      <c r="W199" t="s">
        <v>6171</v>
      </c>
      <c r="X199" t="s">
        <v>6188</v>
      </c>
      <c r="Y199" t="s">
        <v>6102</v>
      </c>
      <c r="AA199" t="s">
        <v>4449</v>
      </c>
      <c r="AB199" t="s">
        <v>4465</v>
      </c>
      <c r="AK199" t="s">
        <v>4451</v>
      </c>
    </row>
    <row r="200" spans="1:37" x14ac:dyDescent="0.3">
      <c r="A200" t="s">
        <v>6197</v>
      </c>
      <c r="B200">
        <v>34</v>
      </c>
      <c r="C200" t="s">
        <v>6277</v>
      </c>
      <c r="D200" s="1032">
        <v>44560</v>
      </c>
      <c r="E200" t="s">
        <v>610</v>
      </c>
      <c r="F200" t="s">
        <v>16</v>
      </c>
      <c r="G200" t="s">
        <v>6113</v>
      </c>
      <c r="M200">
        <v>12</v>
      </c>
      <c r="N200">
        <v>-3</v>
      </c>
      <c r="O200">
        <v>45</v>
      </c>
      <c r="P200">
        <v>2</v>
      </c>
      <c r="Q200">
        <v>0</v>
      </c>
      <c r="R200">
        <v>0</v>
      </c>
      <c r="S200">
        <v>1</v>
      </c>
      <c r="T200">
        <v>4</v>
      </c>
      <c r="U200">
        <v>7</v>
      </c>
      <c r="V200">
        <v>1000</v>
      </c>
      <c r="W200" t="s">
        <v>6089</v>
      </c>
      <c r="X200" t="s">
        <v>6097</v>
      </c>
      <c r="Y200" t="s">
        <v>6188</v>
      </c>
      <c r="AA200" t="s">
        <v>4210</v>
      </c>
      <c r="AB200" t="s">
        <v>4466</v>
      </c>
      <c r="AC200" t="s">
        <v>4467</v>
      </c>
      <c r="AD200" t="s">
        <v>4468</v>
      </c>
      <c r="AK200" t="s">
        <v>4452</v>
      </c>
    </row>
    <row r="201" spans="1:37" x14ac:dyDescent="0.3">
      <c r="A201" t="s">
        <v>6197</v>
      </c>
      <c r="B201">
        <v>35</v>
      </c>
      <c r="C201" t="s">
        <v>6268</v>
      </c>
      <c r="D201" s="1032">
        <v>44565</v>
      </c>
      <c r="E201" t="s">
        <v>331</v>
      </c>
      <c r="F201" t="s">
        <v>17</v>
      </c>
      <c r="G201" t="s">
        <v>164</v>
      </c>
      <c r="M201">
        <v>12</v>
      </c>
      <c r="N201">
        <v>-4</v>
      </c>
      <c r="O201">
        <v>47</v>
      </c>
      <c r="P201">
        <v>1</v>
      </c>
      <c r="Q201">
        <v>0</v>
      </c>
      <c r="R201">
        <v>0</v>
      </c>
      <c r="S201">
        <v>0</v>
      </c>
      <c r="T201">
        <v>5</v>
      </c>
      <c r="U201">
        <v>3</v>
      </c>
      <c r="V201">
        <v>1000</v>
      </c>
      <c r="W201" t="s">
        <v>6187</v>
      </c>
      <c r="X201" t="s">
        <v>6097</v>
      </c>
      <c r="Y201" t="s">
        <v>6120</v>
      </c>
      <c r="Z201" t="s">
        <v>756</v>
      </c>
      <c r="AA201" t="s">
        <v>4450</v>
      </c>
      <c r="AB201" t="s">
        <v>4469</v>
      </c>
      <c r="AC201" t="s">
        <v>4470</v>
      </c>
      <c r="AD201" t="s">
        <v>4471</v>
      </c>
      <c r="AE201" t="s">
        <v>4472</v>
      </c>
      <c r="AK201" t="s">
        <v>4453</v>
      </c>
    </row>
    <row r="202" spans="1:37" x14ac:dyDescent="0.3">
      <c r="A202" t="s">
        <v>6197</v>
      </c>
      <c r="B202">
        <v>36</v>
      </c>
      <c r="C202" t="s">
        <v>6269</v>
      </c>
      <c r="D202" s="1032">
        <v>44568</v>
      </c>
      <c r="E202" t="s">
        <v>6086</v>
      </c>
      <c r="F202" t="s">
        <v>16</v>
      </c>
      <c r="G202" t="s">
        <v>6211</v>
      </c>
      <c r="M202">
        <v>12</v>
      </c>
      <c r="N202">
        <v>-4</v>
      </c>
      <c r="O202">
        <v>47</v>
      </c>
      <c r="P202">
        <v>0</v>
      </c>
      <c r="Q202">
        <v>2</v>
      </c>
      <c r="R202">
        <v>0</v>
      </c>
      <c r="S202">
        <v>0</v>
      </c>
      <c r="T202">
        <v>2</v>
      </c>
      <c r="U202">
        <v>5</v>
      </c>
      <c r="V202">
        <v>1000</v>
      </c>
      <c r="W202" t="s">
        <v>6120</v>
      </c>
      <c r="X202" t="s">
        <v>6102</v>
      </c>
      <c r="Y202" t="s">
        <v>6187</v>
      </c>
      <c r="AA202" t="s">
        <v>4454</v>
      </c>
      <c r="AB202" t="s">
        <v>4473</v>
      </c>
      <c r="AC202" t="s">
        <v>4474</v>
      </c>
      <c r="AD202" t="s">
        <v>4475</v>
      </c>
      <c r="AK202" t="s">
        <v>4455</v>
      </c>
    </row>
    <row r="203" spans="1:37" x14ac:dyDescent="0.3">
      <c r="A203" t="s">
        <v>6197</v>
      </c>
      <c r="B203">
        <v>37</v>
      </c>
      <c r="C203" t="s">
        <v>6270</v>
      </c>
      <c r="D203" s="1032">
        <v>44570</v>
      </c>
      <c r="E203" t="s">
        <v>6179</v>
      </c>
      <c r="F203" t="s">
        <v>17</v>
      </c>
      <c r="G203" t="s">
        <v>171</v>
      </c>
      <c r="M203">
        <v>12</v>
      </c>
      <c r="N203">
        <v>-6</v>
      </c>
      <c r="O203">
        <v>48</v>
      </c>
      <c r="P203">
        <v>0</v>
      </c>
      <c r="Q203">
        <v>1</v>
      </c>
      <c r="R203">
        <v>0</v>
      </c>
      <c r="S203">
        <v>0</v>
      </c>
      <c r="T203">
        <v>4</v>
      </c>
      <c r="U203">
        <v>2</v>
      </c>
      <c r="V203">
        <v>1000</v>
      </c>
      <c r="W203" t="s">
        <v>6089</v>
      </c>
      <c r="X203" t="s">
        <v>6189</v>
      </c>
      <c r="Y203" t="s">
        <v>6189</v>
      </c>
      <c r="Z203" t="s">
        <v>3213</v>
      </c>
      <c r="AA203" t="s">
        <v>3465</v>
      </c>
      <c r="AB203" t="s">
        <v>4476</v>
      </c>
      <c r="AC203" t="s">
        <v>4477</v>
      </c>
      <c r="AK203" t="s">
        <v>4456</v>
      </c>
    </row>
    <row r="204" spans="1:37" x14ac:dyDescent="0.3">
      <c r="A204" t="s">
        <v>6197</v>
      </c>
      <c r="B204">
        <v>38</v>
      </c>
      <c r="C204" t="s">
        <v>6272</v>
      </c>
      <c r="D204" s="1032">
        <v>44577</v>
      </c>
      <c r="E204" t="s">
        <v>328</v>
      </c>
      <c r="F204" t="s">
        <v>16</v>
      </c>
      <c r="G204" t="s">
        <v>6144</v>
      </c>
      <c r="M204">
        <v>12</v>
      </c>
      <c r="N204">
        <v>-3</v>
      </c>
      <c r="O204">
        <v>51</v>
      </c>
      <c r="P204">
        <v>0</v>
      </c>
      <c r="Q204">
        <v>0</v>
      </c>
      <c r="R204">
        <v>0</v>
      </c>
      <c r="S204">
        <v>1</v>
      </c>
      <c r="T204">
        <v>3</v>
      </c>
      <c r="U204">
        <v>5</v>
      </c>
      <c r="V204">
        <v>1000</v>
      </c>
      <c r="W204" t="s">
        <v>6120</v>
      </c>
      <c r="X204" t="s">
        <v>6120</v>
      </c>
      <c r="Y204" t="s">
        <v>6148</v>
      </c>
      <c r="AA204" t="s">
        <v>4459</v>
      </c>
      <c r="AB204" t="s">
        <v>4500</v>
      </c>
      <c r="AC204" t="s">
        <v>4501</v>
      </c>
      <c r="AD204" t="s">
        <v>4502</v>
      </c>
      <c r="AE204" t="s">
        <v>4503</v>
      </c>
      <c r="AF204" t="s">
        <v>4504</v>
      </c>
      <c r="AG204" t="s">
        <v>4505</v>
      </c>
      <c r="AK204" t="s">
        <v>4458</v>
      </c>
    </row>
    <row r="205" spans="1:37" x14ac:dyDescent="0.3">
      <c r="A205" t="s">
        <v>6197</v>
      </c>
      <c r="B205">
        <v>39</v>
      </c>
      <c r="C205" t="s">
        <v>6267</v>
      </c>
      <c r="D205" s="1032">
        <v>44586</v>
      </c>
      <c r="E205" t="s">
        <v>325</v>
      </c>
      <c r="F205" t="s">
        <v>16</v>
      </c>
      <c r="G205" t="s">
        <v>6102</v>
      </c>
      <c r="M205">
        <v>12</v>
      </c>
      <c r="N205">
        <v>-3</v>
      </c>
      <c r="O205">
        <v>51</v>
      </c>
      <c r="P205">
        <v>0</v>
      </c>
      <c r="Q205">
        <v>0</v>
      </c>
      <c r="R205">
        <v>0</v>
      </c>
      <c r="S205">
        <v>0</v>
      </c>
      <c r="T205">
        <v>2</v>
      </c>
      <c r="U205">
        <v>5</v>
      </c>
      <c r="V205">
        <v>1000</v>
      </c>
      <c r="W205" t="s">
        <v>6188</v>
      </c>
      <c r="X205" t="s">
        <v>6187</v>
      </c>
      <c r="Y205" t="s">
        <v>6171</v>
      </c>
      <c r="AA205" t="s">
        <v>3601</v>
      </c>
      <c r="AB205" t="s">
        <v>4506</v>
      </c>
      <c r="AJ205" t="s">
        <v>4507</v>
      </c>
      <c r="AK205" t="s">
        <v>4480</v>
      </c>
    </row>
    <row r="206" spans="1:37" x14ac:dyDescent="0.3">
      <c r="A206" t="s">
        <v>6197</v>
      </c>
      <c r="B206">
        <v>40</v>
      </c>
      <c r="C206" t="s">
        <v>6276</v>
      </c>
      <c r="D206" s="1032">
        <v>44589</v>
      </c>
      <c r="E206" t="s">
        <v>326</v>
      </c>
      <c r="F206" t="s">
        <v>17</v>
      </c>
      <c r="G206" t="s">
        <v>163</v>
      </c>
      <c r="M206">
        <v>13</v>
      </c>
      <c r="N206">
        <v>-5</v>
      </c>
      <c r="O206">
        <v>52</v>
      </c>
      <c r="P206">
        <v>0</v>
      </c>
      <c r="Q206">
        <v>0</v>
      </c>
      <c r="R206">
        <v>0</v>
      </c>
      <c r="S206">
        <v>0</v>
      </c>
      <c r="T206">
        <v>3</v>
      </c>
      <c r="U206">
        <v>1</v>
      </c>
      <c r="V206">
        <v>1000</v>
      </c>
      <c r="W206" t="s">
        <v>6089</v>
      </c>
      <c r="X206" t="s">
        <v>6189</v>
      </c>
      <c r="Y206" t="s">
        <v>6097</v>
      </c>
      <c r="Z206" t="s">
        <v>3213</v>
      </c>
      <c r="AA206" t="s">
        <v>4126</v>
      </c>
      <c r="AB206" t="s">
        <v>4508</v>
      </c>
      <c r="AC206" t="s">
        <v>4509</v>
      </c>
      <c r="AD206" t="s">
        <v>4510</v>
      </c>
      <c r="AK206" t="s">
        <v>4494</v>
      </c>
    </row>
    <row r="207" spans="1:37" x14ac:dyDescent="0.3">
      <c r="A207" t="s">
        <v>6197</v>
      </c>
      <c r="B207">
        <v>41</v>
      </c>
      <c r="C207" t="s">
        <v>6280</v>
      </c>
      <c r="D207" s="1032">
        <v>44591</v>
      </c>
      <c r="E207" t="s">
        <v>332</v>
      </c>
      <c r="F207" t="s">
        <v>17</v>
      </c>
      <c r="G207" t="s">
        <v>6104</v>
      </c>
      <c r="M207">
        <v>13</v>
      </c>
      <c r="N207">
        <v>-8</v>
      </c>
      <c r="O207">
        <v>52</v>
      </c>
      <c r="P207">
        <v>0</v>
      </c>
      <c r="Q207">
        <v>0</v>
      </c>
      <c r="R207">
        <v>0</v>
      </c>
      <c r="S207">
        <v>1</v>
      </c>
      <c r="T207">
        <v>4</v>
      </c>
      <c r="U207">
        <v>4</v>
      </c>
      <c r="V207">
        <v>1000</v>
      </c>
      <c r="W207" t="s">
        <v>6079</v>
      </c>
      <c r="X207" t="s">
        <v>6120</v>
      </c>
      <c r="Y207" t="s">
        <v>6097</v>
      </c>
      <c r="AA207" t="s">
        <v>4493</v>
      </c>
      <c r="AB207" t="s">
        <v>4496</v>
      </c>
      <c r="AC207" t="s">
        <v>4497</v>
      </c>
      <c r="AK207" t="s">
        <v>4495</v>
      </c>
    </row>
    <row r="208" spans="1:37" x14ac:dyDescent="0.3">
      <c r="A208" t="s">
        <v>6197</v>
      </c>
      <c r="B208">
        <v>42</v>
      </c>
      <c r="C208" t="s">
        <v>6278</v>
      </c>
      <c r="D208" s="1032">
        <v>44593</v>
      </c>
      <c r="E208" t="s">
        <v>334</v>
      </c>
      <c r="F208" t="s">
        <v>17</v>
      </c>
      <c r="G208" t="s">
        <v>6210</v>
      </c>
      <c r="M208">
        <v>13</v>
      </c>
      <c r="N208">
        <v>-11</v>
      </c>
      <c r="O208">
        <v>52</v>
      </c>
      <c r="P208">
        <v>0</v>
      </c>
      <c r="Q208">
        <v>0</v>
      </c>
      <c r="R208">
        <v>0</v>
      </c>
      <c r="S208">
        <v>1</v>
      </c>
      <c r="T208">
        <v>4</v>
      </c>
      <c r="U208">
        <v>2</v>
      </c>
      <c r="V208">
        <v>1000</v>
      </c>
      <c r="W208" t="s">
        <v>6187</v>
      </c>
      <c r="X208" t="s">
        <v>6097</v>
      </c>
      <c r="Y208" t="s">
        <v>6079</v>
      </c>
      <c r="AA208" t="s">
        <v>4498</v>
      </c>
      <c r="AB208" t="s">
        <v>4520</v>
      </c>
      <c r="AC208" t="s">
        <v>4521</v>
      </c>
      <c r="AK208" t="s">
        <v>4499</v>
      </c>
    </row>
    <row r="209" spans="1:37" x14ac:dyDescent="0.3">
      <c r="A209" t="s">
        <v>6197</v>
      </c>
      <c r="B209">
        <v>43</v>
      </c>
      <c r="C209" t="s">
        <v>6281</v>
      </c>
      <c r="D209" s="1032">
        <v>44595</v>
      </c>
      <c r="E209" t="s">
        <v>327</v>
      </c>
      <c r="F209" t="s">
        <v>16</v>
      </c>
      <c r="G209" t="s">
        <v>590</v>
      </c>
      <c r="M209">
        <v>13</v>
      </c>
      <c r="N209">
        <v>-10</v>
      </c>
      <c r="O209">
        <v>53</v>
      </c>
      <c r="P209">
        <v>1</v>
      </c>
      <c r="Q209">
        <v>0</v>
      </c>
      <c r="R209">
        <v>0</v>
      </c>
      <c r="S209">
        <v>1</v>
      </c>
      <c r="T209">
        <v>2</v>
      </c>
      <c r="U209">
        <v>3</v>
      </c>
      <c r="V209">
        <v>1000</v>
      </c>
      <c r="W209" t="s">
        <v>6118</v>
      </c>
      <c r="X209" t="s">
        <v>6194</v>
      </c>
      <c r="Y209" t="s">
        <v>6097</v>
      </c>
      <c r="Z209" t="s">
        <v>3213</v>
      </c>
      <c r="AA209" t="s">
        <v>4512</v>
      </c>
      <c r="AB209" t="s">
        <v>4522</v>
      </c>
      <c r="AC209" t="s">
        <v>4523</v>
      </c>
      <c r="AD209" t="s">
        <v>4524</v>
      </c>
      <c r="AE209" t="s">
        <v>4525</v>
      </c>
      <c r="AF209" t="s">
        <v>4526</v>
      </c>
      <c r="AK209" t="s">
        <v>6536</v>
      </c>
    </row>
    <row r="210" spans="1:37" x14ac:dyDescent="0.3">
      <c r="A210" t="s">
        <v>6197</v>
      </c>
      <c r="B210">
        <v>44</v>
      </c>
      <c r="C210" t="s">
        <v>6275</v>
      </c>
      <c r="D210" s="1032">
        <v>44598</v>
      </c>
      <c r="E210" t="s">
        <v>6076</v>
      </c>
      <c r="F210" t="s">
        <v>17</v>
      </c>
      <c r="G210" t="s">
        <v>164</v>
      </c>
      <c r="M210">
        <v>13</v>
      </c>
      <c r="N210">
        <v>-11</v>
      </c>
      <c r="O210">
        <v>55</v>
      </c>
      <c r="P210">
        <v>0</v>
      </c>
      <c r="Q210">
        <v>0</v>
      </c>
      <c r="R210">
        <v>0</v>
      </c>
      <c r="S210">
        <v>0</v>
      </c>
      <c r="T210">
        <v>3</v>
      </c>
      <c r="U210">
        <v>3</v>
      </c>
      <c r="V210">
        <v>1000</v>
      </c>
      <c r="W210" t="s">
        <v>6171</v>
      </c>
      <c r="X210" t="s">
        <v>6089</v>
      </c>
      <c r="Y210" t="s">
        <v>6187</v>
      </c>
      <c r="Z210" t="s">
        <v>756</v>
      </c>
      <c r="AA210" t="s">
        <v>4514</v>
      </c>
      <c r="AB210" t="s">
        <v>4527</v>
      </c>
      <c r="AC210" t="s">
        <v>4528</v>
      </c>
      <c r="AD210" t="s">
        <v>4529</v>
      </c>
      <c r="AE210" t="s">
        <v>4530</v>
      </c>
      <c r="AK210" t="s">
        <v>4513</v>
      </c>
    </row>
    <row r="211" spans="1:37" x14ac:dyDescent="0.3">
      <c r="A211" t="s">
        <v>6197</v>
      </c>
      <c r="B211">
        <v>45</v>
      </c>
      <c r="C211" t="s">
        <v>6274</v>
      </c>
      <c r="D211" s="1032">
        <v>44600</v>
      </c>
      <c r="E211" t="s">
        <v>626</v>
      </c>
      <c r="F211" t="s">
        <v>16</v>
      </c>
      <c r="G211" t="s">
        <v>6128</v>
      </c>
      <c r="M211">
        <v>13</v>
      </c>
      <c r="N211">
        <v>-11</v>
      </c>
      <c r="O211">
        <v>55</v>
      </c>
      <c r="P211">
        <v>0</v>
      </c>
      <c r="Q211">
        <v>0</v>
      </c>
      <c r="R211">
        <v>0</v>
      </c>
      <c r="S211">
        <v>2</v>
      </c>
      <c r="T211">
        <v>3</v>
      </c>
      <c r="U211">
        <v>6</v>
      </c>
      <c r="V211">
        <v>1000</v>
      </c>
      <c r="W211" t="s">
        <v>6120</v>
      </c>
      <c r="X211" t="s">
        <v>6171</v>
      </c>
      <c r="Y211" t="s">
        <v>6171</v>
      </c>
      <c r="AA211" t="s">
        <v>4516</v>
      </c>
      <c r="AB211" t="s">
        <v>4531</v>
      </c>
      <c r="AK211" t="s">
        <v>4515</v>
      </c>
    </row>
    <row r="212" spans="1:37" x14ac:dyDescent="0.3">
      <c r="A212" t="s">
        <v>6197</v>
      </c>
      <c r="B212">
        <v>46</v>
      </c>
      <c r="C212" t="s">
        <v>6271</v>
      </c>
      <c r="D212" s="1032">
        <v>44603</v>
      </c>
      <c r="E212" t="s">
        <v>6091</v>
      </c>
      <c r="F212" t="s">
        <v>17</v>
      </c>
      <c r="G212" t="s">
        <v>6211</v>
      </c>
      <c r="M212">
        <v>13</v>
      </c>
      <c r="N212">
        <v>-14</v>
      </c>
      <c r="O212">
        <v>55</v>
      </c>
      <c r="P212">
        <v>1</v>
      </c>
      <c r="Q212">
        <v>0</v>
      </c>
      <c r="R212">
        <v>0</v>
      </c>
      <c r="S212">
        <v>2</v>
      </c>
      <c r="T212">
        <v>3</v>
      </c>
      <c r="U212">
        <v>3</v>
      </c>
      <c r="V212">
        <v>1000</v>
      </c>
      <c r="W212" t="s">
        <v>6120</v>
      </c>
      <c r="X212" t="s">
        <v>6194</v>
      </c>
      <c r="Y212" t="s">
        <v>6171</v>
      </c>
      <c r="AA212" t="s">
        <v>4519</v>
      </c>
      <c r="AB212" t="s">
        <v>4582</v>
      </c>
      <c r="AC212" t="s">
        <v>4535</v>
      </c>
      <c r="AD212" t="s">
        <v>4536</v>
      </c>
      <c r="AK212" t="s">
        <v>4517</v>
      </c>
    </row>
    <row r="213" spans="1:37" x14ac:dyDescent="0.3">
      <c r="A213" t="s">
        <v>6197</v>
      </c>
      <c r="B213">
        <v>47</v>
      </c>
      <c r="C213" t="s">
        <v>6282</v>
      </c>
      <c r="D213" s="1032">
        <v>44605</v>
      </c>
      <c r="E213" t="s">
        <v>325</v>
      </c>
      <c r="F213" t="s">
        <v>17</v>
      </c>
      <c r="G213" t="s">
        <v>6206</v>
      </c>
      <c r="M213">
        <v>13</v>
      </c>
      <c r="N213">
        <v>-17</v>
      </c>
      <c r="O213">
        <v>55</v>
      </c>
      <c r="P213">
        <v>0</v>
      </c>
      <c r="Q213">
        <v>0</v>
      </c>
      <c r="R213">
        <v>0</v>
      </c>
      <c r="S213">
        <v>0</v>
      </c>
      <c r="T213">
        <v>5</v>
      </c>
      <c r="U213">
        <v>3</v>
      </c>
      <c r="V213">
        <v>1000</v>
      </c>
      <c r="W213" t="s">
        <v>6189</v>
      </c>
      <c r="X213" t="s">
        <v>6189</v>
      </c>
      <c r="Y213" t="s">
        <v>6079</v>
      </c>
      <c r="AA213" t="s">
        <v>6206</v>
      </c>
      <c r="AB213" t="s">
        <v>515</v>
      </c>
      <c r="AK213" t="s">
        <v>4518</v>
      </c>
    </row>
    <row r="214" spans="1:37" x14ac:dyDescent="0.3">
      <c r="A214" t="s">
        <v>6197</v>
      </c>
      <c r="B214">
        <v>48</v>
      </c>
      <c r="C214" t="s">
        <v>6537</v>
      </c>
      <c r="D214" s="1032">
        <v>44610</v>
      </c>
      <c r="E214" t="s">
        <v>331</v>
      </c>
      <c r="F214" t="s">
        <v>16</v>
      </c>
      <c r="G214" t="s">
        <v>163</v>
      </c>
      <c r="M214">
        <v>13</v>
      </c>
      <c r="N214">
        <v>-16</v>
      </c>
      <c r="O214">
        <v>56</v>
      </c>
      <c r="P214">
        <v>1</v>
      </c>
      <c r="Q214">
        <v>0</v>
      </c>
      <c r="R214">
        <v>0</v>
      </c>
      <c r="S214">
        <v>1</v>
      </c>
      <c r="T214">
        <v>4</v>
      </c>
      <c r="U214">
        <v>3</v>
      </c>
      <c r="V214">
        <v>1000</v>
      </c>
      <c r="W214" t="s">
        <v>6097</v>
      </c>
      <c r="X214" t="s">
        <v>6188</v>
      </c>
      <c r="Y214" t="s">
        <v>6118</v>
      </c>
      <c r="Z214" t="s">
        <v>3213</v>
      </c>
      <c r="AA214" t="s">
        <v>4532</v>
      </c>
      <c r="AB214" t="s">
        <v>4537</v>
      </c>
      <c r="AC214" t="s">
        <v>4538</v>
      </c>
      <c r="AD214" t="s">
        <v>4539</v>
      </c>
      <c r="AK214" t="s">
        <v>4533</v>
      </c>
    </row>
    <row r="215" spans="1:37" x14ac:dyDescent="0.3">
      <c r="A215" t="s">
        <v>6197</v>
      </c>
      <c r="B215">
        <v>49</v>
      </c>
      <c r="C215" t="s">
        <v>6538</v>
      </c>
      <c r="D215" s="1032">
        <v>44612</v>
      </c>
      <c r="E215" t="s">
        <v>6086</v>
      </c>
      <c r="F215" t="s">
        <v>17</v>
      </c>
      <c r="G215" t="s">
        <v>6100</v>
      </c>
      <c r="M215">
        <v>13</v>
      </c>
      <c r="N215">
        <v>-16</v>
      </c>
      <c r="O215">
        <v>59</v>
      </c>
      <c r="P215">
        <v>2</v>
      </c>
      <c r="Q215">
        <v>0</v>
      </c>
      <c r="R215">
        <v>0</v>
      </c>
      <c r="S215">
        <v>0</v>
      </c>
      <c r="T215">
        <v>2</v>
      </c>
      <c r="U215">
        <v>3</v>
      </c>
      <c r="V215">
        <v>1500</v>
      </c>
      <c r="W215" t="s">
        <v>6189</v>
      </c>
      <c r="X215" t="s">
        <v>6089</v>
      </c>
      <c r="Y215" t="s">
        <v>6120</v>
      </c>
      <c r="AA215" t="s">
        <v>3642</v>
      </c>
      <c r="AB215" t="s">
        <v>4549</v>
      </c>
      <c r="AC215" t="s">
        <v>4550</v>
      </c>
      <c r="AD215" t="s">
        <v>4551</v>
      </c>
      <c r="AK215" t="s">
        <v>4534</v>
      </c>
    </row>
    <row r="216" spans="1:37" x14ac:dyDescent="0.3">
      <c r="A216" t="s">
        <v>6197</v>
      </c>
      <c r="B216">
        <v>50</v>
      </c>
      <c r="C216" t="s">
        <v>6539</v>
      </c>
      <c r="D216" s="1032">
        <v>44614</v>
      </c>
      <c r="E216" t="s">
        <v>6179</v>
      </c>
      <c r="F216" t="s">
        <v>16</v>
      </c>
      <c r="G216" t="s">
        <v>6190</v>
      </c>
      <c r="M216">
        <v>13</v>
      </c>
      <c r="N216">
        <v>-13</v>
      </c>
      <c r="O216">
        <v>62</v>
      </c>
      <c r="P216">
        <v>0</v>
      </c>
      <c r="Q216">
        <v>0</v>
      </c>
      <c r="R216">
        <v>0</v>
      </c>
      <c r="S216">
        <v>1</v>
      </c>
      <c r="T216">
        <v>2</v>
      </c>
      <c r="U216">
        <v>1</v>
      </c>
      <c r="V216">
        <v>3500</v>
      </c>
      <c r="W216" t="s">
        <v>6188</v>
      </c>
      <c r="X216" t="s">
        <v>6089</v>
      </c>
      <c r="Y216" t="s">
        <v>6100</v>
      </c>
      <c r="AA216" t="s">
        <v>4540</v>
      </c>
      <c r="AB216" t="s">
        <v>4564</v>
      </c>
      <c r="AC216" t="s">
        <v>4565</v>
      </c>
      <c r="AD216" t="s">
        <v>4566</v>
      </c>
      <c r="AE216" t="s">
        <v>4567</v>
      </c>
      <c r="AF216" t="s">
        <v>4568</v>
      </c>
      <c r="AK216" t="s">
        <v>4541</v>
      </c>
    </row>
    <row r="217" spans="1:37" x14ac:dyDescent="0.3">
      <c r="A217" t="s">
        <v>6197</v>
      </c>
      <c r="B217">
        <v>51</v>
      </c>
      <c r="C217" t="s">
        <v>6540</v>
      </c>
      <c r="D217" s="1032">
        <v>44617</v>
      </c>
      <c r="E217" t="s">
        <v>6091</v>
      </c>
      <c r="F217" t="s">
        <v>16</v>
      </c>
      <c r="G217" t="s">
        <v>6144</v>
      </c>
      <c r="M217">
        <v>13</v>
      </c>
      <c r="N217">
        <v>-10</v>
      </c>
      <c r="O217">
        <v>65</v>
      </c>
      <c r="P217">
        <v>2</v>
      </c>
      <c r="Q217">
        <v>0</v>
      </c>
      <c r="R217">
        <v>0</v>
      </c>
      <c r="S217">
        <v>1</v>
      </c>
      <c r="T217">
        <v>6</v>
      </c>
      <c r="U217">
        <v>6</v>
      </c>
      <c r="V217">
        <v>3435</v>
      </c>
      <c r="W217" t="s">
        <v>6118</v>
      </c>
      <c r="X217" t="s">
        <v>6089</v>
      </c>
      <c r="Y217" t="s">
        <v>6089</v>
      </c>
      <c r="AA217" t="s">
        <v>4545</v>
      </c>
      <c r="AB217" t="s">
        <v>4569</v>
      </c>
      <c r="AC217" t="s">
        <v>4570</v>
      </c>
      <c r="AD217" t="s">
        <v>4571</v>
      </c>
      <c r="AE217" t="s">
        <v>4572</v>
      </c>
      <c r="AF217" t="s">
        <v>4573</v>
      </c>
      <c r="AG217" t="s">
        <v>4574</v>
      </c>
      <c r="AJ217" t="s">
        <v>4446</v>
      </c>
      <c r="AK217" t="s">
        <v>4547</v>
      </c>
    </row>
    <row r="218" spans="1:37" x14ac:dyDescent="0.3">
      <c r="A218" t="s">
        <v>6197</v>
      </c>
      <c r="B218">
        <v>52</v>
      </c>
      <c r="C218" t="s">
        <v>6541</v>
      </c>
      <c r="D218" s="1032">
        <v>44619</v>
      </c>
      <c r="E218" t="s">
        <v>328</v>
      </c>
      <c r="F218" t="s">
        <v>17</v>
      </c>
      <c r="G218" t="s">
        <v>6073</v>
      </c>
      <c r="M218">
        <v>12</v>
      </c>
      <c r="N218">
        <v>-10</v>
      </c>
      <c r="O218">
        <v>68</v>
      </c>
      <c r="P218">
        <v>0</v>
      </c>
      <c r="Q218">
        <v>0</v>
      </c>
      <c r="R218">
        <v>0</v>
      </c>
      <c r="S218">
        <v>1</v>
      </c>
      <c r="T218">
        <v>4</v>
      </c>
      <c r="U218">
        <v>2</v>
      </c>
      <c r="V218">
        <v>1500</v>
      </c>
      <c r="W218" t="s">
        <v>6187</v>
      </c>
      <c r="X218" t="s">
        <v>6118</v>
      </c>
      <c r="Y218" t="s">
        <v>6120</v>
      </c>
      <c r="AA218" t="s">
        <v>4546</v>
      </c>
      <c r="AB218" t="s">
        <v>4575</v>
      </c>
      <c r="AC218" t="s">
        <v>4576</v>
      </c>
      <c r="AD218" t="s">
        <v>4577</v>
      </c>
      <c r="AE218" t="s">
        <v>4578</v>
      </c>
      <c r="AJ218" t="s">
        <v>4544</v>
      </c>
      <c r="AK218" t="s">
        <v>4548</v>
      </c>
    </row>
    <row r="219" spans="1:37" x14ac:dyDescent="0.3">
      <c r="A219" t="s">
        <v>6197</v>
      </c>
      <c r="B219">
        <v>53</v>
      </c>
      <c r="C219" t="s">
        <v>6273</v>
      </c>
      <c r="D219" s="1032">
        <v>44621</v>
      </c>
      <c r="E219" t="s">
        <v>1274</v>
      </c>
      <c r="F219" t="s">
        <v>17</v>
      </c>
      <c r="G219" t="s">
        <v>352</v>
      </c>
      <c r="M219">
        <v>11</v>
      </c>
      <c r="N219">
        <v>-11</v>
      </c>
      <c r="O219">
        <v>70</v>
      </c>
      <c r="P219">
        <v>2</v>
      </c>
      <c r="Q219">
        <v>0</v>
      </c>
      <c r="R219">
        <v>0</v>
      </c>
      <c r="S219">
        <v>0</v>
      </c>
      <c r="T219">
        <v>2</v>
      </c>
      <c r="U219">
        <v>2</v>
      </c>
      <c r="V219">
        <v>2489</v>
      </c>
      <c r="W219" t="s">
        <v>6188</v>
      </c>
      <c r="X219" t="s">
        <v>6097</v>
      </c>
      <c r="Y219" t="s">
        <v>6120</v>
      </c>
      <c r="Z219" t="s">
        <v>4555</v>
      </c>
      <c r="AA219" t="s">
        <v>4556</v>
      </c>
      <c r="AB219" t="s">
        <v>4579</v>
      </c>
      <c r="AC219" t="s">
        <v>4580</v>
      </c>
      <c r="AJ219" t="s">
        <v>4553</v>
      </c>
      <c r="AK219" t="s">
        <v>4552</v>
      </c>
    </row>
    <row r="220" spans="1:37" x14ac:dyDescent="0.3">
      <c r="A220" t="s">
        <v>6197</v>
      </c>
      <c r="B220">
        <v>54</v>
      </c>
      <c r="C220" t="s">
        <v>6542</v>
      </c>
      <c r="D220" s="1032">
        <v>44624</v>
      </c>
      <c r="E220" t="s">
        <v>1274</v>
      </c>
      <c r="F220" t="s">
        <v>16</v>
      </c>
      <c r="G220" t="s">
        <v>6079</v>
      </c>
      <c r="M220">
        <v>12</v>
      </c>
      <c r="N220">
        <v>-11</v>
      </c>
      <c r="O220">
        <v>70</v>
      </c>
      <c r="P220">
        <v>0</v>
      </c>
      <c r="Q220">
        <v>0</v>
      </c>
      <c r="R220">
        <v>0</v>
      </c>
      <c r="S220">
        <v>0</v>
      </c>
      <c r="T220">
        <v>2</v>
      </c>
      <c r="U220">
        <v>2</v>
      </c>
      <c r="V220">
        <v>5536</v>
      </c>
      <c r="W220" t="s">
        <v>6171</v>
      </c>
      <c r="X220" t="s">
        <v>6188</v>
      </c>
      <c r="Y220" t="s">
        <v>6189</v>
      </c>
      <c r="AA220" t="s">
        <v>6079</v>
      </c>
      <c r="AB220" t="s">
        <v>515</v>
      </c>
      <c r="AK220" t="s">
        <v>4558</v>
      </c>
    </row>
    <row r="221" spans="1:37" x14ac:dyDescent="0.3">
      <c r="A221" t="s">
        <v>6197</v>
      </c>
      <c r="B221">
        <v>55</v>
      </c>
      <c r="C221" t="s">
        <v>6543</v>
      </c>
      <c r="D221" s="1032">
        <v>44626</v>
      </c>
      <c r="E221" t="s">
        <v>626</v>
      </c>
      <c r="F221" t="s">
        <v>17</v>
      </c>
      <c r="G221" t="s">
        <v>6146</v>
      </c>
      <c r="M221">
        <v>12</v>
      </c>
      <c r="N221">
        <v>-14</v>
      </c>
      <c r="O221">
        <v>70</v>
      </c>
      <c r="P221">
        <v>1</v>
      </c>
      <c r="Q221">
        <v>0</v>
      </c>
      <c r="R221">
        <v>1</v>
      </c>
      <c r="S221">
        <v>0</v>
      </c>
      <c r="T221">
        <v>6</v>
      </c>
      <c r="U221">
        <v>6</v>
      </c>
      <c r="V221">
        <v>3127</v>
      </c>
      <c r="W221" t="s">
        <v>6187</v>
      </c>
      <c r="X221" t="s">
        <v>6189</v>
      </c>
      <c r="Y221" t="s">
        <v>6187</v>
      </c>
      <c r="AA221" t="s">
        <v>4130</v>
      </c>
      <c r="AB221" t="s">
        <v>4581</v>
      </c>
      <c r="AC221" t="s">
        <v>4583</v>
      </c>
      <c r="AJ221" t="s">
        <v>4208</v>
      </c>
      <c r="AK221" t="s">
        <v>4559</v>
      </c>
    </row>
    <row r="222" spans="1:37" x14ac:dyDescent="0.3">
      <c r="A222" t="s">
        <v>6197</v>
      </c>
      <c r="B222">
        <v>56</v>
      </c>
      <c r="C222" t="s">
        <v>6544</v>
      </c>
      <c r="D222" s="1032">
        <v>44628</v>
      </c>
      <c r="E222" t="s">
        <v>6076</v>
      </c>
      <c r="F222" t="s">
        <v>16</v>
      </c>
      <c r="G222" t="s">
        <v>6102</v>
      </c>
      <c r="M222">
        <v>13</v>
      </c>
      <c r="N222">
        <v>-14</v>
      </c>
      <c r="O222">
        <v>70</v>
      </c>
      <c r="P222">
        <v>0</v>
      </c>
      <c r="Q222">
        <v>0</v>
      </c>
      <c r="R222">
        <v>0</v>
      </c>
      <c r="S222">
        <v>2</v>
      </c>
      <c r="T222">
        <v>4</v>
      </c>
      <c r="U222">
        <v>3</v>
      </c>
      <c r="V222">
        <v>3911</v>
      </c>
      <c r="W222" t="s">
        <v>6120</v>
      </c>
      <c r="X222" t="s">
        <v>6171</v>
      </c>
      <c r="Y222" t="s">
        <v>6189</v>
      </c>
      <c r="AA222" t="s">
        <v>3601</v>
      </c>
      <c r="AB222" t="s">
        <v>4584</v>
      </c>
      <c r="AK222" t="s">
        <v>4562</v>
      </c>
    </row>
    <row r="223" spans="1:37" x14ac:dyDescent="0.3">
      <c r="A223" t="s">
        <v>6196</v>
      </c>
      <c r="B223">
        <v>1</v>
      </c>
      <c r="C223" t="s">
        <v>6284</v>
      </c>
      <c r="D223" s="1032">
        <v>44820</v>
      </c>
      <c r="E223" t="s">
        <v>328</v>
      </c>
      <c r="F223" t="s">
        <v>17</v>
      </c>
      <c r="G223" t="s">
        <v>6146</v>
      </c>
      <c r="M223">
        <v>10</v>
      </c>
      <c r="N223">
        <v>-3</v>
      </c>
      <c r="O223">
        <v>0</v>
      </c>
      <c r="P223">
        <v>1</v>
      </c>
      <c r="Q223">
        <v>0</v>
      </c>
      <c r="R223">
        <v>0</v>
      </c>
      <c r="S223">
        <v>1</v>
      </c>
      <c r="T223">
        <v>4</v>
      </c>
      <c r="U223">
        <v>1</v>
      </c>
      <c r="V223">
        <v>3139</v>
      </c>
      <c r="W223" t="s">
        <v>6189</v>
      </c>
      <c r="X223" t="s">
        <v>6120</v>
      </c>
      <c r="Y223" t="s">
        <v>6097</v>
      </c>
      <c r="AA223" t="s">
        <v>3434</v>
      </c>
      <c r="AB223" t="s">
        <v>4720</v>
      </c>
      <c r="AC223" t="s">
        <v>4721</v>
      </c>
      <c r="AK223" t="s">
        <v>4713</v>
      </c>
    </row>
    <row r="224" spans="1:37" x14ac:dyDescent="0.3">
      <c r="A224" t="s">
        <v>6196</v>
      </c>
      <c r="B224">
        <v>2</v>
      </c>
      <c r="C224" t="s">
        <v>6233</v>
      </c>
      <c r="D224" s="1032">
        <v>44822</v>
      </c>
      <c r="E224" t="s">
        <v>325</v>
      </c>
      <c r="F224" t="s">
        <v>16</v>
      </c>
      <c r="G224" t="s">
        <v>6079</v>
      </c>
      <c r="M224">
        <v>13</v>
      </c>
      <c r="N224">
        <v>-3</v>
      </c>
      <c r="O224">
        <v>0</v>
      </c>
      <c r="P224">
        <v>0</v>
      </c>
      <c r="Q224">
        <v>0</v>
      </c>
      <c r="R224">
        <v>0</v>
      </c>
      <c r="S224">
        <v>1</v>
      </c>
      <c r="T224">
        <v>5</v>
      </c>
      <c r="U224">
        <v>3</v>
      </c>
      <c r="V224">
        <v>8214</v>
      </c>
      <c r="W224" t="s">
        <v>6188</v>
      </c>
      <c r="X224" t="s">
        <v>6188</v>
      </c>
      <c r="Y224" t="s">
        <v>6079</v>
      </c>
      <c r="AA224" t="s">
        <v>6079</v>
      </c>
      <c r="AB224" t="s">
        <v>515</v>
      </c>
      <c r="AJ224" t="s">
        <v>4714</v>
      </c>
      <c r="AK224" t="s">
        <v>4715</v>
      </c>
    </row>
    <row r="225" spans="1:37" x14ac:dyDescent="0.3">
      <c r="A225" t="s">
        <v>6196</v>
      </c>
      <c r="B225">
        <v>3</v>
      </c>
      <c r="C225" t="s">
        <v>6283</v>
      </c>
      <c r="D225" s="1032">
        <v>44824</v>
      </c>
      <c r="E225" t="s">
        <v>6091</v>
      </c>
      <c r="F225" t="s">
        <v>16</v>
      </c>
      <c r="G225" t="s">
        <v>6092</v>
      </c>
      <c r="M225">
        <v>14</v>
      </c>
      <c r="N225">
        <v>-3</v>
      </c>
      <c r="O225">
        <v>0</v>
      </c>
      <c r="P225">
        <v>1</v>
      </c>
      <c r="Q225">
        <v>1</v>
      </c>
      <c r="R225">
        <v>0</v>
      </c>
      <c r="S225">
        <v>2</v>
      </c>
      <c r="T225">
        <v>3</v>
      </c>
      <c r="U225">
        <v>7</v>
      </c>
      <c r="V225">
        <v>5604</v>
      </c>
      <c r="W225" t="s">
        <v>6171</v>
      </c>
      <c r="X225" t="s">
        <v>6146</v>
      </c>
      <c r="Y225" t="s">
        <v>6187</v>
      </c>
      <c r="AA225" t="s">
        <v>4716</v>
      </c>
      <c r="AB225" t="s">
        <v>4726</v>
      </c>
      <c r="AC225" t="s">
        <v>4727</v>
      </c>
      <c r="AD225" t="s">
        <v>4728</v>
      </c>
      <c r="AK225" t="s">
        <v>4717</v>
      </c>
    </row>
    <row r="226" spans="1:37" x14ac:dyDescent="0.3">
      <c r="A226" t="s">
        <v>6196</v>
      </c>
      <c r="B226">
        <v>4</v>
      </c>
      <c r="C226" t="s">
        <v>6234</v>
      </c>
      <c r="D226" s="1032">
        <v>44827</v>
      </c>
      <c r="E226" t="s">
        <v>610</v>
      </c>
      <c r="F226" t="s">
        <v>17</v>
      </c>
      <c r="G226" t="s">
        <v>161</v>
      </c>
      <c r="M226">
        <v>13</v>
      </c>
      <c r="N226">
        <v>-5</v>
      </c>
      <c r="O226">
        <v>1</v>
      </c>
      <c r="P226">
        <v>0</v>
      </c>
      <c r="Q226">
        <v>0</v>
      </c>
      <c r="R226">
        <v>0</v>
      </c>
      <c r="S226">
        <v>0</v>
      </c>
      <c r="T226">
        <v>4</v>
      </c>
      <c r="U226">
        <v>5</v>
      </c>
      <c r="V226">
        <v>2873</v>
      </c>
      <c r="W226" t="s">
        <v>6187</v>
      </c>
      <c r="X226" t="s">
        <v>6187</v>
      </c>
      <c r="Y226" t="s">
        <v>6188</v>
      </c>
      <c r="Z226" t="s">
        <v>208</v>
      </c>
      <c r="AA226" t="s">
        <v>4742</v>
      </c>
      <c r="AB226" t="s">
        <v>4724</v>
      </c>
      <c r="AC226" t="s">
        <v>4725</v>
      </c>
      <c r="AJ226" t="s">
        <v>4719</v>
      </c>
      <c r="AK226" t="s">
        <v>4718</v>
      </c>
    </row>
    <row r="227" spans="1:37" x14ac:dyDescent="0.3">
      <c r="A227" t="s">
        <v>6196</v>
      </c>
      <c r="B227">
        <v>5</v>
      </c>
      <c r="C227" t="s">
        <v>6235</v>
      </c>
      <c r="D227" s="1032">
        <v>44831</v>
      </c>
      <c r="E227" t="s">
        <v>332</v>
      </c>
      <c r="F227" t="s">
        <v>17</v>
      </c>
      <c r="G227" t="s">
        <v>589</v>
      </c>
      <c r="M227">
        <v>14</v>
      </c>
      <c r="N227">
        <v>-7</v>
      </c>
      <c r="O227">
        <v>2</v>
      </c>
      <c r="P227">
        <v>0</v>
      </c>
      <c r="Q227">
        <v>0</v>
      </c>
      <c r="R227">
        <v>0</v>
      </c>
      <c r="S227">
        <v>0</v>
      </c>
      <c r="T227">
        <v>5</v>
      </c>
      <c r="U227">
        <v>6</v>
      </c>
      <c r="V227">
        <v>3415</v>
      </c>
      <c r="W227" t="s">
        <v>6188</v>
      </c>
      <c r="X227" t="s">
        <v>6187</v>
      </c>
      <c r="Y227" t="s">
        <v>6188</v>
      </c>
      <c r="Z227" t="s">
        <v>3213</v>
      </c>
      <c r="AA227" t="s">
        <v>4722</v>
      </c>
      <c r="AB227" t="s">
        <v>4734</v>
      </c>
      <c r="AK227" t="s">
        <v>4723</v>
      </c>
    </row>
    <row r="228" spans="1:37" x14ac:dyDescent="0.3">
      <c r="A228" t="s">
        <v>6196</v>
      </c>
      <c r="B228">
        <v>6</v>
      </c>
      <c r="C228" t="s">
        <v>6236</v>
      </c>
      <c r="D228" s="1032">
        <v>44836</v>
      </c>
      <c r="E228" t="s">
        <v>1274</v>
      </c>
      <c r="F228" t="s">
        <v>17</v>
      </c>
      <c r="G228" t="s">
        <v>6113</v>
      </c>
      <c r="M228">
        <v>14</v>
      </c>
      <c r="N228">
        <v>-7</v>
      </c>
      <c r="O228">
        <v>5</v>
      </c>
      <c r="P228">
        <v>2</v>
      </c>
      <c r="Q228">
        <v>0</v>
      </c>
      <c r="R228">
        <v>0</v>
      </c>
      <c r="S228">
        <v>1</v>
      </c>
      <c r="T228">
        <v>5</v>
      </c>
      <c r="U228">
        <v>6</v>
      </c>
      <c r="V228">
        <v>3017</v>
      </c>
      <c r="W228" t="s">
        <v>6189</v>
      </c>
      <c r="X228" t="s">
        <v>6189</v>
      </c>
      <c r="Y228" t="s">
        <v>6110</v>
      </c>
      <c r="AA228" t="s">
        <v>3813</v>
      </c>
      <c r="AB228" t="s">
        <v>4745</v>
      </c>
      <c r="AC228" t="s">
        <v>4746</v>
      </c>
      <c r="AD228" t="s">
        <v>4747</v>
      </c>
      <c r="AJ228" t="s">
        <v>4731</v>
      </c>
      <c r="AK228" t="s">
        <v>4730</v>
      </c>
    </row>
    <row r="229" spans="1:37" x14ac:dyDescent="0.3">
      <c r="A229" t="s">
        <v>6196</v>
      </c>
      <c r="B229">
        <v>7</v>
      </c>
      <c r="C229" t="s">
        <v>6246</v>
      </c>
      <c r="D229" s="1032">
        <v>44838</v>
      </c>
      <c r="E229" t="s">
        <v>6076</v>
      </c>
      <c r="F229" t="s">
        <v>16</v>
      </c>
      <c r="G229" t="s">
        <v>6148</v>
      </c>
      <c r="M229">
        <v>12</v>
      </c>
      <c r="N229">
        <v>-4</v>
      </c>
      <c r="O229">
        <v>8</v>
      </c>
      <c r="P229">
        <v>0</v>
      </c>
      <c r="Q229">
        <v>0</v>
      </c>
      <c r="R229">
        <v>0</v>
      </c>
      <c r="S229">
        <v>0</v>
      </c>
      <c r="T229">
        <v>7</v>
      </c>
      <c r="U229">
        <v>3</v>
      </c>
      <c r="V229">
        <v>2649</v>
      </c>
      <c r="W229" t="s">
        <v>6188</v>
      </c>
      <c r="X229" t="s">
        <v>6118</v>
      </c>
      <c r="Y229" t="s">
        <v>6089</v>
      </c>
      <c r="AA229" t="s">
        <v>4732</v>
      </c>
      <c r="AB229" t="s">
        <v>4748</v>
      </c>
      <c r="AC229" t="s">
        <v>4749</v>
      </c>
      <c r="AD229" t="s">
        <v>4750</v>
      </c>
      <c r="AE229" t="s">
        <v>4751</v>
      </c>
      <c r="AK229" t="s">
        <v>4733</v>
      </c>
    </row>
    <row r="230" spans="1:37" x14ac:dyDescent="0.3">
      <c r="A230" t="s">
        <v>6196</v>
      </c>
      <c r="B230">
        <v>8</v>
      </c>
      <c r="C230" t="s">
        <v>6237</v>
      </c>
      <c r="D230" s="1032">
        <v>44841</v>
      </c>
      <c r="E230" t="s">
        <v>6179</v>
      </c>
      <c r="F230" t="s">
        <v>16</v>
      </c>
      <c r="G230" t="s">
        <v>6203</v>
      </c>
      <c r="M230">
        <v>13</v>
      </c>
      <c r="N230">
        <v>-4</v>
      </c>
      <c r="O230">
        <v>8</v>
      </c>
      <c r="P230">
        <v>0</v>
      </c>
      <c r="Q230">
        <v>0</v>
      </c>
      <c r="R230">
        <v>1</v>
      </c>
      <c r="S230">
        <v>0</v>
      </c>
      <c r="T230">
        <v>3</v>
      </c>
      <c r="U230">
        <v>1</v>
      </c>
      <c r="V230">
        <v>5546</v>
      </c>
      <c r="W230" t="s">
        <v>6189</v>
      </c>
      <c r="X230" t="s">
        <v>6100</v>
      </c>
      <c r="Y230" t="s">
        <v>6102</v>
      </c>
      <c r="AA230" t="s">
        <v>4737</v>
      </c>
      <c r="AB230" t="s">
        <v>4752</v>
      </c>
      <c r="AC230" t="s">
        <v>4753</v>
      </c>
      <c r="AD230" t="s">
        <v>4754</v>
      </c>
      <c r="AE230" t="s">
        <v>4755</v>
      </c>
      <c r="AK230" t="s">
        <v>4744</v>
      </c>
    </row>
    <row r="231" spans="1:37" x14ac:dyDescent="0.3">
      <c r="A231" t="s">
        <v>6196</v>
      </c>
      <c r="B231">
        <v>9</v>
      </c>
      <c r="C231" t="s">
        <v>6238</v>
      </c>
      <c r="D231" s="1032">
        <v>44843</v>
      </c>
      <c r="E231" t="s">
        <v>334</v>
      </c>
      <c r="F231" t="s">
        <v>16</v>
      </c>
      <c r="G231" t="s">
        <v>6128</v>
      </c>
      <c r="M231">
        <v>14</v>
      </c>
      <c r="N231">
        <v>-4</v>
      </c>
      <c r="O231">
        <v>8</v>
      </c>
      <c r="P231">
        <v>0</v>
      </c>
      <c r="Q231">
        <v>0</v>
      </c>
      <c r="R231">
        <v>0</v>
      </c>
      <c r="S231">
        <v>1</v>
      </c>
      <c r="T231">
        <v>2</v>
      </c>
      <c r="U231">
        <v>4</v>
      </c>
      <c r="V231">
        <v>3668</v>
      </c>
      <c r="W231" t="s">
        <v>6079</v>
      </c>
      <c r="X231" t="s">
        <v>6188</v>
      </c>
      <c r="Y231" t="s">
        <v>6187</v>
      </c>
      <c r="AA231" t="s">
        <v>3778</v>
      </c>
      <c r="AB231" t="s">
        <v>4757</v>
      </c>
      <c r="AK231" t="s">
        <v>4756</v>
      </c>
    </row>
    <row r="232" spans="1:37" x14ac:dyDescent="0.3">
      <c r="A232" t="s">
        <v>6196</v>
      </c>
      <c r="B232">
        <v>10</v>
      </c>
      <c r="C232" t="s">
        <v>6239</v>
      </c>
      <c r="D232" s="1032">
        <v>44848</v>
      </c>
      <c r="E232" t="s">
        <v>6086</v>
      </c>
      <c r="F232" t="s">
        <v>17</v>
      </c>
      <c r="G232" t="s">
        <v>6211</v>
      </c>
      <c r="M232">
        <v>14</v>
      </c>
      <c r="N232">
        <v>-7</v>
      </c>
      <c r="O232">
        <v>8</v>
      </c>
      <c r="P232">
        <v>1</v>
      </c>
      <c r="Q232">
        <v>0</v>
      </c>
      <c r="R232">
        <v>0</v>
      </c>
      <c r="S232">
        <v>3</v>
      </c>
      <c r="T232">
        <v>6</v>
      </c>
      <c r="U232">
        <v>5</v>
      </c>
      <c r="V232">
        <v>3197</v>
      </c>
      <c r="W232" t="s">
        <v>6077</v>
      </c>
      <c r="X232" t="s">
        <v>6120</v>
      </c>
      <c r="Y232" t="s">
        <v>6089</v>
      </c>
      <c r="AA232" t="s">
        <v>4738</v>
      </c>
      <c r="AB232" t="s">
        <v>4764</v>
      </c>
      <c r="AC232" t="s">
        <v>4765</v>
      </c>
      <c r="AD232" t="s">
        <v>4766</v>
      </c>
      <c r="AK232" t="s">
        <v>4763</v>
      </c>
    </row>
    <row r="233" spans="1:37" x14ac:dyDescent="0.3">
      <c r="A233" t="s">
        <v>6196</v>
      </c>
      <c r="B233">
        <v>11</v>
      </c>
      <c r="C233" t="s">
        <v>6240</v>
      </c>
      <c r="D233" s="1032">
        <v>44850</v>
      </c>
      <c r="E233" t="s">
        <v>331</v>
      </c>
      <c r="F233" t="s">
        <v>16</v>
      </c>
      <c r="G233" t="s">
        <v>6211</v>
      </c>
      <c r="M233">
        <v>14</v>
      </c>
      <c r="N233">
        <v>-7</v>
      </c>
      <c r="O233">
        <v>8</v>
      </c>
      <c r="P233">
        <v>2</v>
      </c>
      <c r="Q233">
        <v>0</v>
      </c>
      <c r="R233">
        <v>0</v>
      </c>
      <c r="S233">
        <v>1</v>
      </c>
      <c r="T233">
        <v>6</v>
      </c>
      <c r="U233">
        <v>3</v>
      </c>
      <c r="V233">
        <v>4176</v>
      </c>
      <c r="W233" t="s">
        <v>6097</v>
      </c>
      <c r="X233" t="s">
        <v>6187</v>
      </c>
      <c r="Y233" t="s">
        <v>6187</v>
      </c>
      <c r="AA233" t="s">
        <v>4739</v>
      </c>
      <c r="AB233" t="s">
        <v>4767</v>
      </c>
      <c r="AC233" t="s">
        <v>4769</v>
      </c>
      <c r="AD233" t="s">
        <v>4768</v>
      </c>
      <c r="AK233" t="s">
        <v>4770</v>
      </c>
    </row>
    <row r="234" spans="1:37" x14ac:dyDescent="0.3">
      <c r="A234" t="s">
        <v>6196</v>
      </c>
      <c r="B234">
        <v>12</v>
      </c>
      <c r="C234" t="s">
        <v>6241</v>
      </c>
      <c r="D234" s="1032">
        <v>44852</v>
      </c>
      <c r="E234" t="s">
        <v>327</v>
      </c>
      <c r="F234" t="s">
        <v>17</v>
      </c>
      <c r="G234" t="s">
        <v>158</v>
      </c>
      <c r="M234">
        <v>14</v>
      </c>
      <c r="N234">
        <v>-9</v>
      </c>
      <c r="O234">
        <v>9</v>
      </c>
      <c r="P234">
        <v>0</v>
      </c>
      <c r="Q234">
        <v>0</v>
      </c>
      <c r="R234">
        <v>0</v>
      </c>
      <c r="S234">
        <v>0</v>
      </c>
      <c r="T234">
        <v>5</v>
      </c>
      <c r="U234">
        <v>4</v>
      </c>
      <c r="V234">
        <v>3028</v>
      </c>
      <c r="W234" t="s">
        <v>6188</v>
      </c>
      <c r="X234" t="s">
        <v>6188</v>
      </c>
      <c r="Y234" t="s">
        <v>6188</v>
      </c>
      <c r="Z234" t="s">
        <v>354</v>
      </c>
      <c r="AA234" t="s">
        <v>4743</v>
      </c>
      <c r="AB234" t="s">
        <v>515</v>
      </c>
      <c r="AK234" t="s">
        <v>4762</v>
      </c>
    </row>
    <row r="235" spans="1:37" x14ac:dyDescent="0.3">
      <c r="A235" t="s">
        <v>6196</v>
      </c>
      <c r="B235">
        <v>13</v>
      </c>
      <c r="C235" t="s">
        <v>6242</v>
      </c>
      <c r="D235" s="1032">
        <v>44855</v>
      </c>
      <c r="E235" t="s">
        <v>626</v>
      </c>
      <c r="F235" t="s">
        <v>16</v>
      </c>
      <c r="G235" t="s">
        <v>6204</v>
      </c>
      <c r="M235">
        <v>14</v>
      </c>
      <c r="N235">
        <v>-9</v>
      </c>
      <c r="O235">
        <v>9</v>
      </c>
      <c r="P235">
        <v>1</v>
      </c>
      <c r="Q235">
        <v>0</v>
      </c>
      <c r="R235">
        <v>0</v>
      </c>
      <c r="S235">
        <v>1</v>
      </c>
      <c r="T235">
        <v>2</v>
      </c>
      <c r="U235">
        <v>3</v>
      </c>
      <c r="V235">
        <v>4318</v>
      </c>
      <c r="W235" t="s">
        <v>6120</v>
      </c>
      <c r="X235" t="s">
        <v>6077</v>
      </c>
      <c r="Y235" t="s">
        <v>6118</v>
      </c>
      <c r="AA235" t="s">
        <v>4758</v>
      </c>
      <c r="AB235" t="s">
        <v>4775</v>
      </c>
      <c r="AC235" t="s">
        <v>4776</v>
      </c>
      <c r="AD235" t="s">
        <v>4777</v>
      </c>
      <c r="AK235" t="s">
        <v>4761</v>
      </c>
    </row>
    <row r="236" spans="1:37" x14ac:dyDescent="0.3">
      <c r="A236" t="s">
        <v>6196</v>
      </c>
      <c r="B236">
        <v>14</v>
      </c>
      <c r="C236" t="s">
        <v>6243</v>
      </c>
      <c r="D236" s="1032">
        <v>44857</v>
      </c>
      <c r="E236" t="s">
        <v>328</v>
      </c>
      <c r="F236" t="s">
        <v>16</v>
      </c>
      <c r="G236" t="s">
        <v>6204</v>
      </c>
      <c r="M236">
        <v>14</v>
      </c>
      <c r="N236">
        <v>-9</v>
      </c>
      <c r="O236">
        <v>9</v>
      </c>
      <c r="P236">
        <v>2</v>
      </c>
      <c r="Q236">
        <v>0</v>
      </c>
      <c r="R236">
        <v>0</v>
      </c>
      <c r="S236">
        <v>1</v>
      </c>
      <c r="T236">
        <v>4</v>
      </c>
      <c r="U236">
        <v>2</v>
      </c>
      <c r="V236">
        <v>6409</v>
      </c>
      <c r="W236" t="s">
        <v>6187</v>
      </c>
      <c r="X236" t="s">
        <v>6102</v>
      </c>
      <c r="Y236" t="s">
        <v>6187</v>
      </c>
      <c r="AA236" t="s">
        <v>4759</v>
      </c>
      <c r="AB236" t="s">
        <v>4778</v>
      </c>
      <c r="AC236" t="s">
        <v>4779</v>
      </c>
      <c r="AD236" t="s">
        <v>4780</v>
      </c>
      <c r="AK236" t="s">
        <v>4760</v>
      </c>
    </row>
    <row r="237" spans="1:37" x14ac:dyDescent="0.3">
      <c r="A237" t="s">
        <v>6196</v>
      </c>
      <c r="B237">
        <v>15</v>
      </c>
      <c r="C237" t="s">
        <v>6245</v>
      </c>
      <c r="D237" s="1032">
        <v>44862</v>
      </c>
      <c r="E237" t="s">
        <v>325</v>
      </c>
      <c r="F237" t="s">
        <v>17</v>
      </c>
      <c r="G237" t="s">
        <v>6202</v>
      </c>
      <c r="M237">
        <v>14</v>
      </c>
      <c r="N237">
        <v>-9</v>
      </c>
      <c r="O237">
        <v>12</v>
      </c>
      <c r="P237">
        <v>3</v>
      </c>
      <c r="Q237">
        <v>0</v>
      </c>
      <c r="R237">
        <v>0</v>
      </c>
      <c r="S237">
        <v>0</v>
      </c>
      <c r="T237">
        <v>6</v>
      </c>
      <c r="U237">
        <v>2</v>
      </c>
      <c r="V237">
        <v>5107</v>
      </c>
      <c r="W237" t="s">
        <v>6188</v>
      </c>
      <c r="X237" t="s">
        <v>6089</v>
      </c>
      <c r="Y237" t="s">
        <v>6089</v>
      </c>
      <c r="AA237" t="s">
        <v>6202</v>
      </c>
      <c r="AB237" t="s">
        <v>4787</v>
      </c>
      <c r="AC237" t="s">
        <v>4788</v>
      </c>
      <c r="AD237" t="s">
        <v>4789</v>
      </c>
      <c r="AE237" t="s">
        <v>4790</v>
      </c>
      <c r="AK237" t="s">
        <v>4773</v>
      </c>
    </row>
    <row r="238" spans="1:37" x14ac:dyDescent="0.3">
      <c r="A238" t="s">
        <v>6196</v>
      </c>
      <c r="B238">
        <v>16</v>
      </c>
      <c r="C238" t="s">
        <v>6244</v>
      </c>
      <c r="D238" s="1032">
        <v>44864</v>
      </c>
      <c r="E238" t="s">
        <v>610</v>
      </c>
      <c r="F238" t="s">
        <v>16</v>
      </c>
      <c r="G238" t="s">
        <v>351</v>
      </c>
      <c r="M238">
        <v>14</v>
      </c>
      <c r="N238">
        <v>-7</v>
      </c>
      <c r="O238">
        <v>14</v>
      </c>
      <c r="P238">
        <v>0</v>
      </c>
      <c r="Q238">
        <v>0</v>
      </c>
      <c r="R238">
        <v>0</v>
      </c>
      <c r="S238">
        <v>0</v>
      </c>
      <c r="T238">
        <v>4</v>
      </c>
      <c r="U238">
        <v>3</v>
      </c>
      <c r="V238">
        <v>6067</v>
      </c>
      <c r="W238" t="s">
        <v>6194</v>
      </c>
      <c r="X238" t="s">
        <v>6188</v>
      </c>
      <c r="Y238" t="s">
        <v>6188</v>
      </c>
      <c r="Z238" t="s">
        <v>756</v>
      </c>
      <c r="AA238" t="s">
        <v>4774</v>
      </c>
      <c r="AB238" t="s">
        <v>4791</v>
      </c>
      <c r="AC238" t="s">
        <v>4792</v>
      </c>
      <c r="AD238" t="s">
        <v>4793</v>
      </c>
      <c r="AK238" t="s">
        <v>4772</v>
      </c>
    </row>
    <row r="239" spans="1:37" x14ac:dyDescent="0.3">
      <c r="A239" t="s">
        <v>6196</v>
      </c>
      <c r="B239">
        <v>17</v>
      </c>
      <c r="C239" t="s">
        <v>6247</v>
      </c>
      <c r="D239" s="1032">
        <v>44866</v>
      </c>
      <c r="E239" t="s">
        <v>6091</v>
      </c>
      <c r="F239" t="s">
        <v>17</v>
      </c>
      <c r="G239" t="s">
        <v>6191</v>
      </c>
      <c r="M239">
        <v>13</v>
      </c>
      <c r="N239">
        <v>-7</v>
      </c>
      <c r="O239">
        <v>17</v>
      </c>
      <c r="P239">
        <v>1</v>
      </c>
      <c r="Q239">
        <v>0</v>
      </c>
      <c r="R239">
        <v>0</v>
      </c>
      <c r="S239">
        <v>1</v>
      </c>
      <c r="T239">
        <v>3</v>
      </c>
      <c r="U239">
        <v>3</v>
      </c>
      <c r="V239">
        <v>3214</v>
      </c>
      <c r="W239" t="s">
        <v>6100</v>
      </c>
      <c r="X239" t="s">
        <v>6089</v>
      </c>
      <c r="Y239" t="s">
        <v>6102</v>
      </c>
      <c r="AA239" t="s">
        <v>4783</v>
      </c>
      <c r="AB239" t="s">
        <v>4794</v>
      </c>
      <c r="AC239" t="s">
        <v>4795</v>
      </c>
      <c r="AD239" t="s">
        <v>4796</v>
      </c>
      <c r="AE239" t="s">
        <v>4797</v>
      </c>
      <c r="AF239" t="s">
        <v>4798</v>
      </c>
      <c r="AG239" t="s">
        <v>4799</v>
      </c>
      <c r="AK239" t="s">
        <v>4781</v>
      </c>
    </row>
    <row r="240" spans="1:37" x14ac:dyDescent="0.3">
      <c r="A240" t="s">
        <v>6196</v>
      </c>
      <c r="B240">
        <v>18</v>
      </c>
      <c r="C240" t="s">
        <v>6248</v>
      </c>
      <c r="D240" s="1032">
        <v>44869</v>
      </c>
      <c r="E240" t="s">
        <v>332</v>
      </c>
      <c r="F240" t="s">
        <v>16</v>
      </c>
      <c r="G240" t="s">
        <v>171</v>
      </c>
      <c r="M240">
        <v>14</v>
      </c>
      <c r="N240">
        <v>-6</v>
      </c>
      <c r="O240">
        <v>18</v>
      </c>
      <c r="P240">
        <v>0</v>
      </c>
      <c r="Q240">
        <v>0</v>
      </c>
      <c r="R240">
        <v>0</v>
      </c>
      <c r="S240">
        <v>0</v>
      </c>
      <c r="T240">
        <v>1</v>
      </c>
      <c r="U240">
        <v>2</v>
      </c>
      <c r="V240">
        <v>4379</v>
      </c>
      <c r="W240" t="s">
        <v>6120</v>
      </c>
      <c r="X240" t="s">
        <v>6120</v>
      </c>
      <c r="Y240" t="s">
        <v>6171</v>
      </c>
      <c r="Z240" t="s">
        <v>3213</v>
      </c>
      <c r="AA240" t="s">
        <v>3465</v>
      </c>
      <c r="AB240" t="s">
        <v>4800</v>
      </c>
      <c r="AC240" t="s">
        <v>4801</v>
      </c>
      <c r="AK240" t="s">
        <v>4785</v>
      </c>
    </row>
    <row r="241" spans="1:37" x14ac:dyDescent="0.3">
      <c r="A241" t="s">
        <v>6196</v>
      </c>
      <c r="B241">
        <v>19</v>
      </c>
      <c r="C241" t="s">
        <v>6249</v>
      </c>
      <c r="D241" s="1032">
        <v>44871</v>
      </c>
      <c r="E241" t="s">
        <v>6076</v>
      </c>
      <c r="F241" t="s">
        <v>17</v>
      </c>
      <c r="G241" t="s">
        <v>6212</v>
      </c>
      <c r="M241">
        <v>12</v>
      </c>
      <c r="N241">
        <v>-6</v>
      </c>
      <c r="O241">
        <v>21</v>
      </c>
      <c r="P241">
        <v>1</v>
      </c>
      <c r="Q241">
        <v>0</v>
      </c>
      <c r="R241">
        <v>0</v>
      </c>
      <c r="S241">
        <v>1</v>
      </c>
      <c r="T241">
        <v>4</v>
      </c>
      <c r="U241">
        <v>5</v>
      </c>
      <c r="V241">
        <v>4023</v>
      </c>
      <c r="W241" t="s">
        <v>6187</v>
      </c>
      <c r="X241" t="s">
        <v>6120</v>
      </c>
      <c r="Y241" t="s">
        <v>6113</v>
      </c>
      <c r="AA241" t="s">
        <v>4786</v>
      </c>
      <c r="AB241" t="s">
        <v>4802</v>
      </c>
      <c r="AC241" t="s">
        <v>4803</v>
      </c>
      <c r="AD241" t="s">
        <v>4804</v>
      </c>
      <c r="AE241" t="s">
        <v>4805</v>
      </c>
      <c r="AF241" t="s">
        <v>4806</v>
      </c>
      <c r="AK241" t="s">
        <v>4784</v>
      </c>
    </row>
    <row r="242" spans="1:37" x14ac:dyDescent="0.3">
      <c r="A242" t="s">
        <v>6196</v>
      </c>
      <c r="B242">
        <v>20</v>
      </c>
      <c r="C242" t="s">
        <v>6250</v>
      </c>
      <c r="D242" s="1032">
        <v>44883</v>
      </c>
      <c r="E242" t="s">
        <v>1274</v>
      </c>
      <c r="F242" t="s">
        <v>16</v>
      </c>
      <c r="G242" t="s">
        <v>6079</v>
      </c>
      <c r="M242">
        <v>13</v>
      </c>
      <c r="N242">
        <v>-6</v>
      </c>
      <c r="O242">
        <v>21</v>
      </c>
      <c r="P242">
        <v>0</v>
      </c>
      <c r="Q242">
        <v>0</v>
      </c>
      <c r="R242">
        <v>0</v>
      </c>
      <c r="S242">
        <v>0</v>
      </c>
      <c r="T242">
        <v>6</v>
      </c>
      <c r="U242">
        <v>3</v>
      </c>
      <c r="V242">
        <v>4078</v>
      </c>
      <c r="W242" t="s">
        <v>6188</v>
      </c>
      <c r="X242" t="s">
        <v>6188</v>
      </c>
      <c r="Y242" t="s">
        <v>6079</v>
      </c>
      <c r="AA242" t="s">
        <v>6079</v>
      </c>
      <c r="AB242" t="s">
        <v>515</v>
      </c>
      <c r="AK242" t="s">
        <v>4896</v>
      </c>
    </row>
    <row r="243" spans="1:37" x14ac:dyDescent="0.3">
      <c r="A243" t="s">
        <v>6196</v>
      </c>
      <c r="B243">
        <v>21</v>
      </c>
      <c r="C243" t="s">
        <v>6251</v>
      </c>
      <c r="D243" s="1032">
        <v>44885</v>
      </c>
      <c r="E243" t="s">
        <v>6179</v>
      </c>
      <c r="F243" t="s">
        <v>17</v>
      </c>
      <c r="G243" t="s">
        <v>6190</v>
      </c>
      <c r="M243">
        <v>11</v>
      </c>
      <c r="N243">
        <v>-6</v>
      </c>
      <c r="O243">
        <v>24</v>
      </c>
      <c r="P243">
        <v>1</v>
      </c>
      <c r="Q243">
        <v>0</v>
      </c>
      <c r="R243">
        <v>0</v>
      </c>
      <c r="S243">
        <v>0</v>
      </c>
      <c r="T243">
        <v>3</v>
      </c>
      <c r="U243">
        <v>2</v>
      </c>
      <c r="V243">
        <v>3968</v>
      </c>
      <c r="W243" t="s">
        <v>6089</v>
      </c>
      <c r="X243" t="s">
        <v>6120</v>
      </c>
      <c r="Y243" t="s">
        <v>6118</v>
      </c>
      <c r="AA243" t="s">
        <v>4897</v>
      </c>
      <c r="AB243" t="s">
        <v>5046</v>
      </c>
      <c r="AC243" t="s">
        <v>5047</v>
      </c>
      <c r="AD243" t="s">
        <v>5048</v>
      </c>
      <c r="AE243" t="s">
        <v>5049</v>
      </c>
      <c r="AF243" t="s">
        <v>5050</v>
      </c>
      <c r="AK243" t="s">
        <v>4784</v>
      </c>
    </row>
    <row r="244" spans="1:37" x14ac:dyDescent="0.3">
      <c r="A244" t="s">
        <v>6196</v>
      </c>
      <c r="B244">
        <v>22</v>
      </c>
      <c r="C244" t="s">
        <v>6252</v>
      </c>
      <c r="D244" s="1032">
        <v>44890</v>
      </c>
      <c r="E244" t="s">
        <v>334</v>
      </c>
      <c r="F244" t="s">
        <v>17</v>
      </c>
      <c r="G244" t="s">
        <v>589</v>
      </c>
      <c r="M244">
        <v>12</v>
      </c>
      <c r="N244">
        <v>-8</v>
      </c>
      <c r="O244">
        <v>25</v>
      </c>
      <c r="P244">
        <v>0</v>
      </c>
      <c r="Q244">
        <v>0</v>
      </c>
      <c r="R244">
        <v>0</v>
      </c>
      <c r="S244">
        <v>2</v>
      </c>
      <c r="T244">
        <v>5</v>
      </c>
      <c r="U244">
        <v>4</v>
      </c>
      <c r="V244">
        <v>3469</v>
      </c>
      <c r="W244" t="s">
        <v>6188</v>
      </c>
      <c r="X244" t="s">
        <v>6187</v>
      </c>
      <c r="Y244" t="s">
        <v>6188</v>
      </c>
      <c r="Z244" t="s">
        <v>3213</v>
      </c>
      <c r="AA244" t="s">
        <v>4898</v>
      </c>
      <c r="AB244" t="s">
        <v>4901</v>
      </c>
      <c r="AK244" t="s">
        <v>4900</v>
      </c>
    </row>
    <row r="245" spans="1:37" x14ac:dyDescent="0.3">
      <c r="A245" t="s">
        <v>6196</v>
      </c>
      <c r="B245">
        <v>23</v>
      </c>
      <c r="C245" t="s">
        <v>6253</v>
      </c>
      <c r="D245" s="1032">
        <v>44892</v>
      </c>
      <c r="E245" t="s">
        <v>6086</v>
      </c>
      <c r="F245" t="s">
        <v>16</v>
      </c>
      <c r="G245" t="s">
        <v>6205</v>
      </c>
      <c r="M245">
        <v>12</v>
      </c>
      <c r="N245">
        <v>-8</v>
      </c>
      <c r="O245">
        <v>25</v>
      </c>
      <c r="P245">
        <v>0</v>
      </c>
      <c r="Q245">
        <v>0</v>
      </c>
      <c r="R245">
        <v>0</v>
      </c>
      <c r="S245">
        <v>1</v>
      </c>
      <c r="T245">
        <v>3</v>
      </c>
      <c r="U245">
        <v>5</v>
      </c>
      <c r="V245">
        <v>2643</v>
      </c>
      <c r="W245" t="s">
        <v>6110</v>
      </c>
      <c r="X245" t="s">
        <v>6097</v>
      </c>
      <c r="Y245" t="s">
        <v>6077</v>
      </c>
      <c r="AA245" t="s">
        <v>4899</v>
      </c>
      <c r="AB245" t="s">
        <v>5051</v>
      </c>
      <c r="AC245" t="s">
        <v>5052</v>
      </c>
      <c r="AD245" t="s">
        <v>5053</v>
      </c>
      <c r="AE245" t="s">
        <v>5054</v>
      </c>
      <c r="AK245" t="s">
        <v>4900</v>
      </c>
    </row>
    <row r="246" spans="1:37" x14ac:dyDescent="0.3">
      <c r="A246" t="s">
        <v>6196</v>
      </c>
      <c r="B246">
        <v>24</v>
      </c>
      <c r="C246" t="s">
        <v>6254</v>
      </c>
      <c r="D246" s="1032">
        <v>44894</v>
      </c>
      <c r="E246" t="s">
        <v>331</v>
      </c>
      <c r="F246" t="s">
        <v>17</v>
      </c>
      <c r="G246" t="s">
        <v>6082</v>
      </c>
      <c r="M246">
        <v>12</v>
      </c>
      <c r="N246">
        <v>-11</v>
      </c>
      <c r="O246">
        <v>25</v>
      </c>
      <c r="P246">
        <v>1</v>
      </c>
      <c r="Q246">
        <v>0</v>
      </c>
      <c r="R246">
        <v>1</v>
      </c>
      <c r="S246">
        <v>1</v>
      </c>
      <c r="T246">
        <v>4</v>
      </c>
      <c r="U246">
        <v>4</v>
      </c>
      <c r="V246">
        <v>3011</v>
      </c>
      <c r="W246" t="s">
        <v>6102</v>
      </c>
      <c r="X246" t="s">
        <v>6188</v>
      </c>
      <c r="Y246" t="s">
        <v>6187</v>
      </c>
      <c r="AA246" t="s">
        <v>3767</v>
      </c>
      <c r="AB246" t="s">
        <v>5055</v>
      </c>
      <c r="AC246" t="s">
        <v>5056</v>
      </c>
      <c r="AK246" t="s">
        <v>4902</v>
      </c>
    </row>
    <row r="247" spans="1:37" x14ac:dyDescent="0.3">
      <c r="A247" t="s">
        <v>6196</v>
      </c>
      <c r="B247">
        <v>25</v>
      </c>
      <c r="C247" t="s">
        <v>6256</v>
      </c>
      <c r="D247" s="1032">
        <v>44899</v>
      </c>
      <c r="E247" t="s">
        <v>626</v>
      </c>
      <c r="F247" t="s">
        <v>17</v>
      </c>
      <c r="G247" t="s">
        <v>6212</v>
      </c>
      <c r="M247">
        <v>12</v>
      </c>
      <c r="N247">
        <v>-11</v>
      </c>
      <c r="O247">
        <v>28</v>
      </c>
      <c r="P247">
        <v>1</v>
      </c>
      <c r="Q247">
        <v>0</v>
      </c>
      <c r="R247">
        <v>0</v>
      </c>
      <c r="S247">
        <v>1</v>
      </c>
      <c r="T247">
        <v>2</v>
      </c>
      <c r="U247">
        <v>2</v>
      </c>
      <c r="V247">
        <v>3047</v>
      </c>
      <c r="W247" t="s">
        <v>6189</v>
      </c>
      <c r="X247" t="s">
        <v>6194</v>
      </c>
      <c r="Y247" t="s">
        <v>6110</v>
      </c>
      <c r="AA247" t="s">
        <v>5041</v>
      </c>
      <c r="AB247" t="s">
        <v>5057</v>
      </c>
      <c r="AC247" t="s">
        <v>5058</v>
      </c>
      <c r="AD247" t="s">
        <v>5059</v>
      </c>
      <c r="AE247" t="s">
        <v>5060</v>
      </c>
      <c r="AF247" t="s">
        <v>5061</v>
      </c>
      <c r="AK247" t="s">
        <v>5042</v>
      </c>
    </row>
    <row r="248" spans="1:37" x14ac:dyDescent="0.3">
      <c r="A248" t="s">
        <v>6196</v>
      </c>
      <c r="B248">
        <v>26</v>
      </c>
      <c r="C248" t="s">
        <v>6255</v>
      </c>
      <c r="D248" s="1032">
        <v>44901</v>
      </c>
      <c r="E248" t="s">
        <v>327</v>
      </c>
      <c r="F248" t="s">
        <v>16</v>
      </c>
      <c r="G248" t="s">
        <v>6189</v>
      </c>
      <c r="M248">
        <v>12</v>
      </c>
      <c r="N248">
        <v>-11</v>
      </c>
      <c r="O248">
        <v>28</v>
      </c>
      <c r="P248">
        <v>0</v>
      </c>
      <c r="Q248">
        <v>0</v>
      </c>
      <c r="R248">
        <v>0</v>
      </c>
      <c r="S248">
        <v>1</v>
      </c>
      <c r="T248">
        <v>5</v>
      </c>
      <c r="U248">
        <v>5</v>
      </c>
      <c r="V248">
        <v>7568</v>
      </c>
      <c r="W248" t="s">
        <v>6188</v>
      </c>
      <c r="X248" t="s">
        <v>6189</v>
      </c>
      <c r="Y248" t="s">
        <v>6188</v>
      </c>
      <c r="AA248" t="s">
        <v>6189</v>
      </c>
      <c r="AB248" t="s">
        <v>515</v>
      </c>
      <c r="AK248" t="s">
        <v>5045</v>
      </c>
    </row>
    <row r="249" spans="1:37" x14ac:dyDescent="0.3">
      <c r="A249" t="s">
        <v>6196</v>
      </c>
      <c r="B249">
        <v>27</v>
      </c>
      <c r="C249" t="s">
        <v>6257</v>
      </c>
      <c r="D249" s="1032">
        <v>44904</v>
      </c>
      <c r="E249" t="s">
        <v>328</v>
      </c>
      <c r="F249" t="s">
        <v>17</v>
      </c>
      <c r="G249" t="s">
        <v>6212</v>
      </c>
      <c r="M249">
        <v>12</v>
      </c>
      <c r="N249">
        <v>-11</v>
      </c>
      <c r="O249">
        <v>31</v>
      </c>
      <c r="P249">
        <v>1</v>
      </c>
      <c r="Q249">
        <v>0</v>
      </c>
      <c r="R249">
        <v>0</v>
      </c>
      <c r="S249">
        <v>1</v>
      </c>
      <c r="T249">
        <v>7</v>
      </c>
      <c r="U249">
        <v>1</v>
      </c>
      <c r="V249">
        <v>3015</v>
      </c>
      <c r="W249" t="s">
        <v>6102</v>
      </c>
      <c r="X249" t="s">
        <v>6089</v>
      </c>
      <c r="Y249" t="s">
        <v>6089</v>
      </c>
      <c r="AA249" t="s">
        <v>5080</v>
      </c>
      <c r="AB249" t="s">
        <v>5091</v>
      </c>
      <c r="AC249" t="s">
        <v>5092</v>
      </c>
      <c r="AD249" t="s">
        <v>5093</v>
      </c>
      <c r="AE249" t="s">
        <v>5094</v>
      </c>
      <c r="AF249" t="s">
        <v>5095</v>
      </c>
      <c r="AK249" t="s">
        <v>5082</v>
      </c>
    </row>
    <row r="250" spans="1:37" x14ac:dyDescent="0.3">
      <c r="A250" t="s">
        <v>6196</v>
      </c>
      <c r="B250">
        <v>28</v>
      </c>
      <c r="C250" t="s">
        <v>6258</v>
      </c>
      <c r="D250" s="1032">
        <v>44906</v>
      </c>
      <c r="E250" t="s">
        <v>325</v>
      </c>
      <c r="F250" t="s">
        <v>17</v>
      </c>
      <c r="G250" t="s">
        <v>6133</v>
      </c>
      <c r="M250">
        <v>12</v>
      </c>
      <c r="N250">
        <v>-11</v>
      </c>
      <c r="O250">
        <v>34</v>
      </c>
      <c r="P250">
        <v>0</v>
      </c>
      <c r="Q250">
        <v>1</v>
      </c>
      <c r="R250">
        <v>0</v>
      </c>
      <c r="S250">
        <v>1</v>
      </c>
      <c r="T250">
        <v>4</v>
      </c>
      <c r="U250">
        <v>4</v>
      </c>
      <c r="V250">
        <v>4125</v>
      </c>
      <c r="W250" t="s">
        <v>6089</v>
      </c>
      <c r="X250" t="s">
        <v>6194</v>
      </c>
      <c r="Y250" t="s">
        <v>6120</v>
      </c>
      <c r="AA250" t="s">
        <v>5081</v>
      </c>
      <c r="AB250" t="s">
        <v>5096</v>
      </c>
      <c r="AC250" t="s">
        <v>5097</v>
      </c>
      <c r="AD250" t="s">
        <v>5098</v>
      </c>
      <c r="AE250" t="s">
        <v>5099</v>
      </c>
      <c r="AF250" t="s">
        <v>5100</v>
      </c>
      <c r="AK250" t="s">
        <v>5083</v>
      </c>
    </row>
    <row r="251" spans="1:37" x14ac:dyDescent="0.3">
      <c r="A251" t="s">
        <v>6196</v>
      </c>
      <c r="B251">
        <v>29</v>
      </c>
      <c r="C251" t="s">
        <v>6259</v>
      </c>
      <c r="D251" s="1032">
        <v>44915</v>
      </c>
      <c r="E251" t="s">
        <v>610</v>
      </c>
      <c r="F251" t="s">
        <v>17</v>
      </c>
      <c r="G251" t="s">
        <v>352</v>
      </c>
      <c r="M251">
        <v>11</v>
      </c>
      <c r="N251">
        <v>-12</v>
      </c>
      <c r="O251">
        <v>36</v>
      </c>
      <c r="P251">
        <v>0</v>
      </c>
      <c r="Q251">
        <v>0</v>
      </c>
      <c r="R251">
        <v>0</v>
      </c>
      <c r="S251">
        <v>1</v>
      </c>
      <c r="T251">
        <v>4</v>
      </c>
      <c r="U251">
        <v>4</v>
      </c>
      <c r="V251">
        <v>2877</v>
      </c>
      <c r="W251" t="s">
        <v>6187</v>
      </c>
      <c r="X251" t="s">
        <v>6120</v>
      </c>
      <c r="Y251" t="s">
        <v>6189</v>
      </c>
      <c r="Z251" t="s">
        <v>355</v>
      </c>
      <c r="AA251" t="s">
        <v>5090</v>
      </c>
      <c r="AB251" t="s">
        <v>5111</v>
      </c>
      <c r="AC251" t="s">
        <v>5112</v>
      </c>
      <c r="AD251" t="s">
        <v>5114</v>
      </c>
      <c r="AJ251" t="s">
        <v>5113</v>
      </c>
      <c r="AK251" t="s">
        <v>5089</v>
      </c>
    </row>
    <row r="252" spans="1:37" x14ac:dyDescent="0.3">
      <c r="A252" t="s">
        <v>6196</v>
      </c>
      <c r="B252">
        <v>30</v>
      </c>
      <c r="C252" t="s">
        <v>6260</v>
      </c>
      <c r="D252" s="1032">
        <v>44917</v>
      </c>
      <c r="E252" t="s">
        <v>6091</v>
      </c>
      <c r="F252" t="s">
        <v>16</v>
      </c>
      <c r="G252" t="s">
        <v>6133</v>
      </c>
      <c r="M252">
        <v>11</v>
      </c>
      <c r="N252">
        <v>-9</v>
      </c>
      <c r="O252">
        <v>39</v>
      </c>
      <c r="P252">
        <v>2</v>
      </c>
      <c r="Q252">
        <v>0</v>
      </c>
      <c r="R252">
        <v>0</v>
      </c>
      <c r="S252">
        <v>2</v>
      </c>
      <c r="T252">
        <v>6</v>
      </c>
      <c r="U252">
        <v>6</v>
      </c>
      <c r="V252">
        <v>6008</v>
      </c>
      <c r="W252" t="s">
        <v>6118</v>
      </c>
      <c r="X252" t="s">
        <v>6187</v>
      </c>
      <c r="Y252" t="s">
        <v>6089</v>
      </c>
      <c r="AA252" t="s">
        <v>5101</v>
      </c>
      <c r="AB252" t="s">
        <v>5115</v>
      </c>
      <c r="AC252" t="s">
        <v>5116</v>
      </c>
      <c r="AD252" t="s">
        <v>5117</v>
      </c>
      <c r="AE252" t="s">
        <v>5118</v>
      </c>
      <c r="AF252" t="s">
        <v>5119</v>
      </c>
      <c r="AK252" t="s">
        <v>5102</v>
      </c>
    </row>
    <row r="253" spans="1:37" x14ac:dyDescent="0.3">
      <c r="A253" t="s">
        <v>6196</v>
      </c>
      <c r="B253">
        <v>31</v>
      </c>
      <c r="C253" t="s">
        <v>6261</v>
      </c>
      <c r="D253" s="1032">
        <v>44921</v>
      </c>
      <c r="E253" t="s">
        <v>332</v>
      </c>
      <c r="F253" t="s">
        <v>17</v>
      </c>
      <c r="G253" t="s">
        <v>6146</v>
      </c>
      <c r="M253">
        <v>11</v>
      </c>
      <c r="N253">
        <v>-12</v>
      </c>
      <c r="O253">
        <v>39</v>
      </c>
      <c r="P253">
        <v>0</v>
      </c>
      <c r="Q253">
        <v>0</v>
      </c>
      <c r="R253">
        <v>0</v>
      </c>
      <c r="S253">
        <v>0</v>
      </c>
      <c r="T253">
        <v>4</v>
      </c>
      <c r="U253">
        <v>2</v>
      </c>
      <c r="V253">
        <v>5944</v>
      </c>
      <c r="W253" t="s">
        <v>6187</v>
      </c>
      <c r="X253" t="s">
        <v>6187</v>
      </c>
      <c r="Y253" t="s">
        <v>6189</v>
      </c>
      <c r="AA253" t="s">
        <v>4408</v>
      </c>
      <c r="AB253" t="s">
        <v>5121</v>
      </c>
      <c r="AC253" t="s">
        <v>5122</v>
      </c>
      <c r="AK253" t="s">
        <v>5120</v>
      </c>
    </row>
    <row r="254" spans="1:37" x14ac:dyDescent="0.3">
      <c r="A254" t="s">
        <v>6196</v>
      </c>
      <c r="B254">
        <v>32</v>
      </c>
      <c r="C254" t="s">
        <v>6262</v>
      </c>
      <c r="D254" s="1032">
        <v>44923</v>
      </c>
      <c r="E254" t="s">
        <v>6076</v>
      </c>
      <c r="F254" t="s">
        <v>16</v>
      </c>
      <c r="G254" t="s">
        <v>6079</v>
      </c>
      <c r="M254">
        <v>11</v>
      </c>
      <c r="N254">
        <v>-12</v>
      </c>
      <c r="O254">
        <v>39</v>
      </c>
      <c r="P254">
        <v>0</v>
      </c>
      <c r="Q254">
        <v>0</v>
      </c>
      <c r="R254">
        <v>0</v>
      </c>
      <c r="S254">
        <v>1</v>
      </c>
      <c r="T254">
        <v>4</v>
      </c>
      <c r="U254">
        <v>6</v>
      </c>
      <c r="V254">
        <v>4839</v>
      </c>
      <c r="W254" t="s">
        <v>6189</v>
      </c>
      <c r="X254" t="s">
        <v>6189</v>
      </c>
      <c r="Y254" t="s">
        <v>6189</v>
      </c>
      <c r="AA254" t="s">
        <v>6079</v>
      </c>
      <c r="AB254" t="s">
        <v>515</v>
      </c>
      <c r="AK254" t="s">
        <v>5123</v>
      </c>
    </row>
    <row r="255" spans="1:37" x14ac:dyDescent="0.3">
      <c r="A255" t="s">
        <v>6196</v>
      </c>
      <c r="B255">
        <v>33</v>
      </c>
      <c r="C255" t="s">
        <v>6263</v>
      </c>
      <c r="D255" s="1032">
        <v>44925</v>
      </c>
      <c r="E255" t="s">
        <v>1274</v>
      </c>
      <c r="F255" t="s">
        <v>17</v>
      </c>
      <c r="G255" t="s">
        <v>171</v>
      </c>
      <c r="M255">
        <v>11</v>
      </c>
      <c r="N255">
        <v>-14</v>
      </c>
      <c r="O255">
        <v>40</v>
      </c>
      <c r="P255">
        <v>0</v>
      </c>
      <c r="Q255">
        <v>0</v>
      </c>
      <c r="R255">
        <v>0</v>
      </c>
      <c r="S255">
        <v>1</v>
      </c>
      <c r="T255">
        <v>3</v>
      </c>
      <c r="U255">
        <v>4</v>
      </c>
      <c r="V255">
        <v>4655</v>
      </c>
      <c r="W255" t="s">
        <v>6189</v>
      </c>
      <c r="X255" t="s">
        <v>6089</v>
      </c>
      <c r="Y255" t="s">
        <v>6189</v>
      </c>
      <c r="Z255" t="s">
        <v>3213</v>
      </c>
      <c r="AA255" t="s">
        <v>5106</v>
      </c>
      <c r="AB255" t="s">
        <v>5124</v>
      </c>
      <c r="AC255" t="s">
        <v>5125</v>
      </c>
      <c r="AK255" t="s">
        <v>5128</v>
      </c>
    </row>
    <row r="256" spans="1:37" x14ac:dyDescent="0.3">
      <c r="A256" t="s">
        <v>6196</v>
      </c>
      <c r="B256">
        <v>34</v>
      </c>
      <c r="C256" t="s">
        <v>6264</v>
      </c>
      <c r="D256" s="1032">
        <v>44929</v>
      </c>
      <c r="E256" t="s">
        <v>6179</v>
      </c>
      <c r="F256" t="s">
        <v>16</v>
      </c>
      <c r="G256" t="s">
        <v>6102</v>
      </c>
      <c r="M256">
        <v>12</v>
      </c>
      <c r="N256">
        <v>-14</v>
      </c>
      <c r="O256">
        <v>40</v>
      </c>
      <c r="P256">
        <v>0</v>
      </c>
      <c r="Q256">
        <v>0</v>
      </c>
      <c r="R256">
        <v>0</v>
      </c>
      <c r="S256">
        <v>1</v>
      </c>
      <c r="T256">
        <v>3</v>
      </c>
      <c r="U256">
        <v>3</v>
      </c>
      <c r="V256">
        <v>5098</v>
      </c>
      <c r="W256" t="s">
        <v>6188</v>
      </c>
      <c r="X256" t="s">
        <v>6188</v>
      </c>
      <c r="Y256" t="s">
        <v>6102</v>
      </c>
      <c r="AA256" t="s">
        <v>3601</v>
      </c>
      <c r="AB256" t="s">
        <v>5126</v>
      </c>
      <c r="AK256" t="s">
        <v>5127</v>
      </c>
    </row>
    <row r="257" spans="1:37" x14ac:dyDescent="0.3">
      <c r="A257" t="s">
        <v>6196</v>
      </c>
      <c r="B257">
        <v>35</v>
      </c>
      <c r="C257" t="s">
        <v>6265</v>
      </c>
      <c r="D257" s="1032">
        <v>44932</v>
      </c>
      <c r="E257" t="s">
        <v>334</v>
      </c>
      <c r="F257" t="s">
        <v>16</v>
      </c>
      <c r="G257" t="s">
        <v>171</v>
      </c>
      <c r="M257">
        <v>11</v>
      </c>
      <c r="N257">
        <v>-13</v>
      </c>
      <c r="O257">
        <v>41</v>
      </c>
      <c r="P257">
        <v>1</v>
      </c>
      <c r="Q257">
        <v>0</v>
      </c>
      <c r="R257">
        <v>0</v>
      </c>
      <c r="S257">
        <v>0</v>
      </c>
      <c r="T257">
        <v>3</v>
      </c>
      <c r="U257">
        <v>5</v>
      </c>
      <c r="V257">
        <v>4571</v>
      </c>
      <c r="W257" t="s">
        <v>6097</v>
      </c>
      <c r="X257" t="s">
        <v>6188</v>
      </c>
      <c r="Y257" t="s">
        <v>6120</v>
      </c>
      <c r="Z257" t="s">
        <v>3213</v>
      </c>
      <c r="AA257" t="s">
        <v>5144</v>
      </c>
      <c r="AB257" t="s">
        <v>5147</v>
      </c>
      <c r="AC257" t="s">
        <v>5148</v>
      </c>
      <c r="AK257" t="s">
        <v>5141</v>
      </c>
    </row>
    <row r="258" spans="1:37" x14ac:dyDescent="0.3">
      <c r="A258" t="s">
        <v>6196</v>
      </c>
      <c r="B258">
        <v>36</v>
      </c>
      <c r="C258" t="s">
        <v>6266</v>
      </c>
      <c r="D258" s="1032">
        <v>44934</v>
      </c>
      <c r="E258" t="s">
        <v>6086</v>
      </c>
      <c r="F258" t="s">
        <v>17</v>
      </c>
      <c r="G258" t="s">
        <v>6192</v>
      </c>
      <c r="M258">
        <v>10</v>
      </c>
      <c r="N258">
        <v>-13</v>
      </c>
      <c r="O258">
        <v>44</v>
      </c>
      <c r="P258">
        <v>2</v>
      </c>
      <c r="Q258">
        <v>0</v>
      </c>
      <c r="R258">
        <v>1</v>
      </c>
      <c r="S258">
        <v>0</v>
      </c>
      <c r="T258">
        <v>6</v>
      </c>
      <c r="U258">
        <v>4</v>
      </c>
      <c r="V258">
        <v>3811</v>
      </c>
      <c r="W258" t="s">
        <v>6189</v>
      </c>
      <c r="X258" t="s">
        <v>6113</v>
      </c>
      <c r="Y258" t="s">
        <v>6120</v>
      </c>
      <c r="AA258" t="s">
        <v>5143</v>
      </c>
      <c r="AB258" t="s">
        <v>5149</v>
      </c>
      <c r="AC258" t="s">
        <v>5150</v>
      </c>
      <c r="AD258" t="s">
        <v>5152</v>
      </c>
      <c r="AE258" t="s">
        <v>5151</v>
      </c>
      <c r="AJ258" t="s">
        <v>4208</v>
      </c>
      <c r="AK258" t="s">
        <v>5142</v>
      </c>
    </row>
    <row r="259" spans="1:37" x14ac:dyDescent="0.3">
      <c r="A259" t="s">
        <v>6196</v>
      </c>
      <c r="B259">
        <v>37</v>
      </c>
      <c r="C259" t="s">
        <v>6267</v>
      </c>
      <c r="D259" s="1032">
        <v>44939</v>
      </c>
      <c r="E259" t="s">
        <v>331</v>
      </c>
      <c r="F259" t="s">
        <v>16</v>
      </c>
      <c r="G259" t="s">
        <v>6128</v>
      </c>
      <c r="M259">
        <v>11</v>
      </c>
      <c r="N259">
        <v>-13</v>
      </c>
      <c r="O259">
        <v>44</v>
      </c>
      <c r="P259">
        <v>0</v>
      </c>
      <c r="Q259">
        <v>0</v>
      </c>
      <c r="R259">
        <v>1</v>
      </c>
      <c r="S259">
        <v>0</v>
      </c>
      <c r="T259">
        <v>4</v>
      </c>
      <c r="U259">
        <v>2</v>
      </c>
      <c r="V259">
        <v>4328</v>
      </c>
      <c r="W259" t="s">
        <v>6120</v>
      </c>
      <c r="X259" t="s">
        <v>6171</v>
      </c>
      <c r="Y259" t="s">
        <v>6171</v>
      </c>
      <c r="AA259" t="s">
        <v>4516</v>
      </c>
      <c r="AB259" t="s">
        <v>5154</v>
      </c>
      <c r="AK259" t="s">
        <v>5153</v>
      </c>
    </row>
    <row r="260" spans="1:37" x14ac:dyDescent="0.3">
      <c r="A260" t="s">
        <v>6196</v>
      </c>
      <c r="B260">
        <v>38</v>
      </c>
      <c r="C260" t="s">
        <v>6268</v>
      </c>
      <c r="D260" s="1032">
        <v>44941</v>
      </c>
      <c r="E260" t="s">
        <v>327</v>
      </c>
      <c r="F260" t="s">
        <v>17</v>
      </c>
      <c r="G260" t="s">
        <v>6097</v>
      </c>
      <c r="M260">
        <v>11</v>
      </c>
      <c r="N260">
        <v>-16</v>
      </c>
      <c r="O260">
        <v>44</v>
      </c>
      <c r="P260">
        <v>1</v>
      </c>
      <c r="Q260">
        <v>0</v>
      </c>
      <c r="R260">
        <v>0</v>
      </c>
      <c r="S260">
        <v>0</v>
      </c>
      <c r="T260">
        <v>4</v>
      </c>
      <c r="U260">
        <v>0</v>
      </c>
      <c r="V260">
        <v>4518</v>
      </c>
      <c r="W260" t="s">
        <v>6188</v>
      </c>
      <c r="X260" t="s">
        <v>6187</v>
      </c>
      <c r="Y260" t="s">
        <v>6189</v>
      </c>
      <c r="AA260" t="s">
        <v>3062</v>
      </c>
      <c r="AB260" t="s">
        <v>5178</v>
      </c>
      <c r="AK260" t="s">
        <v>5155</v>
      </c>
    </row>
    <row r="261" spans="1:37" x14ac:dyDescent="0.3">
      <c r="A261" t="s">
        <v>6196</v>
      </c>
      <c r="B261">
        <v>39</v>
      </c>
      <c r="C261" t="s">
        <v>6269</v>
      </c>
      <c r="D261" s="1032">
        <v>44946</v>
      </c>
      <c r="E261" t="s">
        <v>626</v>
      </c>
      <c r="F261" t="s">
        <v>16</v>
      </c>
      <c r="G261" t="s">
        <v>6219</v>
      </c>
      <c r="M261">
        <v>10</v>
      </c>
      <c r="N261">
        <v>-13</v>
      </c>
      <c r="O261">
        <v>47</v>
      </c>
      <c r="P261">
        <v>2</v>
      </c>
      <c r="Q261">
        <v>0</v>
      </c>
      <c r="R261">
        <v>0</v>
      </c>
      <c r="S261">
        <v>1</v>
      </c>
      <c r="T261">
        <v>4</v>
      </c>
      <c r="U261">
        <v>1</v>
      </c>
      <c r="V261">
        <v>4191</v>
      </c>
      <c r="W261" t="s">
        <v>6202</v>
      </c>
      <c r="X261" t="s">
        <v>6100</v>
      </c>
      <c r="Y261" t="s">
        <v>6120</v>
      </c>
      <c r="AA261" t="s">
        <v>5164</v>
      </c>
      <c r="AB261" t="s">
        <v>5180</v>
      </c>
      <c r="AC261" t="s">
        <v>5181</v>
      </c>
      <c r="AD261" t="s">
        <v>5182</v>
      </c>
      <c r="AE261" t="s">
        <v>5183</v>
      </c>
      <c r="AF261" t="s">
        <v>5184</v>
      </c>
      <c r="AG261" t="s">
        <v>5185</v>
      </c>
      <c r="AH261" t="s">
        <v>5186</v>
      </c>
      <c r="AI261" t="s">
        <v>5187</v>
      </c>
      <c r="AK261" t="s">
        <v>5168</v>
      </c>
    </row>
    <row r="262" spans="1:37" x14ac:dyDescent="0.3">
      <c r="A262" t="s">
        <v>6196</v>
      </c>
      <c r="B262">
        <v>40</v>
      </c>
      <c r="C262" t="s">
        <v>6270</v>
      </c>
      <c r="D262" s="1032">
        <v>44948</v>
      </c>
      <c r="E262" t="s">
        <v>328</v>
      </c>
      <c r="F262" t="s">
        <v>16</v>
      </c>
      <c r="G262" t="s">
        <v>352</v>
      </c>
      <c r="M262">
        <v>11</v>
      </c>
      <c r="N262">
        <v>-11</v>
      </c>
      <c r="O262">
        <v>49</v>
      </c>
      <c r="P262">
        <v>2</v>
      </c>
      <c r="Q262">
        <v>0</v>
      </c>
      <c r="R262">
        <v>0</v>
      </c>
      <c r="S262">
        <v>1</v>
      </c>
      <c r="T262">
        <v>5</v>
      </c>
      <c r="U262">
        <v>4</v>
      </c>
      <c r="V262">
        <v>5196</v>
      </c>
      <c r="W262" t="s">
        <v>6171</v>
      </c>
      <c r="X262" t="s">
        <v>6120</v>
      </c>
      <c r="Y262" t="s">
        <v>6120</v>
      </c>
      <c r="Z262" t="s">
        <v>159</v>
      </c>
      <c r="AA262" t="s">
        <v>5169</v>
      </c>
      <c r="AB262" t="s">
        <v>5188</v>
      </c>
      <c r="AC262" t="s">
        <v>5189</v>
      </c>
      <c r="AJ262" t="s">
        <v>5200</v>
      </c>
      <c r="AK262" t="s">
        <v>5170</v>
      </c>
    </row>
    <row r="263" spans="1:37" x14ac:dyDescent="0.3">
      <c r="A263" t="s">
        <v>6196</v>
      </c>
      <c r="B263">
        <v>41</v>
      </c>
      <c r="C263" t="s">
        <v>6271</v>
      </c>
      <c r="D263" s="1032">
        <v>44951</v>
      </c>
      <c r="E263" t="s">
        <v>325</v>
      </c>
      <c r="F263" t="s">
        <v>16</v>
      </c>
      <c r="G263" t="s">
        <v>6146</v>
      </c>
      <c r="M263">
        <v>12</v>
      </c>
      <c r="N263">
        <v>-11</v>
      </c>
      <c r="O263">
        <v>49</v>
      </c>
      <c r="P263">
        <v>0</v>
      </c>
      <c r="Q263">
        <v>0</v>
      </c>
      <c r="R263">
        <v>0</v>
      </c>
      <c r="S263">
        <v>2</v>
      </c>
      <c r="T263">
        <v>2</v>
      </c>
      <c r="U263">
        <v>5</v>
      </c>
      <c r="V263">
        <v>14138</v>
      </c>
      <c r="W263" t="s">
        <v>6189</v>
      </c>
      <c r="X263" t="s">
        <v>6097</v>
      </c>
      <c r="Y263" t="s">
        <v>6120</v>
      </c>
      <c r="AA263" t="s">
        <v>3434</v>
      </c>
      <c r="AB263" t="s">
        <v>5190</v>
      </c>
      <c r="AC263" t="s">
        <v>5191</v>
      </c>
      <c r="AK263" t="s">
        <v>5172</v>
      </c>
    </row>
    <row r="264" spans="1:37" x14ac:dyDescent="0.3">
      <c r="A264" t="s">
        <v>6196</v>
      </c>
      <c r="B264">
        <v>42</v>
      </c>
      <c r="C264" t="s">
        <v>6272</v>
      </c>
      <c r="D264" s="1032">
        <v>44953</v>
      </c>
      <c r="E264" t="s">
        <v>610</v>
      </c>
      <c r="F264" t="s">
        <v>16</v>
      </c>
      <c r="G264" t="s">
        <v>6084</v>
      </c>
      <c r="M264">
        <v>13</v>
      </c>
      <c r="N264">
        <v>-11</v>
      </c>
      <c r="O264">
        <v>49</v>
      </c>
      <c r="P264">
        <v>1</v>
      </c>
      <c r="Q264">
        <v>0</v>
      </c>
      <c r="R264">
        <v>0</v>
      </c>
      <c r="S264">
        <v>1</v>
      </c>
      <c r="T264">
        <v>6</v>
      </c>
      <c r="U264">
        <v>4</v>
      </c>
      <c r="V264">
        <v>5613</v>
      </c>
      <c r="W264" t="s">
        <v>6171</v>
      </c>
      <c r="X264" t="s">
        <v>6187</v>
      </c>
      <c r="Y264" t="s">
        <v>6171</v>
      </c>
      <c r="AA264" t="s">
        <v>4449</v>
      </c>
      <c r="AB264" t="s">
        <v>5179</v>
      </c>
      <c r="AJ264" t="s">
        <v>5173</v>
      </c>
      <c r="AK264" t="s">
        <v>5176</v>
      </c>
    </row>
    <row r="265" spans="1:37" x14ac:dyDescent="0.3">
      <c r="A265" t="s">
        <v>6196</v>
      </c>
      <c r="B265">
        <v>43</v>
      </c>
      <c r="C265" t="s">
        <v>6273</v>
      </c>
      <c r="D265" s="1032">
        <v>44955</v>
      </c>
      <c r="E265" t="s">
        <v>6091</v>
      </c>
      <c r="F265" t="s">
        <v>17</v>
      </c>
      <c r="G265" t="s">
        <v>619</v>
      </c>
      <c r="M265">
        <v>12</v>
      </c>
      <c r="N265">
        <v>-12</v>
      </c>
      <c r="O265">
        <v>51</v>
      </c>
      <c r="P265">
        <v>0</v>
      </c>
      <c r="Q265">
        <v>0</v>
      </c>
      <c r="R265">
        <v>0</v>
      </c>
      <c r="S265">
        <v>0</v>
      </c>
      <c r="T265">
        <v>1</v>
      </c>
      <c r="U265">
        <v>2</v>
      </c>
      <c r="V265">
        <v>4126</v>
      </c>
      <c r="W265" t="s">
        <v>6188</v>
      </c>
      <c r="X265" t="s">
        <v>6188</v>
      </c>
      <c r="Y265" t="s">
        <v>6188</v>
      </c>
      <c r="Z265" t="s">
        <v>355</v>
      </c>
      <c r="AA265" t="s">
        <v>5174</v>
      </c>
      <c r="AB265" t="s">
        <v>5175</v>
      </c>
      <c r="AJ265" t="s">
        <v>5199</v>
      </c>
      <c r="AK265" t="s">
        <v>5177</v>
      </c>
    </row>
    <row r="266" spans="1:37" x14ac:dyDescent="0.3">
      <c r="A266" t="s">
        <v>6196</v>
      </c>
      <c r="B266">
        <v>44</v>
      </c>
      <c r="C266" t="s">
        <v>6274</v>
      </c>
      <c r="D266" s="1032">
        <v>44960</v>
      </c>
      <c r="E266" t="s">
        <v>332</v>
      </c>
      <c r="F266" t="s">
        <v>16</v>
      </c>
      <c r="G266" t="s">
        <v>6104</v>
      </c>
      <c r="M266">
        <v>12</v>
      </c>
      <c r="N266">
        <v>-12</v>
      </c>
      <c r="O266">
        <v>51</v>
      </c>
      <c r="P266">
        <v>1</v>
      </c>
      <c r="Q266">
        <v>0</v>
      </c>
      <c r="R266">
        <v>0</v>
      </c>
      <c r="S266">
        <v>1</v>
      </c>
      <c r="T266">
        <v>3</v>
      </c>
      <c r="U266">
        <v>2</v>
      </c>
      <c r="V266">
        <v>3952</v>
      </c>
      <c r="W266" t="s">
        <v>6189</v>
      </c>
      <c r="X266" t="s">
        <v>6171</v>
      </c>
      <c r="Y266" t="s">
        <v>6194</v>
      </c>
      <c r="AA266" t="s">
        <v>5192</v>
      </c>
      <c r="AB266" t="s">
        <v>5201</v>
      </c>
      <c r="AC266" t="s">
        <v>5202</v>
      </c>
      <c r="AK266" t="s">
        <v>5194</v>
      </c>
    </row>
    <row r="267" spans="1:37" x14ac:dyDescent="0.3">
      <c r="A267" t="s">
        <v>6196</v>
      </c>
      <c r="B267">
        <v>45</v>
      </c>
      <c r="C267" t="s">
        <v>6275</v>
      </c>
      <c r="D267" s="1032">
        <v>44962</v>
      </c>
      <c r="E267" t="s">
        <v>6076</v>
      </c>
      <c r="F267" t="s">
        <v>17</v>
      </c>
      <c r="G267" t="s">
        <v>589</v>
      </c>
      <c r="M267">
        <v>12</v>
      </c>
      <c r="N267">
        <v>-14</v>
      </c>
      <c r="O267">
        <v>52</v>
      </c>
      <c r="P267">
        <v>1</v>
      </c>
      <c r="Q267">
        <v>0</v>
      </c>
      <c r="R267">
        <v>0</v>
      </c>
      <c r="S267">
        <v>1</v>
      </c>
      <c r="T267">
        <v>6</v>
      </c>
      <c r="U267">
        <v>5</v>
      </c>
      <c r="V267">
        <v>4011</v>
      </c>
      <c r="W267" t="s">
        <v>6188</v>
      </c>
      <c r="X267" t="s">
        <v>6187</v>
      </c>
      <c r="Y267" t="s">
        <v>6188</v>
      </c>
      <c r="Z267" t="s">
        <v>3213</v>
      </c>
      <c r="AA267" t="s">
        <v>3803</v>
      </c>
      <c r="AB267" t="s">
        <v>5203</v>
      </c>
      <c r="AK267" t="s">
        <v>5193</v>
      </c>
    </row>
    <row r="268" spans="1:37" x14ac:dyDescent="0.3">
      <c r="A268" t="s">
        <v>6196</v>
      </c>
      <c r="B268">
        <v>46</v>
      </c>
      <c r="C268" t="s">
        <v>6276</v>
      </c>
      <c r="D268" s="1032">
        <v>44972</v>
      </c>
      <c r="E268" t="s">
        <v>1274</v>
      </c>
      <c r="F268" t="s">
        <v>16</v>
      </c>
      <c r="G268" t="s">
        <v>6079</v>
      </c>
      <c r="M268">
        <v>12</v>
      </c>
      <c r="N268">
        <v>-14</v>
      </c>
      <c r="O268">
        <v>52</v>
      </c>
      <c r="P268">
        <v>0</v>
      </c>
      <c r="Q268">
        <v>0</v>
      </c>
      <c r="R268">
        <v>0</v>
      </c>
      <c r="S268">
        <v>0</v>
      </c>
      <c r="T268">
        <v>6</v>
      </c>
      <c r="U268">
        <v>2</v>
      </c>
      <c r="V268">
        <v>3862</v>
      </c>
      <c r="W268" t="s">
        <v>6171</v>
      </c>
      <c r="X268" t="s">
        <v>6188</v>
      </c>
      <c r="Y268" t="s">
        <v>6189</v>
      </c>
      <c r="AA268" t="s">
        <v>6079</v>
      </c>
      <c r="AB268" t="s">
        <v>515</v>
      </c>
      <c r="AK268" t="s">
        <v>5204</v>
      </c>
    </row>
    <row r="269" spans="1:37" x14ac:dyDescent="0.3">
      <c r="A269" t="s">
        <v>6196</v>
      </c>
      <c r="B269">
        <v>47</v>
      </c>
      <c r="C269" t="s">
        <v>6277</v>
      </c>
      <c r="D269" s="1032">
        <v>44974</v>
      </c>
      <c r="E269" t="s">
        <v>6179</v>
      </c>
      <c r="F269" t="s">
        <v>17</v>
      </c>
      <c r="G269" t="s">
        <v>352</v>
      </c>
      <c r="M269">
        <v>12</v>
      </c>
      <c r="N269">
        <v>-15</v>
      </c>
      <c r="O269">
        <v>54</v>
      </c>
      <c r="P269">
        <v>1</v>
      </c>
      <c r="Q269">
        <v>0</v>
      </c>
      <c r="R269">
        <v>0</v>
      </c>
      <c r="S269">
        <v>1</v>
      </c>
      <c r="T269">
        <v>6</v>
      </c>
      <c r="U269">
        <v>5</v>
      </c>
      <c r="V269">
        <v>3905</v>
      </c>
      <c r="W269" t="s">
        <v>6187</v>
      </c>
      <c r="X269" t="s">
        <v>6188</v>
      </c>
      <c r="Y269" t="s">
        <v>6187</v>
      </c>
      <c r="Z269" t="s">
        <v>4555</v>
      </c>
      <c r="AA269" t="s">
        <v>5195</v>
      </c>
      <c r="AB269" t="s">
        <v>5241</v>
      </c>
      <c r="AC269" t="s">
        <v>5242</v>
      </c>
      <c r="AD269" t="s">
        <v>5197</v>
      </c>
      <c r="AJ269" t="s">
        <v>5198</v>
      </c>
      <c r="AK269" t="s">
        <v>5205</v>
      </c>
    </row>
    <row r="270" spans="1:37" x14ac:dyDescent="0.3">
      <c r="A270" t="s">
        <v>6196</v>
      </c>
      <c r="B270">
        <v>48</v>
      </c>
      <c r="C270" t="s">
        <v>6278</v>
      </c>
      <c r="D270" s="1032">
        <v>44976</v>
      </c>
      <c r="E270" t="s">
        <v>334</v>
      </c>
      <c r="F270" t="s">
        <v>17</v>
      </c>
      <c r="G270" t="s">
        <v>164</v>
      </c>
      <c r="M270">
        <v>12</v>
      </c>
      <c r="N270">
        <v>-16</v>
      </c>
      <c r="O270">
        <v>56</v>
      </c>
      <c r="P270">
        <v>2</v>
      </c>
      <c r="Q270">
        <v>0</v>
      </c>
      <c r="R270">
        <v>0</v>
      </c>
      <c r="S270">
        <v>1</v>
      </c>
      <c r="T270">
        <v>4</v>
      </c>
      <c r="U270">
        <v>2</v>
      </c>
      <c r="V270">
        <v>3965</v>
      </c>
      <c r="W270" t="s">
        <v>6171</v>
      </c>
      <c r="X270" t="s">
        <v>6089</v>
      </c>
      <c r="Y270" t="s">
        <v>6187</v>
      </c>
      <c r="Z270" t="s">
        <v>756</v>
      </c>
      <c r="AA270" t="s">
        <v>5196</v>
      </c>
      <c r="AB270" t="s">
        <v>5243</v>
      </c>
      <c r="AC270" t="s">
        <v>5244</v>
      </c>
      <c r="AD270" t="s">
        <v>5245</v>
      </c>
      <c r="AE270" t="s">
        <v>5246</v>
      </c>
      <c r="AK270" t="s">
        <v>5206</v>
      </c>
    </row>
    <row r="271" spans="1:37" x14ac:dyDescent="0.3">
      <c r="A271" t="s">
        <v>6196</v>
      </c>
      <c r="B271">
        <v>49</v>
      </c>
      <c r="C271" t="s">
        <v>6279</v>
      </c>
      <c r="D271" s="1032">
        <v>44981</v>
      </c>
      <c r="E271" t="s">
        <v>6086</v>
      </c>
      <c r="F271" t="s">
        <v>16</v>
      </c>
      <c r="G271" t="s">
        <v>6118</v>
      </c>
      <c r="M271">
        <v>12</v>
      </c>
      <c r="N271">
        <v>-13</v>
      </c>
      <c r="O271">
        <v>59</v>
      </c>
      <c r="P271">
        <v>1</v>
      </c>
      <c r="Q271">
        <v>0</v>
      </c>
      <c r="R271">
        <v>0</v>
      </c>
      <c r="S271">
        <v>0</v>
      </c>
      <c r="T271">
        <v>2</v>
      </c>
      <c r="U271">
        <v>4</v>
      </c>
      <c r="V271">
        <v>3457</v>
      </c>
      <c r="W271" t="s">
        <v>6118</v>
      </c>
      <c r="X271" t="s">
        <v>6188</v>
      </c>
      <c r="Y271" t="s">
        <v>6188</v>
      </c>
      <c r="AA271" t="s">
        <v>3356</v>
      </c>
      <c r="AB271" t="s">
        <v>5247</v>
      </c>
      <c r="AC271" t="s">
        <v>5248</v>
      </c>
      <c r="AK271" t="s">
        <v>5207</v>
      </c>
    </row>
    <row r="272" spans="1:37" x14ac:dyDescent="0.3">
      <c r="A272" t="s">
        <v>6196</v>
      </c>
      <c r="B272">
        <v>50</v>
      </c>
      <c r="C272" t="s">
        <v>6280</v>
      </c>
      <c r="D272" s="1032">
        <v>44983</v>
      </c>
      <c r="E272" t="s">
        <v>331</v>
      </c>
      <c r="F272" t="s">
        <v>17</v>
      </c>
      <c r="G272" t="s">
        <v>6118</v>
      </c>
      <c r="M272">
        <v>11</v>
      </c>
      <c r="N272">
        <v>-13</v>
      </c>
      <c r="O272">
        <v>62</v>
      </c>
      <c r="P272">
        <v>0</v>
      </c>
      <c r="Q272">
        <v>0</v>
      </c>
      <c r="R272">
        <v>0</v>
      </c>
      <c r="S272">
        <v>0</v>
      </c>
      <c r="T272">
        <v>2</v>
      </c>
      <c r="U272">
        <v>1</v>
      </c>
      <c r="V272">
        <v>4478</v>
      </c>
      <c r="W272" t="s">
        <v>6188</v>
      </c>
      <c r="X272" t="s">
        <v>6089</v>
      </c>
      <c r="Y272" t="s">
        <v>6189</v>
      </c>
      <c r="AA272" t="s">
        <v>3496</v>
      </c>
      <c r="AB272" t="s">
        <v>5249</v>
      </c>
      <c r="AC272" t="s">
        <v>5250</v>
      </c>
      <c r="AJ272" t="s">
        <v>4731</v>
      </c>
      <c r="AK272" t="s">
        <v>5215</v>
      </c>
    </row>
    <row r="273" spans="1:37" x14ac:dyDescent="0.3">
      <c r="A273" t="s">
        <v>6196</v>
      </c>
      <c r="B273">
        <v>51</v>
      </c>
      <c r="C273" t="s">
        <v>6281</v>
      </c>
      <c r="D273" s="1032">
        <v>44988</v>
      </c>
      <c r="E273" t="s">
        <v>327</v>
      </c>
      <c r="F273" t="s">
        <v>16</v>
      </c>
      <c r="G273" t="s">
        <v>352</v>
      </c>
      <c r="M273">
        <v>12</v>
      </c>
      <c r="N273">
        <v>-11</v>
      </c>
      <c r="O273">
        <v>64</v>
      </c>
      <c r="P273">
        <v>0</v>
      </c>
      <c r="Q273">
        <v>0</v>
      </c>
      <c r="R273">
        <v>0</v>
      </c>
      <c r="S273">
        <v>0</v>
      </c>
      <c r="T273">
        <v>2</v>
      </c>
      <c r="U273">
        <v>4</v>
      </c>
      <c r="V273">
        <v>9309</v>
      </c>
      <c r="W273" t="s">
        <v>6120</v>
      </c>
      <c r="X273" t="s">
        <v>6120</v>
      </c>
      <c r="Y273" t="s">
        <v>6171</v>
      </c>
      <c r="Z273" t="s">
        <v>4555</v>
      </c>
      <c r="AA273" t="s">
        <v>5238</v>
      </c>
      <c r="AB273" t="s">
        <v>5252</v>
      </c>
      <c r="AC273" t="s">
        <v>5253</v>
      </c>
      <c r="AD273" t="s">
        <v>5237</v>
      </c>
      <c r="AJ273" t="s">
        <v>5251</v>
      </c>
      <c r="AK273" t="s">
        <v>5236</v>
      </c>
    </row>
    <row r="274" spans="1:37" x14ac:dyDescent="0.3">
      <c r="A274" t="s">
        <v>6196</v>
      </c>
      <c r="B274">
        <v>52</v>
      </c>
      <c r="C274" t="s">
        <v>6282</v>
      </c>
      <c r="D274" s="1032">
        <v>44990</v>
      </c>
      <c r="E274" t="s">
        <v>626</v>
      </c>
      <c r="F274" t="s">
        <v>17</v>
      </c>
      <c r="G274" t="s">
        <v>6190</v>
      </c>
      <c r="M274">
        <v>11</v>
      </c>
      <c r="N274">
        <v>-11</v>
      </c>
      <c r="O274">
        <v>67</v>
      </c>
      <c r="P274">
        <v>3</v>
      </c>
      <c r="Q274">
        <v>0</v>
      </c>
      <c r="R274">
        <v>0</v>
      </c>
      <c r="S274">
        <v>0</v>
      </c>
      <c r="T274">
        <v>6</v>
      </c>
      <c r="U274">
        <v>4</v>
      </c>
      <c r="V274">
        <v>3884</v>
      </c>
      <c r="W274" t="s">
        <v>6187</v>
      </c>
      <c r="X274" t="s">
        <v>6089</v>
      </c>
      <c r="Y274" t="s">
        <v>6089</v>
      </c>
      <c r="AA274" t="s">
        <v>5240</v>
      </c>
      <c r="AB274" t="s">
        <v>5261</v>
      </c>
      <c r="AC274" t="s">
        <v>5262</v>
      </c>
      <c r="AD274" t="s">
        <v>5263</v>
      </c>
      <c r="AE274" t="s">
        <v>5264</v>
      </c>
      <c r="AF274" t="s">
        <v>5265</v>
      </c>
      <c r="AK274" t="s">
        <v>5239</v>
      </c>
    </row>
    <row r="275" spans="1:37" x14ac:dyDescent="0.3">
      <c r="A275" t="s">
        <v>6196</v>
      </c>
      <c r="B275">
        <v>53</v>
      </c>
      <c r="C275" t="s">
        <v>336</v>
      </c>
      <c r="D275" s="1032">
        <v>44993</v>
      </c>
      <c r="E275" t="s">
        <v>334</v>
      </c>
      <c r="F275" t="s">
        <v>16</v>
      </c>
      <c r="G275" t="s">
        <v>6102</v>
      </c>
      <c r="H275" t="s">
        <v>743</v>
      </c>
      <c r="I275">
        <v>1</v>
      </c>
      <c r="J275">
        <v>3</v>
      </c>
      <c r="K275">
        <v>1</v>
      </c>
      <c r="L275">
        <v>2</v>
      </c>
      <c r="P275">
        <v>0</v>
      </c>
      <c r="Q275">
        <v>0</v>
      </c>
      <c r="R275">
        <v>0</v>
      </c>
      <c r="S275">
        <v>0</v>
      </c>
      <c r="T275">
        <v>3</v>
      </c>
      <c r="U275">
        <v>4</v>
      </c>
      <c r="V275">
        <v>4089</v>
      </c>
      <c r="W275" t="s">
        <v>6188</v>
      </c>
      <c r="X275" t="s">
        <v>6187</v>
      </c>
      <c r="Y275" t="s">
        <v>6171</v>
      </c>
      <c r="AA275" t="s">
        <v>3307</v>
      </c>
      <c r="AB275" t="s">
        <v>5260</v>
      </c>
      <c r="AK275" t="s">
        <v>6549</v>
      </c>
    </row>
    <row r="276" spans="1:37" x14ac:dyDescent="0.3">
      <c r="A276" t="s">
        <v>6196</v>
      </c>
      <c r="B276">
        <v>54</v>
      </c>
      <c r="C276" t="s">
        <v>336</v>
      </c>
      <c r="D276" s="1032">
        <v>44994</v>
      </c>
      <c r="E276" t="s">
        <v>334</v>
      </c>
      <c r="F276" t="s">
        <v>16</v>
      </c>
      <c r="G276" t="s">
        <v>359</v>
      </c>
      <c r="H276" t="s">
        <v>794</v>
      </c>
      <c r="I276">
        <v>4</v>
      </c>
      <c r="J276">
        <v>5</v>
      </c>
      <c r="K276">
        <v>4</v>
      </c>
      <c r="L276">
        <v>4</v>
      </c>
      <c r="P276">
        <v>3</v>
      </c>
      <c r="Q276">
        <v>0</v>
      </c>
      <c r="R276">
        <v>0</v>
      </c>
      <c r="S276">
        <v>2</v>
      </c>
      <c r="T276">
        <v>7</v>
      </c>
      <c r="U276">
        <v>5</v>
      </c>
      <c r="V276">
        <v>4465</v>
      </c>
      <c r="W276" t="s">
        <v>6187</v>
      </c>
      <c r="X276" t="s">
        <v>6097</v>
      </c>
      <c r="Y276" t="s">
        <v>6118</v>
      </c>
      <c r="Z276" t="s">
        <v>3213</v>
      </c>
      <c r="AA276" t="s">
        <v>5628</v>
      </c>
      <c r="AB276" t="s">
        <v>6298</v>
      </c>
      <c r="AC276" t="s">
        <v>6297</v>
      </c>
      <c r="AD276" t="s">
        <v>6296</v>
      </c>
      <c r="AE276" t="s">
        <v>6299</v>
      </c>
      <c r="AK276" t="s">
        <v>6550</v>
      </c>
    </row>
    <row r="277" spans="1:37" x14ac:dyDescent="0.3">
      <c r="A277" t="s">
        <v>6196</v>
      </c>
      <c r="B277">
        <v>55</v>
      </c>
      <c r="C277" t="s">
        <v>336</v>
      </c>
      <c r="D277" s="1032">
        <v>44996</v>
      </c>
      <c r="E277" t="s">
        <v>334</v>
      </c>
      <c r="F277" t="s">
        <v>17</v>
      </c>
      <c r="G277" t="s">
        <v>6082</v>
      </c>
      <c r="H277" t="s">
        <v>743</v>
      </c>
      <c r="I277">
        <v>2</v>
      </c>
      <c r="J277">
        <v>4</v>
      </c>
      <c r="K277">
        <v>2</v>
      </c>
      <c r="L277">
        <v>3</v>
      </c>
      <c r="P277">
        <v>0</v>
      </c>
      <c r="Q277">
        <v>0</v>
      </c>
      <c r="R277">
        <v>0</v>
      </c>
      <c r="S277">
        <v>1</v>
      </c>
      <c r="T277">
        <v>3</v>
      </c>
      <c r="U277">
        <v>1</v>
      </c>
      <c r="V277">
        <v>5452</v>
      </c>
      <c r="W277" t="s">
        <v>6187</v>
      </c>
      <c r="X277" t="s">
        <v>6189</v>
      </c>
      <c r="Y277" t="s">
        <v>6097</v>
      </c>
      <c r="AA277" t="s">
        <v>5629</v>
      </c>
      <c r="AB277" t="s">
        <v>6300</v>
      </c>
      <c r="AC277" t="s">
        <v>6301</v>
      </c>
      <c r="AK277" t="s">
        <v>6551</v>
      </c>
    </row>
    <row r="278" spans="1:37" x14ac:dyDescent="0.3">
      <c r="A278" t="s">
        <v>6195</v>
      </c>
      <c r="B278">
        <v>1</v>
      </c>
      <c r="C278" t="s">
        <v>6284</v>
      </c>
      <c r="D278" s="1032">
        <v>45184</v>
      </c>
      <c r="E278" t="s">
        <v>327</v>
      </c>
      <c r="F278" t="s">
        <v>16</v>
      </c>
      <c r="G278" t="s">
        <v>6084</v>
      </c>
      <c r="H278" t="s">
        <v>743</v>
      </c>
      <c r="I278">
        <v>1</v>
      </c>
      <c r="J278">
        <v>5</v>
      </c>
      <c r="K278">
        <v>1</v>
      </c>
      <c r="L278">
        <v>5</v>
      </c>
      <c r="M278">
        <v>13</v>
      </c>
      <c r="N278">
        <v>0</v>
      </c>
      <c r="O278">
        <v>0</v>
      </c>
      <c r="P278">
        <v>0</v>
      </c>
      <c r="Q278">
        <v>0</v>
      </c>
      <c r="R278">
        <v>0</v>
      </c>
      <c r="S278">
        <v>0</v>
      </c>
      <c r="T278">
        <v>2</v>
      </c>
      <c r="U278">
        <v>4</v>
      </c>
      <c r="V278">
        <v>9456</v>
      </c>
      <c r="W278" t="s">
        <v>6189</v>
      </c>
      <c r="X278" t="s">
        <v>6187</v>
      </c>
      <c r="Y278" t="s">
        <v>6079</v>
      </c>
      <c r="AA278" t="s">
        <v>5297</v>
      </c>
      <c r="AB278" t="s">
        <v>5306</v>
      </c>
      <c r="AK278" t="s">
        <v>5299</v>
      </c>
    </row>
    <row r="279" spans="1:37" x14ac:dyDescent="0.3">
      <c r="A279" t="s">
        <v>6195</v>
      </c>
      <c r="B279">
        <v>2</v>
      </c>
      <c r="C279" t="s">
        <v>6233</v>
      </c>
      <c r="D279" s="1032">
        <v>45186</v>
      </c>
      <c r="E279" t="s">
        <v>331</v>
      </c>
      <c r="F279" t="s">
        <v>17</v>
      </c>
      <c r="G279" t="s">
        <v>6073</v>
      </c>
      <c r="H279" t="s">
        <v>16</v>
      </c>
      <c r="I279">
        <v>4</v>
      </c>
      <c r="J279">
        <v>2</v>
      </c>
      <c r="K279">
        <v>3</v>
      </c>
      <c r="L279">
        <v>2</v>
      </c>
      <c r="M279">
        <v>10</v>
      </c>
      <c r="N279">
        <v>0</v>
      </c>
      <c r="O279">
        <v>3</v>
      </c>
      <c r="P279">
        <v>2</v>
      </c>
      <c r="Q279">
        <v>0</v>
      </c>
      <c r="R279">
        <v>0</v>
      </c>
      <c r="S279">
        <v>1</v>
      </c>
      <c r="T279">
        <v>8</v>
      </c>
      <c r="U279">
        <v>7</v>
      </c>
      <c r="V279">
        <v>4047</v>
      </c>
      <c r="W279" t="s">
        <v>6118</v>
      </c>
      <c r="X279" t="s">
        <v>6187</v>
      </c>
      <c r="Y279" t="s">
        <v>6120</v>
      </c>
      <c r="AA279" t="s">
        <v>5298</v>
      </c>
      <c r="AB279" t="s">
        <v>5307</v>
      </c>
      <c r="AC279" t="s">
        <v>5308</v>
      </c>
      <c r="AD279" t="s">
        <v>5309</v>
      </c>
      <c r="AE279" t="s">
        <v>5310</v>
      </c>
      <c r="AK279" t="s">
        <v>5300</v>
      </c>
    </row>
    <row r="280" spans="1:37" x14ac:dyDescent="0.3">
      <c r="A280" t="s">
        <v>6195</v>
      </c>
      <c r="B280">
        <v>3</v>
      </c>
      <c r="C280" t="s">
        <v>6234</v>
      </c>
      <c r="D280" s="1032">
        <v>45191</v>
      </c>
      <c r="E280" t="s">
        <v>6179</v>
      </c>
      <c r="F280" t="s">
        <v>16</v>
      </c>
      <c r="G280" t="s">
        <v>6113</v>
      </c>
      <c r="H280" t="s">
        <v>16</v>
      </c>
      <c r="I280">
        <v>3</v>
      </c>
      <c r="J280">
        <v>2</v>
      </c>
      <c r="K280">
        <v>3</v>
      </c>
      <c r="L280">
        <v>2</v>
      </c>
      <c r="M280">
        <v>7</v>
      </c>
      <c r="N280">
        <v>3</v>
      </c>
      <c r="O280">
        <v>6</v>
      </c>
      <c r="P280">
        <v>1</v>
      </c>
      <c r="Q280">
        <v>0</v>
      </c>
      <c r="R280">
        <v>0</v>
      </c>
      <c r="S280">
        <v>0</v>
      </c>
      <c r="T280">
        <v>3</v>
      </c>
      <c r="U280">
        <v>4</v>
      </c>
      <c r="V280">
        <v>6103</v>
      </c>
      <c r="W280" t="s">
        <v>6187</v>
      </c>
      <c r="X280" t="s">
        <v>6120</v>
      </c>
      <c r="Y280" t="s">
        <v>6187</v>
      </c>
      <c r="AA280" t="s">
        <v>3821</v>
      </c>
      <c r="AB280" t="s">
        <v>5311</v>
      </c>
      <c r="AC280" t="s">
        <v>5312</v>
      </c>
      <c r="AD280" t="s">
        <v>5313</v>
      </c>
      <c r="AK280" t="s">
        <v>5301</v>
      </c>
    </row>
    <row r="281" spans="1:37" x14ac:dyDescent="0.3">
      <c r="A281" t="s">
        <v>6195</v>
      </c>
      <c r="B281">
        <v>4</v>
      </c>
      <c r="C281" t="s">
        <v>6283</v>
      </c>
      <c r="D281" s="1032">
        <v>45193</v>
      </c>
      <c r="E281" t="s">
        <v>610</v>
      </c>
      <c r="F281" t="s">
        <v>17</v>
      </c>
      <c r="G281" t="s">
        <v>6148</v>
      </c>
      <c r="H281" t="s">
        <v>16</v>
      </c>
      <c r="I281">
        <v>4</v>
      </c>
      <c r="J281">
        <v>1</v>
      </c>
      <c r="K281">
        <v>4</v>
      </c>
      <c r="L281">
        <v>1</v>
      </c>
      <c r="M281">
        <v>3</v>
      </c>
      <c r="N281">
        <v>3</v>
      </c>
      <c r="O281">
        <v>9</v>
      </c>
      <c r="P281">
        <v>3</v>
      </c>
      <c r="Q281">
        <v>0</v>
      </c>
      <c r="R281">
        <v>0</v>
      </c>
      <c r="S281">
        <v>0</v>
      </c>
      <c r="T281">
        <v>9</v>
      </c>
      <c r="U281">
        <v>6</v>
      </c>
      <c r="V281">
        <v>3826</v>
      </c>
      <c r="W281" t="s">
        <v>6110</v>
      </c>
      <c r="X281" t="s">
        <v>6187</v>
      </c>
      <c r="Y281" t="s">
        <v>6188</v>
      </c>
      <c r="AA281" t="s">
        <v>4151</v>
      </c>
      <c r="AB281" t="s">
        <v>5314</v>
      </c>
      <c r="AC281" t="s">
        <v>5315</v>
      </c>
      <c r="AD281" t="s">
        <v>5316</v>
      </c>
      <c r="AE281" t="s">
        <v>5317</v>
      </c>
      <c r="AJ281" t="s">
        <v>5303</v>
      </c>
      <c r="AK281" t="s">
        <v>5302</v>
      </c>
    </row>
    <row r="282" spans="1:37" x14ac:dyDescent="0.3">
      <c r="A282" t="s">
        <v>6195</v>
      </c>
      <c r="B282">
        <v>5</v>
      </c>
      <c r="C282" t="s">
        <v>6235</v>
      </c>
      <c r="D282" s="1032">
        <v>45196</v>
      </c>
      <c r="E282" t="s">
        <v>1274</v>
      </c>
      <c r="F282" t="s">
        <v>16</v>
      </c>
      <c r="G282" t="s">
        <v>352</v>
      </c>
      <c r="H282" t="s">
        <v>793</v>
      </c>
      <c r="I282">
        <v>3</v>
      </c>
      <c r="J282">
        <v>2</v>
      </c>
      <c r="K282">
        <v>2</v>
      </c>
      <c r="L282">
        <v>2</v>
      </c>
      <c r="M282">
        <v>3</v>
      </c>
      <c r="N282">
        <v>5</v>
      </c>
      <c r="O282">
        <v>11</v>
      </c>
      <c r="P282">
        <v>1</v>
      </c>
      <c r="Q282">
        <v>0</v>
      </c>
      <c r="R282">
        <v>0</v>
      </c>
      <c r="S282">
        <v>1</v>
      </c>
      <c r="T282">
        <v>4</v>
      </c>
      <c r="U282">
        <v>3</v>
      </c>
      <c r="V282">
        <v>3911</v>
      </c>
      <c r="W282" t="s">
        <v>6120</v>
      </c>
      <c r="X282" t="s">
        <v>6097</v>
      </c>
      <c r="Y282" t="s">
        <v>6188</v>
      </c>
      <c r="Z282" t="s">
        <v>4555</v>
      </c>
      <c r="AA282" t="s">
        <v>5304</v>
      </c>
      <c r="AB282" t="s">
        <v>5318</v>
      </c>
      <c r="AC282" t="s">
        <v>5319</v>
      </c>
      <c r="AJ282" t="s">
        <v>5320</v>
      </c>
      <c r="AK282" t="s">
        <v>5305</v>
      </c>
    </row>
    <row r="283" spans="1:37" x14ac:dyDescent="0.3">
      <c r="A283" t="s">
        <v>6195</v>
      </c>
      <c r="B283">
        <v>6</v>
      </c>
      <c r="C283" t="s">
        <v>6246</v>
      </c>
      <c r="D283" s="1032">
        <v>45198</v>
      </c>
      <c r="E283" t="s">
        <v>6086</v>
      </c>
      <c r="F283" t="s">
        <v>17</v>
      </c>
      <c r="G283" t="s">
        <v>6133</v>
      </c>
      <c r="H283" t="s">
        <v>16</v>
      </c>
      <c r="I283">
        <v>5</v>
      </c>
      <c r="J283">
        <v>2</v>
      </c>
      <c r="K283">
        <v>4</v>
      </c>
      <c r="L283">
        <v>2</v>
      </c>
      <c r="M283">
        <v>3</v>
      </c>
      <c r="N283">
        <v>5</v>
      </c>
      <c r="O283">
        <v>14</v>
      </c>
      <c r="P283">
        <v>1</v>
      </c>
      <c r="Q283">
        <v>1</v>
      </c>
      <c r="R283">
        <v>0</v>
      </c>
      <c r="S283">
        <v>0</v>
      </c>
      <c r="T283">
        <v>5</v>
      </c>
      <c r="U283">
        <v>6</v>
      </c>
      <c r="V283">
        <v>4028</v>
      </c>
      <c r="W283" t="s">
        <v>6089</v>
      </c>
      <c r="X283" t="s">
        <v>6171</v>
      </c>
      <c r="Y283" t="s">
        <v>6110</v>
      </c>
      <c r="AA283" t="s">
        <v>5104</v>
      </c>
      <c r="AB283" t="s">
        <v>5325</v>
      </c>
      <c r="AC283" t="s">
        <v>5326</v>
      </c>
      <c r="AD283" t="s">
        <v>5327</v>
      </c>
      <c r="AE283" t="s">
        <v>5328</v>
      </c>
      <c r="AF283" t="s">
        <v>5329</v>
      </c>
      <c r="AK283" t="s">
        <v>5321</v>
      </c>
    </row>
    <row r="284" spans="1:37" x14ac:dyDescent="0.3">
      <c r="A284" t="s">
        <v>6195</v>
      </c>
      <c r="B284">
        <v>7</v>
      </c>
      <c r="C284" t="s">
        <v>6236</v>
      </c>
      <c r="D284" s="1032">
        <v>45200</v>
      </c>
      <c r="E284" t="s">
        <v>334</v>
      </c>
      <c r="F284" t="s">
        <v>17</v>
      </c>
      <c r="G284" t="s">
        <v>6191</v>
      </c>
      <c r="H284" t="s">
        <v>16</v>
      </c>
      <c r="I284">
        <v>6</v>
      </c>
      <c r="J284">
        <v>4</v>
      </c>
      <c r="K284">
        <v>6</v>
      </c>
      <c r="L284">
        <v>4</v>
      </c>
      <c r="M284">
        <v>2</v>
      </c>
      <c r="N284">
        <v>5</v>
      </c>
      <c r="O284">
        <v>17</v>
      </c>
      <c r="P284">
        <v>1</v>
      </c>
      <c r="Q284">
        <v>0</v>
      </c>
      <c r="R284">
        <v>0</v>
      </c>
      <c r="S284">
        <v>0</v>
      </c>
      <c r="T284">
        <v>4</v>
      </c>
      <c r="U284">
        <v>2</v>
      </c>
      <c r="V284">
        <v>4242</v>
      </c>
      <c r="W284" t="s">
        <v>6100</v>
      </c>
      <c r="X284" t="s">
        <v>6118</v>
      </c>
      <c r="Y284" t="s">
        <v>6097</v>
      </c>
      <c r="AA284" t="s">
        <v>5323</v>
      </c>
      <c r="AB284" t="s">
        <v>5330</v>
      </c>
      <c r="AC284" t="s">
        <v>5331</v>
      </c>
      <c r="AD284" t="s">
        <v>5332</v>
      </c>
      <c r="AE284" t="s">
        <v>5333</v>
      </c>
      <c r="AF284" t="s">
        <v>5334</v>
      </c>
      <c r="AG284" t="s">
        <v>5335</v>
      </c>
      <c r="AK284" t="s">
        <v>5322</v>
      </c>
    </row>
    <row r="285" spans="1:37" x14ac:dyDescent="0.3">
      <c r="A285" t="s">
        <v>6195</v>
      </c>
      <c r="B285">
        <v>8</v>
      </c>
      <c r="C285" t="s">
        <v>6237</v>
      </c>
      <c r="D285" s="1032">
        <v>45205</v>
      </c>
      <c r="E285" t="s">
        <v>6076</v>
      </c>
      <c r="F285" t="s">
        <v>16</v>
      </c>
      <c r="G285" t="s">
        <v>6148</v>
      </c>
      <c r="H285" t="s">
        <v>16</v>
      </c>
      <c r="I285">
        <v>4</v>
      </c>
      <c r="J285">
        <v>1</v>
      </c>
      <c r="K285">
        <v>4</v>
      </c>
      <c r="L285">
        <v>1</v>
      </c>
      <c r="M285">
        <v>2</v>
      </c>
      <c r="N285">
        <v>8</v>
      </c>
      <c r="O285">
        <v>20</v>
      </c>
      <c r="P285">
        <v>1</v>
      </c>
      <c r="Q285">
        <v>0</v>
      </c>
      <c r="R285">
        <v>0</v>
      </c>
      <c r="S285">
        <v>0</v>
      </c>
      <c r="T285">
        <v>2</v>
      </c>
      <c r="U285">
        <v>3</v>
      </c>
      <c r="V285">
        <v>5477</v>
      </c>
      <c r="W285" t="s">
        <v>6118</v>
      </c>
      <c r="X285" t="s">
        <v>6089</v>
      </c>
      <c r="Y285" t="s">
        <v>6188</v>
      </c>
      <c r="AA285" t="s">
        <v>4732</v>
      </c>
      <c r="AB285" t="s">
        <v>5338</v>
      </c>
      <c r="AC285" t="s">
        <v>5339</v>
      </c>
      <c r="AD285" t="s">
        <v>5340</v>
      </c>
      <c r="AE285" t="s">
        <v>5341</v>
      </c>
      <c r="AK285" t="s">
        <v>5336</v>
      </c>
    </row>
    <row r="286" spans="1:37" x14ac:dyDescent="0.3">
      <c r="A286" t="s">
        <v>6195</v>
      </c>
      <c r="B286">
        <v>9</v>
      </c>
      <c r="C286" t="s">
        <v>6238</v>
      </c>
      <c r="D286" s="1032">
        <v>45207</v>
      </c>
      <c r="E286" t="s">
        <v>6091</v>
      </c>
      <c r="F286" t="s">
        <v>17</v>
      </c>
      <c r="G286" t="s">
        <v>6192</v>
      </c>
      <c r="H286" t="s">
        <v>16</v>
      </c>
      <c r="I286">
        <v>4</v>
      </c>
      <c r="J286">
        <v>3</v>
      </c>
      <c r="K286">
        <v>4</v>
      </c>
      <c r="L286">
        <v>3</v>
      </c>
      <c r="M286">
        <v>2</v>
      </c>
      <c r="N286">
        <v>8</v>
      </c>
      <c r="O286">
        <v>23</v>
      </c>
      <c r="P286">
        <v>1</v>
      </c>
      <c r="Q286">
        <v>0</v>
      </c>
      <c r="R286">
        <v>1</v>
      </c>
      <c r="S286">
        <v>0</v>
      </c>
      <c r="T286">
        <v>4</v>
      </c>
      <c r="U286">
        <v>3</v>
      </c>
      <c r="V286">
        <v>5023</v>
      </c>
      <c r="W286" t="s">
        <v>6089</v>
      </c>
      <c r="X286" t="s">
        <v>6194</v>
      </c>
      <c r="Y286" t="s">
        <v>6189</v>
      </c>
      <c r="AA286" t="s">
        <v>5324</v>
      </c>
      <c r="AB286" t="s">
        <v>5342</v>
      </c>
      <c r="AC286" t="s">
        <v>5343</v>
      </c>
      <c r="AD286" t="s">
        <v>5344</v>
      </c>
      <c r="AE286" t="s">
        <v>5345</v>
      </c>
      <c r="AK286" t="s">
        <v>5337</v>
      </c>
    </row>
    <row r="287" spans="1:37" x14ac:dyDescent="0.3">
      <c r="A287" t="s">
        <v>6195</v>
      </c>
      <c r="B287">
        <v>10</v>
      </c>
      <c r="C287" t="s">
        <v>6239</v>
      </c>
      <c r="D287" s="1032">
        <v>45212</v>
      </c>
      <c r="E287" t="s">
        <v>325</v>
      </c>
      <c r="F287" t="s">
        <v>17</v>
      </c>
      <c r="G287" t="s">
        <v>6073</v>
      </c>
      <c r="H287" t="s">
        <v>16</v>
      </c>
      <c r="I287">
        <v>4</v>
      </c>
      <c r="J287">
        <v>2</v>
      </c>
      <c r="K287">
        <v>3</v>
      </c>
      <c r="L287">
        <v>2</v>
      </c>
      <c r="M287">
        <v>2</v>
      </c>
      <c r="N287">
        <v>8</v>
      </c>
      <c r="O287">
        <v>26</v>
      </c>
      <c r="P287">
        <v>1</v>
      </c>
      <c r="Q287">
        <v>0</v>
      </c>
      <c r="R287">
        <v>1</v>
      </c>
      <c r="S287">
        <v>0</v>
      </c>
      <c r="T287">
        <v>8</v>
      </c>
      <c r="U287">
        <v>2</v>
      </c>
      <c r="V287">
        <v>5944</v>
      </c>
      <c r="W287" t="s">
        <v>6120</v>
      </c>
      <c r="X287" t="s">
        <v>6187</v>
      </c>
      <c r="Y287" t="s">
        <v>6118</v>
      </c>
      <c r="AA287" t="s">
        <v>4546</v>
      </c>
      <c r="AB287" t="s">
        <v>5349</v>
      </c>
      <c r="AC287" t="s">
        <v>5350</v>
      </c>
      <c r="AD287" t="s">
        <v>5351</v>
      </c>
      <c r="AE287" t="s">
        <v>5352</v>
      </c>
      <c r="AK287" t="s">
        <v>5346</v>
      </c>
    </row>
    <row r="288" spans="1:37" x14ac:dyDescent="0.3">
      <c r="A288" t="s">
        <v>6195</v>
      </c>
      <c r="B288">
        <v>11</v>
      </c>
      <c r="C288" t="s">
        <v>6240</v>
      </c>
      <c r="D288" s="1032">
        <v>45214</v>
      </c>
      <c r="E288" t="s">
        <v>332</v>
      </c>
      <c r="F288" t="s">
        <v>17</v>
      </c>
      <c r="G288" t="s">
        <v>601</v>
      </c>
      <c r="H288" t="s">
        <v>793</v>
      </c>
      <c r="I288">
        <v>5</v>
      </c>
      <c r="J288">
        <v>4</v>
      </c>
      <c r="K288">
        <v>4</v>
      </c>
      <c r="L288">
        <v>4</v>
      </c>
      <c r="M288">
        <v>2</v>
      </c>
      <c r="N288">
        <v>7</v>
      </c>
      <c r="O288">
        <v>28</v>
      </c>
      <c r="P288">
        <v>2</v>
      </c>
      <c r="Q288">
        <v>0</v>
      </c>
      <c r="R288">
        <v>0</v>
      </c>
      <c r="S288">
        <v>2</v>
      </c>
      <c r="T288">
        <v>7</v>
      </c>
      <c r="U288">
        <v>6</v>
      </c>
      <c r="V288">
        <v>5217</v>
      </c>
      <c r="W288" t="s">
        <v>6097</v>
      </c>
      <c r="X288" t="s">
        <v>6187</v>
      </c>
      <c r="Y288" t="s">
        <v>6118</v>
      </c>
      <c r="Z288" t="s">
        <v>756</v>
      </c>
      <c r="AA288" t="s">
        <v>5347</v>
      </c>
      <c r="AB288" t="s">
        <v>5353</v>
      </c>
      <c r="AC288" t="s">
        <v>5354</v>
      </c>
      <c r="AD288" t="s">
        <v>5355</v>
      </c>
      <c r="AE288" t="s">
        <v>5356</v>
      </c>
      <c r="AF288" t="s">
        <v>5357</v>
      </c>
      <c r="AK288" t="s">
        <v>5346</v>
      </c>
    </row>
    <row r="289" spans="1:37" x14ac:dyDescent="0.3">
      <c r="A289" t="s">
        <v>6195</v>
      </c>
      <c r="B289">
        <v>12</v>
      </c>
      <c r="C289" t="s">
        <v>6241</v>
      </c>
      <c r="D289" s="1032">
        <v>45219</v>
      </c>
      <c r="E289" t="s">
        <v>328</v>
      </c>
      <c r="F289" t="s">
        <v>17</v>
      </c>
      <c r="G289" t="s">
        <v>6209</v>
      </c>
      <c r="H289" t="s">
        <v>16</v>
      </c>
      <c r="I289">
        <v>6</v>
      </c>
      <c r="J289">
        <v>3</v>
      </c>
      <c r="K289">
        <v>6</v>
      </c>
      <c r="L289">
        <v>3</v>
      </c>
      <c r="M289">
        <v>2</v>
      </c>
      <c r="N289">
        <v>7</v>
      </c>
      <c r="O289">
        <v>31</v>
      </c>
      <c r="P289">
        <v>1</v>
      </c>
      <c r="Q289">
        <v>0</v>
      </c>
      <c r="R289">
        <v>0</v>
      </c>
      <c r="S289">
        <v>1</v>
      </c>
      <c r="T289">
        <v>6</v>
      </c>
      <c r="U289">
        <v>2</v>
      </c>
      <c r="V289">
        <v>5025</v>
      </c>
      <c r="W289" t="s">
        <v>6194</v>
      </c>
      <c r="X289" t="s">
        <v>6202</v>
      </c>
      <c r="Y289" t="s">
        <v>6189</v>
      </c>
      <c r="AA289" t="s">
        <v>5358</v>
      </c>
      <c r="AB289" t="s">
        <v>5361</v>
      </c>
      <c r="AC289" t="s">
        <v>5362</v>
      </c>
      <c r="AD289" t="s">
        <v>5363</v>
      </c>
      <c r="AE289" t="s">
        <v>5364</v>
      </c>
      <c r="AF289" t="s">
        <v>5365</v>
      </c>
      <c r="AG289" t="s">
        <v>5366</v>
      </c>
      <c r="AK289" t="s">
        <v>5359</v>
      </c>
    </row>
    <row r="290" spans="1:37" x14ac:dyDescent="0.3">
      <c r="A290" t="s">
        <v>6195</v>
      </c>
      <c r="B290">
        <v>13</v>
      </c>
      <c r="C290" t="s">
        <v>6242</v>
      </c>
      <c r="D290" s="1032">
        <v>45221</v>
      </c>
      <c r="E290" t="s">
        <v>626</v>
      </c>
      <c r="F290" t="s">
        <v>16</v>
      </c>
      <c r="G290" t="s">
        <v>6097</v>
      </c>
      <c r="H290" t="s">
        <v>743</v>
      </c>
      <c r="I290">
        <v>1</v>
      </c>
      <c r="J290">
        <v>2</v>
      </c>
      <c r="K290">
        <v>1</v>
      </c>
      <c r="L290">
        <v>2</v>
      </c>
      <c r="M290">
        <v>2</v>
      </c>
      <c r="N290">
        <v>7</v>
      </c>
      <c r="O290">
        <v>31</v>
      </c>
      <c r="P290">
        <v>0</v>
      </c>
      <c r="Q290">
        <v>0</v>
      </c>
      <c r="R290">
        <v>0</v>
      </c>
      <c r="S290">
        <v>0</v>
      </c>
      <c r="T290">
        <v>2</v>
      </c>
      <c r="U290">
        <v>1</v>
      </c>
      <c r="V290">
        <v>4538</v>
      </c>
      <c r="W290" t="s">
        <v>6188</v>
      </c>
      <c r="X290" t="s">
        <v>6187</v>
      </c>
      <c r="Y290" t="s">
        <v>6189</v>
      </c>
      <c r="AA290" t="s">
        <v>3819</v>
      </c>
      <c r="AB290" t="s">
        <v>5367</v>
      </c>
      <c r="AK290" t="s">
        <v>5360</v>
      </c>
    </row>
    <row r="291" spans="1:37" x14ac:dyDescent="0.3">
      <c r="A291" t="s">
        <v>6195</v>
      </c>
      <c r="B291">
        <v>14</v>
      </c>
      <c r="C291" t="s">
        <v>6243</v>
      </c>
      <c r="D291" s="1032">
        <v>45226</v>
      </c>
      <c r="E291" t="s">
        <v>327</v>
      </c>
      <c r="F291" t="s">
        <v>17</v>
      </c>
      <c r="G291" t="s">
        <v>6148</v>
      </c>
      <c r="H291" t="s">
        <v>16</v>
      </c>
      <c r="I291">
        <v>4</v>
      </c>
      <c r="J291">
        <v>1</v>
      </c>
      <c r="K291">
        <v>3</v>
      </c>
      <c r="L291">
        <v>1</v>
      </c>
      <c r="M291">
        <v>1</v>
      </c>
      <c r="N291">
        <v>7</v>
      </c>
      <c r="O291">
        <v>34</v>
      </c>
      <c r="P291">
        <v>0</v>
      </c>
      <c r="Q291">
        <v>0</v>
      </c>
      <c r="R291">
        <v>0</v>
      </c>
      <c r="S291">
        <v>0</v>
      </c>
      <c r="T291">
        <v>3</v>
      </c>
      <c r="U291">
        <v>2</v>
      </c>
      <c r="V291">
        <v>5944</v>
      </c>
      <c r="W291" t="s">
        <v>6110</v>
      </c>
      <c r="X291" t="s">
        <v>6188</v>
      </c>
      <c r="Y291" t="s">
        <v>6187</v>
      </c>
      <c r="AA291" t="s">
        <v>4151</v>
      </c>
      <c r="AB291" t="s">
        <v>5384</v>
      </c>
      <c r="AC291" t="s">
        <v>5385</v>
      </c>
      <c r="AD291" t="s">
        <v>5386</v>
      </c>
      <c r="AE291" t="s">
        <v>5387</v>
      </c>
      <c r="AK291" t="s">
        <v>5376</v>
      </c>
    </row>
    <row r="292" spans="1:37" x14ac:dyDescent="0.3">
      <c r="A292" t="s">
        <v>6195</v>
      </c>
      <c r="B292">
        <v>15</v>
      </c>
      <c r="C292" t="s">
        <v>6245</v>
      </c>
      <c r="D292" s="1032">
        <v>45228</v>
      </c>
      <c r="E292" t="s">
        <v>331</v>
      </c>
      <c r="F292" t="s">
        <v>16</v>
      </c>
      <c r="G292" t="s">
        <v>6104</v>
      </c>
      <c r="H292" t="s">
        <v>743</v>
      </c>
      <c r="I292">
        <v>2</v>
      </c>
      <c r="J292">
        <v>5</v>
      </c>
      <c r="K292">
        <v>2</v>
      </c>
      <c r="L292">
        <v>4</v>
      </c>
      <c r="M292">
        <v>2</v>
      </c>
      <c r="N292">
        <v>7</v>
      </c>
      <c r="O292">
        <v>34</v>
      </c>
      <c r="P292">
        <v>0</v>
      </c>
      <c r="Q292">
        <v>0</v>
      </c>
      <c r="R292">
        <v>0</v>
      </c>
      <c r="S292">
        <v>1</v>
      </c>
      <c r="T292">
        <v>6</v>
      </c>
      <c r="U292">
        <v>4</v>
      </c>
      <c r="V292">
        <v>5264</v>
      </c>
      <c r="W292" t="s">
        <v>6188</v>
      </c>
      <c r="X292" t="s">
        <v>6102</v>
      </c>
      <c r="Y292" t="s">
        <v>6097</v>
      </c>
      <c r="AA292" t="s">
        <v>5378</v>
      </c>
      <c r="AB292" t="s">
        <v>5388</v>
      </c>
      <c r="AC292" t="s">
        <v>5389</v>
      </c>
      <c r="AK292" t="s">
        <v>5377</v>
      </c>
    </row>
    <row r="293" spans="1:37" x14ac:dyDescent="0.3">
      <c r="A293" t="s">
        <v>6195</v>
      </c>
      <c r="B293">
        <v>16</v>
      </c>
      <c r="C293" t="s">
        <v>6244</v>
      </c>
      <c r="D293" s="1032">
        <v>45230</v>
      </c>
      <c r="E293" t="s">
        <v>6179</v>
      </c>
      <c r="F293" t="s">
        <v>17</v>
      </c>
      <c r="G293" t="s">
        <v>6209</v>
      </c>
      <c r="H293" t="s">
        <v>16</v>
      </c>
      <c r="I293">
        <v>6</v>
      </c>
      <c r="J293">
        <v>3</v>
      </c>
      <c r="K293">
        <v>5</v>
      </c>
      <c r="L293">
        <v>3</v>
      </c>
      <c r="M293">
        <v>2</v>
      </c>
      <c r="N293">
        <v>7</v>
      </c>
      <c r="O293">
        <v>37</v>
      </c>
      <c r="P293">
        <v>1</v>
      </c>
      <c r="Q293">
        <v>0</v>
      </c>
      <c r="R293">
        <v>0</v>
      </c>
      <c r="S293">
        <v>1</v>
      </c>
      <c r="T293">
        <v>6</v>
      </c>
      <c r="U293">
        <v>4</v>
      </c>
      <c r="V293">
        <v>4282</v>
      </c>
      <c r="W293" t="s">
        <v>6118</v>
      </c>
      <c r="X293" t="s">
        <v>6089</v>
      </c>
      <c r="Y293" t="s">
        <v>6194</v>
      </c>
      <c r="AA293" t="s">
        <v>5380</v>
      </c>
      <c r="AB293" t="s">
        <v>5390</v>
      </c>
      <c r="AC293" t="s">
        <v>5391</v>
      </c>
      <c r="AD293" t="s">
        <v>5392</v>
      </c>
      <c r="AE293" t="s">
        <v>5393</v>
      </c>
      <c r="AF293" t="s">
        <v>5394</v>
      </c>
      <c r="AG293" t="s">
        <v>5395</v>
      </c>
      <c r="AK293" t="s">
        <v>5379</v>
      </c>
    </row>
    <row r="294" spans="1:37" x14ac:dyDescent="0.3">
      <c r="A294" t="s">
        <v>6195</v>
      </c>
      <c r="B294">
        <v>17</v>
      </c>
      <c r="C294" t="s">
        <v>6247</v>
      </c>
      <c r="D294" s="1032">
        <v>45233</v>
      </c>
      <c r="E294" t="s">
        <v>610</v>
      </c>
      <c r="F294" t="s">
        <v>16</v>
      </c>
      <c r="G294" t="s">
        <v>6104</v>
      </c>
      <c r="H294" t="s">
        <v>743</v>
      </c>
      <c r="I294">
        <v>2</v>
      </c>
      <c r="J294">
        <v>5</v>
      </c>
      <c r="K294">
        <v>2</v>
      </c>
      <c r="L294">
        <v>5</v>
      </c>
      <c r="M294">
        <v>2</v>
      </c>
      <c r="N294">
        <v>7</v>
      </c>
      <c r="O294">
        <v>37</v>
      </c>
      <c r="P294">
        <v>1</v>
      </c>
      <c r="Q294">
        <v>0</v>
      </c>
      <c r="R294">
        <v>1</v>
      </c>
      <c r="S294">
        <v>1</v>
      </c>
      <c r="T294">
        <v>6</v>
      </c>
      <c r="U294">
        <v>4</v>
      </c>
      <c r="V294">
        <v>6046</v>
      </c>
      <c r="W294" t="s">
        <v>6189</v>
      </c>
      <c r="X294" t="s">
        <v>6097</v>
      </c>
      <c r="Y294" t="s">
        <v>6097</v>
      </c>
      <c r="AA294" t="s">
        <v>5382</v>
      </c>
      <c r="AB294" t="s">
        <v>5396</v>
      </c>
      <c r="AC294" t="s">
        <v>5397</v>
      </c>
      <c r="AK294" t="s">
        <v>5381</v>
      </c>
    </row>
    <row r="295" spans="1:37" x14ac:dyDescent="0.3">
      <c r="A295" t="s">
        <v>6195</v>
      </c>
      <c r="B295">
        <v>18</v>
      </c>
      <c r="C295" t="s">
        <v>6248</v>
      </c>
      <c r="D295" s="1032">
        <v>45235</v>
      </c>
      <c r="E295" t="s">
        <v>1274</v>
      </c>
      <c r="F295" t="s">
        <v>17</v>
      </c>
      <c r="G295" t="s">
        <v>6171</v>
      </c>
      <c r="H295" t="s">
        <v>743</v>
      </c>
      <c r="I295">
        <v>0</v>
      </c>
      <c r="J295">
        <v>2</v>
      </c>
      <c r="K295">
        <v>0</v>
      </c>
      <c r="L295">
        <v>2</v>
      </c>
      <c r="M295">
        <v>2</v>
      </c>
      <c r="N295">
        <v>4</v>
      </c>
      <c r="O295">
        <v>37</v>
      </c>
      <c r="P295">
        <v>0</v>
      </c>
      <c r="Q295">
        <v>0</v>
      </c>
      <c r="R295">
        <v>0</v>
      </c>
      <c r="S295">
        <v>1</v>
      </c>
      <c r="T295">
        <v>6</v>
      </c>
      <c r="U295">
        <v>4</v>
      </c>
      <c r="V295">
        <v>5073</v>
      </c>
      <c r="W295" t="s">
        <v>6188</v>
      </c>
      <c r="X295" t="s">
        <v>6171</v>
      </c>
      <c r="Y295" t="s">
        <v>6188</v>
      </c>
      <c r="AA295" t="s">
        <v>6171</v>
      </c>
      <c r="AB295" t="s">
        <v>515</v>
      </c>
      <c r="AK295" t="s">
        <v>5383</v>
      </c>
    </row>
    <row r="296" spans="1:37" x14ac:dyDescent="0.3">
      <c r="A296" t="s">
        <v>6195</v>
      </c>
      <c r="B296">
        <v>19</v>
      </c>
      <c r="C296" t="s">
        <v>6249</v>
      </c>
      <c r="D296" s="1032">
        <v>45247</v>
      </c>
      <c r="E296" t="s">
        <v>6086</v>
      </c>
      <c r="F296" t="s">
        <v>16</v>
      </c>
      <c r="G296" t="s">
        <v>6206</v>
      </c>
      <c r="H296" t="s">
        <v>743</v>
      </c>
      <c r="I296">
        <v>0</v>
      </c>
      <c r="J296">
        <v>5</v>
      </c>
      <c r="K296">
        <v>0</v>
      </c>
      <c r="L296">
        <v>5</v>
      </c>
      <c r="M296">
        <v>3</v>
      </c>
      <c r="N296">
        <v>4</v>
      </c>
      <c r="O296">
        <v>37</v>
      </c>
      <c r="P296">
        <v>0</v>
      </c>
      <c r="Q296">
        <v>0</v>
      </c>
      <c r="R296">
        <v>0</v>
      </c>
      <c r="S296">
        <v>1</v>
      </c>
      <c r="T296">
        <v>4</v>
      </c>
      <c r="U296">
        <v>4</v>
      </c>
      <c r="V296">
        <v>3309</v>
      </c>
      <c r="W296" t="s">
        <v>6188</v>
      </c>
      <c r="X296" t="s">
        <v>6079</v>
      </c>
      <c r="Y296" t="s">
        <v>6171</v>
      </c>
      <c r="AA296" t="s">
        <v>6206</v>
      </c>
      <c r="AB296" t="s">
        <v>515</v>
      </c>
      <c r="AK296" t="s">
        <v>5597</v>
      </c>
    </row>
    <row r="297" spans="1:37" x14ac:dyDescent="0.3">
      <c r="A297" t="s">
        <v>6195</v>
      </c>
      <c r="B297">
        <v>20</v>
      </c>
      <c r="C297" t="s">
        <v>6250</v>
      </c>
      <c r="D297" s="1032">
        <v>45249</v>
      </c>
      <c r="E297" t="s">
        <v>334</v>
      </c>
      <c r="F297" t="s">
        <v>16</v>
      </c>
      <c r="G297" t="s">
        <v>351</v>
      </c>
      <c r="H297" t="s">
        <v>793</v>
      </c>
      <c r="I297">
        <v>3</v>
      </c>
      <c r="J297">
        <v>2</v>
      </c>
      <c r="K297">
        <v>2</v>
      </c>
      <c r="L297">
        <v>2</v>
      </c>
      <c r="M297">
        <v>3</v>
      </c>
      <c r="N297">
        <v>6</v>
      </c>
      <c r="O297">
        <v>39</v>
      </c>
      <c r="P297">
        <v>1</v>
      </c>
      <c r="Q297">
        <v>0</v>
      </c>
      <c r="R297">
        <v>0</v>
      </c>
      <c r="S297">
        <v>1</v>
      </c>
      <c r="T297">
        <v>2</v>
      </c>
      <c r="U297">
        <v>2</v>
      </c>
      <c r="V297">
        <v>5400</v>
      </c>
      <c r="W297" t="s">
        <v>6120</v>
      </c>
      <c r="X297" t="s">
        <v>6187</v>
      </c>
      <c r="Y297" t="s">
        <v>6189</v>
      </c>
      <c r="Z297" t="s">
        <v>756</v>
      </c>
      <c r="AA297" t="s">
        <v>3805</v>
      </c>
      <c r="AB297" t="s">
        <v>5600</v>
      </c>
      <c r="AC297" t="s">
        <v>5601</v>
      </c>
      <c r="AD297" t="s">
        <v>5602</v>
      </c>
      <c r="AK297" t="s">
        <v>5596</v>
      </c>
    </row>
    <row r="298" spans="1:37" x14ac:dyDescent="0.3">
      <c r="A298" t="s">
        <v>6195</v>
      </c>
      <c r="B298">
        <v>21</v>
      </c>
      <c r="C298" t="s">
        <v>6251</v>
      </c>
      <c r="D298" s="1032">
        <v>45254</v>
      </c>
      <c r="E298" t="s">
        <v>6076</v>
      </c>
      <c r="F298" t="s">
        <v>17</v>
      </c>
      <c r="G298" t="s">
        <v>6191</v>
      </c>
      <c r="H298" t="s">
        <v>16</v>
      </c>
      <c r="I298">
        <v>6</v>
      </c>
      <c r="J298">
        <v>4</v>
      </c>
      <c r="K298">
        <v>6</v>
      </c>
      <c r="L298">
        <v>4</v>
      </c>
      <c r="M298">
        <v>3</v>
      </c>
      <c r="N298">
        <v>6</v>
      </c>
      <c r="O298">
        <v>42</v>
      </c>
      <c r="P298">
        <v>2</v>
      </c>
      <c r="Q298">
        <v>0</v>
      </c>
      <c r="R298">
        <v>0</v>
      </c>
      <c r="S298">
        <v>2</v>
      </c>
      <c r="T298">
        <v>5</v>
      </c>
      <c r="U298">
        <v>4</v>
      </c>
      <c r="V298">
        <v>5094</v>
      </c>
      <c r="W298" t="s">
        <v>6171</v>
      </c>
      <c r="X298" t="s">
        <v>6148</v>
      </c>
      <c r="Y298" t="s">
        <v>6118</v>
      </c>
      <c r="AA298" t="s">
        <v>5603</v>
      </c>
      <c r="AB298" t="s">
        <v>5615</v>
      </c>
      <c r="AC298" t="s">
        <v>5616</v>
      </c>
      <c r="AD298" t="s">
        <v>5617</v>
      </c>
      <c r="AE298" t="s">
        <v>5618</v>
      </c>
      <c r="AF298" t="s">
        <v>5619</v>
      </c>
      <c r="AG298" t="s">
        <v>5620</v>
      </c>
      <c r="AK298" t="s">
        <v>5598</v>
      </c>
    </row>
    <row r="299" spans="1:37" x14ac:dyDescent="0.3">
      <c r="A299" t="s">
        <v>6195</v>
      </c>
      <c r="B299">
        <v>22</v>
      </c>
      <c r="C299" t="s">
        <v>6252</v>
      </c>
      <c r="D299" s="1032">
        <v>45256</v>
      </c>
      <c r="E299" t="s">
        <v>6091</v>
      </c>
      <c r="F299" t="s">
        <v>16</v>
      </c>
      <c r="G299" t="s">
        <v>6189</v>
      </c>
      <c r="H299" t="s">
        <v>743</v>
      </c>
      <c r="I299">
        <v>0</v>
      </c>
      <c r="J299">
        <v>1</v>
      </c>
      <c r="K299">
        <v>0</v>
      </c>
      <c r="L299">
        <v>1</v>
      </c>
      <c r="M299">
        <v>4</v>
      </c>
      <c r="N299">
        <v>6</v>
      </c>
      <c r="O299">
        <v>42</v>
      </c>
      <c r="P299">
        <v>0</v>
      </c>
      <c r="Q299">
        <v>0</v>
      </c>
      <c r="R299">
        <v>0</v>
      </c>
      <c r="S299">
        <v>1</v>
      </c>
      <c r="T299">
        <v>2</v>
      </c>
      <c r="U299">
        <v>4</v>
      </c>
      <c r="V299">
        <v>6347</v>
      </c>
      <c r="W299" t="s">
        <v>6188</v>
      </c>
      <c r="X299" t="s">
        <v>6188</v>
      </c>
      <c r="Y299" t="s">
        <v>6189</v>
      </c>
      <c r="AA299" t="s">
        <v>6189</v>
      </c>
      <c r="AB299" t="s">
        <v>515</v>
      </c>
      <c r="AK299" t="s">
        <v>5599</v>
      </c>
    </row>
    <row r="300" spans="1:37" x14ac:dyDescent="0.3">
      <c r="A300" t="s">
        <v>6195</v>
      </c>
      <c r="B300">
        <v>23</v>
      </c>
      <c r="C300" t="s">
        <v>6253</v>
      </c>
      <c r="D300" s="1032">
        <v>45258</v>
      </c>
      <c r="E300" t="s">
        <v>325</v>
      </c>
      <c r="F300" t="s">
        <v>16</v>
      </c>
      <c r="G300" t="s">
        <v>6102</v>
      </c>
      <c r="H300" t="s">
        <v>743</v>
      </c>
      <c r="I300">
        <v>1</v>
      </c>
      <c r="J300">
        <v>3</v>
      </c>
      <c r="K300">
        <v>1</v>
      </c>
      <c r="L300">
        <v>2</v>
      </c>
      <c r="M300">
        <v>4</v>
      </c>
      <c r="N300">
        <v>6</v>
      </c>
      <c r="O300">
        <v>42</v>
      </c>
      <c r="P300">
        <v>1</v>
      </c>
      <c r="Q300">
        <v>0</v>
      </c>
      <c r="R300">
        <v>0</v>
      </c>
      <c r="S300">
        <v>1</v>
      </c>
      <c r="T300">
        <v>5</v>
      </c>
      <c r="U300">
        <v>3</v>
      </c>
      <c r="V300">
        <v>16683</v>
      </c>
      <c r="W300" t="s">
        <v>6189</v>
      </c>
      <c r="X300" t="s">
        <v>6120</v>
      </c>
      <c r="Y300" t="s">
        <v>6171</v>
      </c>
      <c r="AA300" t="s">
        <v>3307</v>
      </c>
      <c r="AB300" t="s">
        <v>5621</v>
      </c>
      <c r="AJ300" t="s">
        <v>5605</v>
      </c>
      <c r="AK300" t="s">
        <v>5604</v>
      </c>
    </row>
    <row r="301" spans="1:37" x14ac:dyDescent="0.3">
      <c r="A301" t="s">
        <v>6195</v>
      </c>
      <c r="B301">
        <v>24</v>
      </c>
      <c r="C301" t="s">
        <v>6254</v>
      </c>
      <c r="D301" s="1032">
        <v>45261</v>
      </c>
      <c r="E301" t="s">
        <v>332</v>
      </c>
      <c r="F301" t="s">
        <v>16</v>
      </c>
      <c r="G301" t="s">
        <v>6079</v>
      </c>
      <c r="H301" t="s">
        <v>743</v>
      </c>
      <c r="I301">
        <v>0</v>
      </c>
      <c r="J301">
        <v>3</v>
      </c>
      <c r="K301">
        <v>0</v>
      </c>
      <c r="L301">
        <v>2</v>
      </c>
      <c r="M301">
        <v>4</v>
      </c>
      <c r="N301">
        <v>6</v>
      </c>
      <c r="O301">
        <v>42</v>
      </c>
      <c r="P301">
        <v>0</v>
      </c>
      <c r="Q301">
        <v>0</v>
      </c>
      <c r="R301">
        <v>0</v>
      </c>
      <c r="S301">
        <v>1</v>
      </c>
      <c r="T301">
        <v>5</v>
      </c>
      <c r="U301">
        <v>6</v>
      </c>
      <c r="V301">
        <v>2493</v>
      </c>
      <c r="W301" t="s">
        <v>6188</v>
      </c>
      <c r="X301" t="s">
        <v>6171</v>
      </c>
      <c r="Y301" t="s">
        <v>6189</v>
      </c>
      <c r="AA301" t="s">
        <v>6079</v>
      </c>
      <c r="AB301" t="s">
        <v>515</v>
      </c>
      <c r="AK301" t="s">
        <v>5606</v>
      </c>
    </row>
    <row r="302" spans="1:37" x14ac:dyDescent="0.3">
      <c r="A302" t="s">
        <v>6195</v>
      </c>
      <c r="B302">
        <v>25</v>
      </c>
      <c r="C302" t="s">
        <v>6255</v>
      </c>
      <c r="D302" s="1032">
        <v>45263</v>
      </c>
      <c r="E302" t="s">
        <v>328</v>
      </c>
      <c r="F302" t="s">
        <v>16</v>
      </c>
      <c r="G302" t="s">
        <v>6210</v>
      </c>
      <c r="H302" t="s">
        <v>743</v>
      </c>
      <c r="I302">
        <v>2</v>
      </c>
      <c r="J302">
        <v>6</v>
      </c>
      <c r="K302">
        <v>2</v>
      </c>
      <c r="L302">
        <v>6</v>
      </c>
      <c r="M302">
        <v>4</v>
      </c>
      <c r="N302">
        <v>6</v>
      </c>
      <c r="O302">
        <v>42</v>
      </c>
      <c r="P302">
        <v>0</v>
      </c>
      <c r="Q302">
        <v>0</v>
      </c>
      <c r="R302">
        <v>0</v>
      </c>
      <c r="S302">
        <v>4</v>
      </c>
      <c r="T302">
        <v>2</v>
      </c>
      <c r="U302">
        <v>5</v>
      </c>
      <c r="V302">
        <v>3253</v>
      </c>
      <c r="W302" t="s">
        <v>6189</v>
      </c>
      <c r="X302" t="s">
        <v>6097</v>
      </c>
      <c r="Y302" t="s">
        <v>6102</v>
      </c>
      <c r="AA302" t="s">
        <v>5608</v>
      </c>
      <c r="AB302" t="s">
        <v>5622</v>
      </c>
      <c r="AC302" t="s">
        <v>5623</v>
      </c>
      <c r="AK302" t="s">
        <v>5607</v>
      </c>
    </row>
    <row r="303" spans="1:37" x14ac:dyDescent="0.3">
      <c r="A303" t="s">
        <v>6195</v>
      </c>
      <c r="B303">
        <v>26</v>
      </c>
      <c r="C303" t="s">
        <v>6256</v>
      </c>
      <c r="D303" s="1032">
        <v>45268</v>
      </c>
      <c r="E303" t="s">
        <v>626</v>
      </c>
      <c r="F303" t="s">
        <v>17</v>
      </c>
      <c r="G303" t="s">
        <v>589</v>
      </c>
      <c r="H303" t="s">
        <v>794</v>
      </c>
      <c r="I303">
        <v>1</v>
      </c>
      <c r="J303">
        <v>2</v>
      </c>
      <c r="K303">
        <v>1</v>
      </c>
      <c r="L303">
        <v>1</v>
      </c>
      <c r="M303">
        <v>5</v>
      </c>
      <c r="N303">
        <v>4</v>
      </c>
      <c r="O303">
        <v>43</v>
      </c>
      <c r="P303">
        <v>0</v>
      </c>
      <c r="Q303">
        <v>0</v>
      </c>
      <c r="R303">
        <v>0</v>
      </c>
      <c r="S303">
        <v>0</v>
      </c>
      <c r="T303">
        <v>3</v>
      </c>
      <c r="U303">
        <v>3</v>
      </c>
      <c r="V303">
        <v>3694</v>
      </c>
      <c r="W303" t="s">
        <v>6187</v>
      </c>
      <c r="X303" t="s">
        <v>6188</v>
      </c>
      <c r="Y303" t="s">
        <v>6188</v>
      </c>
      <c r="Z303" t="s">
        <v>3213</v>
      </c>
      <c r="AA303" t="s">
        <v>4898</v>
      </c>
      <c r="AB303" t="s">
        <v>5624</v>
      </c>
      <c r="AK303" t="s">
        <v>5610</v>
      </c>
    </row>
    <row r="304" spans="1:37" x14ac:dyDescent="0.3">
      <c r="A304" t="s">
        <v>6195</v>
      </c>
      <c r="B304">
        <v>27</v>
      </c>
      <c r="C304" t="s">
        <v>6257</v>
      </c>
      <c r="D304" s="1032">
        <v>45270</v>
      </c>
      <c r="E304" t="s">
        <v>327</v>
      </c>
      <c r="F304" t="s">
        <v>16</v>
      </c>
      <c r="G304" t="s">
        <v>6073</v>
      </c>
      <c r="H304" t="s">
        <v>16</v>
      </c>
      <c r="I304">
        <v>4</v>
      </c>
      <c r="J304">
        <v>2</v>
      </c>
      <c r="K304">
        <v>3</v>
      </c>
      <c r="L304">
        <v>2</v>
      </c>
      <c r="M304">
        <v>5</v>
      </c>
      <c r="N304">
        <v>7</v>
      </c>
      <c r="O304">
        <v>46</v>
      </c>
      <c r="P304">
        <v>1</v>
      </c>
      <c r="Q304">
        <v>0</v>
      </c>
      <c r="R304">
        <v>0</v>
      </c>
      <c r="S304">
        <v>1</v>
      </c>
      <c r="T304">
        <v>2</v>
      </c>
      <c r="U304">
        <v>4</v>
      </c>
      <c r="V304">
        <v>9498</v>
      </c>
      <c r="W304" t="s">
        <v>6188</v>
      </c>
      <c r="X304" t="s">
        <v>6089</v>
      </c>
      <c r="Y304" t="s">
        <v>6194</v>
      </c>
      <c r="AA304" t="s">
        <v>4114</v>
      </c>
      <c r="AB304" t="s">
        <v>5625</v>
      </c>
      <c r="AC304" t="s">
        <v>5626</v>
      </c>
      <c r="AD304" t="s">
        <v>5627</v>
      </c>
      <c r="AE304" t="s">
        <v>6535</v>
      </c>
      <c r="AK304" t="s">
        <v>5609</v>
      </c>
    </row>
    <row r="305" spans="1:37" x14ac:dyDescent="0.3">
      <c r="A305" t="s">
        <v>6195</v>
      </c>
      <c r="B305">
        <v>28</v>
      </c>
      <c r="C305" t="s">
        <v>6258</v>
      </c>
      <c r="D305" s="1032">
        <v>45280</v>
      </c>
      <c r="E305" t="s">
        <v>331</v>
      </c>
      <c r="F305" t="s">
        <v>17</v>
      </c>
      <c r="G305" t="s">
        <v>161</v>
      </c>
      <c r="H305" t="s">
        <v>794</v>
      </c>
      <c r="I305">
        <v>2</v>
      </c>
      <c r="J305">
        <v>3</v>
      </c>
      <c r="K305">
        <v>2</v>
      </c>
      <c r="L305">
        <v>2</v>
      </c>
      <c r="M305">
        <v>5</v>
      </c>
      <c r="N305">
        <v>5</v>
      </c>
      <c r="O305">
        <v>47</v>
      </c>
      <c r="P305">
        <v>1</v>
      </c>
      <c r="Q305">
        <v>0</v>
      </c>
      <c r="R305">
        <v>0</v>
      </c>
      <c r="S305">
        <v>0</v>
      </c>
      <c r="T305">
        <v>2</v>
      </c>
      <c r="U305">
        <v>3</v>
      </c>
      <c r="V305">
        <v>4073</v>
      </c>
      <c r="W305" t="s">
        <v>6188</v>
      </c>
      <c r="X305" t="s">
        <v>6097</v>
      </c>
      <c r="Y305" t="s">
        <v>6120</v>
      </c>
      <c r="Z305" t="s">
        <v>208</v>
      </c>
      <c r="AA305" t="s">
        <v>4145</v>
      </c>
      <c r="AB305" t="s">
        <v>5631</v>
      </c>
      <c r="AC305" t="s">
        <v>5642</v>
      </c>
      <c r="AJ305" t="s">
        <v>5630</v>
      </c>
      <c r="AK305" t="s">
        <v>5633</v>
      </c>
    </row>
    <row r="306" spans="1:37" x14ac:dyDescent="0.3">
      <c r="A306" t="s">
        <v>6195</v>
      </c>
      <c r="B306">
        <v>29</v>
      </c>
      <c r="C306" t="s">
        <v>6260</v>
      </c>
      <c r="D306" s="1032">
        <v>45286</v>
      </c>
      <c r="E306" t="s">
        <v>610</v>
      </c>
      <c r="F306" t="s">
        <v>17</v>
      </c>
      <c r="G306" t="s">
        <v>6209</v>
      </c>
      <c r="H306" t="s">
        <v>16</v>
      </c>
      <c r="I306">
        <v>6</v>
      </c>
      <c r="J306">
        <v>3</v>
      </c>
      <c r="K306">
        <v>6</v>
      </c>
      <c r="L306">
        <v>3</v>
      </c>
      <c r="M306">
        <v>4</v>
      </c>
      <c r="N306">
        <v>5</v>
      </c>
      <c r="O306">
        <v>50</v>
      </c>
      <c r="P306">
        <v>2</v>
      </c>
      <c r="Q306">
        <v>1</v>
      </c>
      <c r="R306">
        <v>1</v>
      </c>
      <c r="S306">
        <v>0</v>
      </c>
      <c r="T306">
        <v>6</v>
      </c>
      <c r="U306">
        <v>4</v>
      </c>
      <c r="V306">
        <v>5042</v>
      </c>
      <c r="W306" t="s">
        <v>6073</v>
      </c>
      <c r="X306" t="s">
        <v>6120</v>
      </c>
      <c r="Y306" t="s">
        <v>6187</v>
      </c>
      <c r="AA306" t="s">
        <v>5634</v>
      </c>
      <c r="AB306" t="s">
        <v>5643</v>
      </c>
      <c r="AC306" t="s">
        <v>5644</v>
      </c>
      <c r="AD306" t="s">
        <v>5645</v>
      </c>
      <c r="AE306" t="s">
        <v>5646</v>
      </c>
      <c r="AF306" t="s">
        <v>5647</v>
      </c>
      <c r="AG306" t="s">
        <v>5648</v>
      </c>
      <c r="AK306" t="s">
        <v>5632</v>
      </c>
    </row>
    <row r="307" spans="1:37" x14ac:dyDescent="0.3">
      <c r="A307" t="s">
        <v>6195</v>
      </c>
      <c r="B307">
        <v>30</v>
      </c>
      <c r="C307" t="s">
        <v>6261</v>
      </c>
      <c r="D307" s="1032">
        <v>45288</v>
      </c>
      <c r="E307" t="s">
        <v>1274</v>
      </c>
      <c r="F307" t="s">
        <v>16</v>
      </c>
      <c r="G307" t="s">
        <v>6190</v>
      </c>
      <c r="H307" t="s">
        <v>16</v>
      </c>
      <c r="I307">
        <v>5</v>
      </c>
      <c r="J307">
        <v>1</v>
      </c>
      <c r="K307">
        <v>5</v>
      </c>
      <c r="L307">
        <v>1</v>
      </c>
      <c r="M307">
        <v>4</v>
      </c>
      <c r="N307">
        <v>8</v>
      </c>
      <c r="O307">
        <v>53</v>
      </c>
      <c r="P307">
        <v>1</v>
      </c>
      <c r="Q307">
        <v>0</v>
      </c>
      <c r="R307">
        <v>0</v>
      </c>
      <c r="S307">
        <v>0</v>
      </c>
      <c r="T307">
        <v>4</v>
      </c>
      <c r="U307">
        <v>3</v>
      </c>
      <c r="V307">
        <v>5410</v>
      </c>
      <c r="W307" t="s">
        <v>6110</v>
      </c>
      <c r="X307" t="s">
        <v>6189</v>
      </c>
      <c r="Y307" t="s">
        <v>6089</v>
      </c>
      <c r="AA307" t="s">
        <v>5635</v>
      </c>
      <c r="AB307" t="s">
        <v>5649</v>
      </c>
      <c r="AC307" t="s">
        <v>5650</v>
      </c>
      <c r="AD307" t="s">
        <v>5651</v>
      </c>
      <c r="AE307" t="s">
        <v>5652</v>
      </c>
      <c r="AF307" t="s">
        <v>5659</v>
      </c>
      <c r="AK307" t="s">
        <v>5636</v>
      </c>
    </row>
    <row r="308" spans="1:37" x14ac:dyDescent="0.3">
      <c r="A308" t="s">
        <v>6195</v>
      </c>
      <c r="B308">
        <v>31</v>
      </c>
      <c r="C308" t="s">
        <v>6262</v>
      </c>
      <c r="D308" s="1032">
        <v>45290</v>
      </c>
      <c r="E308" t="s">
        <v>6086</v>
      </c>
      <c r="F308" t="s">
        <v>17</v>
      </c>
      <c r="G308" t="s">
        <v>6144</v>
      </c>
      <c r="H308" t="s">
        <v>16</v>
      </c>
      <c r="I308">
        <v>6</v>
      </c>
      <c r="J308">
        <v>1</v>
      </c>
      <c r="K308">
        <v>6</v>
      </c>
      <c r="L308">
        <v>1</v>
      </c>
      <c r="M308">
        <v>4</v>
      </c>
      <c r="N308">
        <v>8</v>
      </c>
      <c r="O308">
        <v>56</v>
      </c>
      <c r="P308">
        <v>1</v>
      </c>
      <c r="Q308">
        <v>0</v>
      </c>
      <c r="R308">
        <v>0</v>
      </c>
      <c r="S308">
        <v>1</v>
      </c>
      <c r="T308">
        <v>6</v>
      </c>
      <c r="U308">
        <v>4</v>
      </c>
      <c r="V308">
        <v>5823</v>
      </c>
      <c r="W308" t="s">
        <v>6120</v>
      </c>
      <c r="X308" t="s">
        <v>6100</v>
      </c>
      <c r="Y308" t="s">
        <v>6089</v>
      </c>
      <c r="AA308" t="s">
        <v>5638</v>
      </c>
      <c r="AB308" t="s">
        <v>5653</v>
      </c>
      <c r="AC308" t="s">
        <v>5660</v>
      </c>
      <c r="AD308" t="s">
        <v>5654</v>
      </c>
      <c r="AE308" t="s">
        <v>5655</v>
      </c>
      <c r="AF308" t="s">
        <v>5656</v>
      </c>
      <c r="AG308" t="s">
        <v>5657</v>
      </c>
      <c r="AK308" t="s">
        <v>5636</v>
      </c>
    </row>
    <row r="309" spans="1:37" x14ac:dyDescent="0.3">
      <c r="A309" t="s">
        <v>6195</v>
      </c>
      <c r="B309">
        <v>32</v>
      </c>
      <c r="C309" t="s">
        <v>6277</v>
      </c>
      <c r="D309" s="1032">
        <v>45294</v>
      </c>
      <c r="E309" t="s">
        <v>6076</v>
      </c>
      <c r="F309" t="s">
        <v>17</v>
      </c>
      <c r="G309" t="s">
        <v>6215</v>
      </c>
      <c r="H309" t="s">
        <v>743</v>
      </c>
      <c r="I309">
        <v>1</v>
      </c>
      <c r="J309">
        <v>6</v>
      </c>
      <c r="K309">
        <v>1</v>
      </c>
      <c r="L309">
        <v>6</v>
      </c>
      <c r="M309">
        <v>4</v>
      </c>
      <c r="N309">
        <v>5</v>
      </c>
      <c r="O309">
        <v>56</v>
      </c>
      <c r="P309">
        <v>0</v>
      </c>
      <c r="Q309">
        <v>0</v>
      </c>
      <c r="R309">
        <v>0</v>
      </c>
      <c r="S309">
        <v>1</v>
      </c>
      <c r="T309">
        <v>4</v>
      </c>
      <c r="U309">
        <v>4</v>
      </c>
      <c r="V309">
        <v>3810</v>
      </c>
      <c r="W309" t="s">
        <v>6102</v>
      </c>
      <c r="X309" t="s">
        <v>6188</v>
      </c>
      <c r="Y309" t="s">
        <v>6079</v>
      </c>
      <c r="AA309" t="s">
        <v>3809</v>
      </c>
      <c r="AB309" t="s">
        <v>5678</v>
      </c>
      <c r="AK309" t="s">
        <v>5640</v>
      </c>
    </row>
    <row r="310" spans="1:37" x14ac:dyDescent="0.3">
      <c r="A310" t="s">
        <v>6195</v>
      </c>
      <c r="B310">
        <v>33</v>
      </c>
      <c r="C310" t="s">
        <v>6263</v>
      </c>
      <c r="D310" s="1032">
        <v>45296</v>
      </c>
      <c r="E310" t="s">
        <v>334</v>
      </c>
      <c r="F310" t="s">
        <v>17</v>
      </c>
      <c r="G310" t="s">
        <v>6133</v>
      </c>
      <c r="H310" t="s">
        <v>16</v>
      </c>
      <c r="I310">
        <v>5</v>
      </c>
      <c r="J310">
        <v>2</v>
      </c>
      <c r="K310">
        <v>4</v>
      </c>
      <c r="L310">
        <v>2</v>
      </c>
      <c r="M310">
        <v>4</v>
      </c>
      <c r="N310">
        <v>5</v>
      </c>
      <c r="O310">
        <v>59</v>
      </c>
      <c r="P310">
        <v>0</v>
      </c>
      <c r="Q310">
        <v>0</v>
      </c>
      <c r="R310">
        <v>0</v>
      </c>
      <c r="S310">
        <v>0</v>
      </c>
      <c r="T310">
        <v>3</v>
      </c>
      <c r="U310">
        <v>4</v>
      </c>
      <c r="V310">
        <v>4524</v>
      </c>
      <c r="W310" t="s">
        <v>6189</v>
      </c>
      <c r="X310" t="s">
        <v>6100</v>
      </c>
      <c r="Y310" t="s">
        <v>6089</v>
      </c>
      <c r="AA310" t="s">
        <v>5658</v>
      </c>
      <c r="AB310" t="s">
        <v>5679</v>
      </c>
      <c r="AC310" t="s">
        <v>5680</v>
      </c>
      <c r="AD310" t="s">
        <v>5681</v>
      </c>
      <c r="AE310" t="s">
        <v>5682</v>
      </c>
      <c r="AF310" t="s">
        <v>5683</v>
      </c>
      <c r="AK310" t="s">
        <v>5641</v>
      </c>
    </row>
    <row r="311" spans="1:37" x14ac:dyDescent="0.3">
      <c r="A311" t="s">
        <v>6195</v>
      </c>
      <c r="B311">
        <v>34</v>
      </c>
      <c r="C311" t="s">
        <v>6264</v>
      </c>
      <c r="D311" s="1032">
        <v>45298</v>
      </c>
      <c r="E311" t="s">
        <v>6076</v>
      </c>
      <c r="F311" t="s">
        <v>16</v>
      </c>
      <c r="G311" t="s">
        <v>589</v>
      </c>
      <c r="H311" t="s">
        <v>794</v>
      </c>
      <c r="I311">
        <v>1</v>
      </c>
      <c r="J311">
        <v>2</v>
      </c>
      <c r="K311">
        <v>1</v>
      </c>
      <c r="L311">
        <v>1</v>
      </c>
      <c r="M311">
        <v>4</v>
      </c>
      <c r="N311">
        <v>6</v>
      </c>
      <c r="O311">
        <v>60</v>
      </c>
      <c r="P311">
        <v>0</v>
      </c>
      <c r="Q311">
        <v>0</v>
      </c>
      <c r="R311">
        <v>0</v>
      </c>
      <c r="S311">
        <v>0</v>
      </c>
      <c r="T311">
        <v>1</v>
      </c>
      <c r="U311">
        <v>2</v>
      </c>
      <c r="V311">
        <v>4861</v>
      </c>
      <c r="W311" t="s">
        <v>6187</v>
      </c>
      <c r="X311" t="s">
        <v>6188</v>
      </c>
      <c r="Y311" t="s">
        <v>6188</v>
      </c>
      <c r="Z311" t="s">
        <v>3213</v>
      </c>
      <c r="AA311" t="s">
        <v>3803</v>
      </c>
      <c r="AB311" t="s">
        <v>5684</v>
      </c>
      <c r="AK311" t="s">
        <v>5639</v>
      </c>
    </row>
    <row r="312" spans="1:37" x14ac:dyDescent="0.3">
      <c r="A312" t="s">
        <v>6195</v>
      </c>
      <c r="B312">
        <v>35</v>
      </c>
      <c r="C312" t="s">
        <v>6265</v>
      </c>
      <c r="D312" s="1032">
        <v>45303</v>
      </c>
      <c r="E312" t="s">
        <v>6091</v>
      </c>
      <c r="F312" t="s">
        <v>17</v>
      </c>
      <c r="G312" t="s">
        <v>164</v>
      </c>
      <c r="H312" t="s">
        <v>793</v>
      </c>
      <c r="I312">
        <v>4</v>
      </c>
      <c r="J312">
        <v>3</v>
      </c>
      <c r="K312">
        <v>3</v>
      </c>
      <c r="L312">
        <v>3</v>
      </c>
      <c r="M312">
        <v>4</v>
      </c>
      <c r="N312">
        <v>5</v>
      </c>
      <c r="O312">
        <v>62</v>
      </c>
      <c r="P312">
        <v>1</v>
      </c>
      <c r="Q312">
        <v>0</v>
      </c>
      <c r="R312">
        <v>0</v>
      </c>
      <c r="S312">
        <v>0</v>
      </c>
      <c r="T312">
        <v>3</v>
      </c>
      <c r="U312">
        <v>1</v>
      </c>
      <c r="V312">
        <v>4310</v>
      </c>
      <c r="W312" t="s">
        <v>6100</v>
      </c>
      <c r="X312" t="s">
        <v>6171</v>
      </c>
      <c r="Y312" t="s">
        <v>6188</v>
      </c>
      <c r="Z312" t="s">
        <v>756</v>
      </c>
      <c r="AA312" t="s">
        <v>5661</v>
      </c>
      <c r="AB312" t="s">
        <v>5685</v>
      </c>
      <c r="AC312" t="s">
        <v>5686</v>
      </c>
      <c r="AD312" t="s">
        <v>5687</v>
      </c>
      <c r="AE312" t="s">
        <v>5688</v>
      </c>
      <c r="AK312" t="s">
        <v>5670</v>
      </c>
    </row>
    <row r="313" spans="1:37" x14ac:dyDescent="0.3">
      <c r="A313" t="s">
        <v>6195</v>
      </c>
      <c r="B313">
        <v>36</v>
      </c>
      <c r="C313" t="s">
        <v>6266</v>
      </c>
      <c r="D313" s="1032">
        <v>45305</v>
      </c>
      <c r="E313" t="s">
        <v>325</v>
      </c>
      <c r="F313" t="s">
        <v>16</v>
      </c>
      <c r="G313" t="s">
        <v>6092</v>
      </c>
      <c r="H313" t="s">
        <v>743</v>
      </c>
      <c r="I313">
        <v>3</v>
      </c>
      <c r="J313">
        <v>6</v>
      </c>
      <c r="K313">
        <v>3</v>
      </c>
      <c r="L313">
        <v>5</v>
      </c>
      <c r="M313">
        <v>4</v>
      </c>
      <c r="N313">
        <v>5</v>
      </c>
      <c r="O313">
        <v>62</v>
      </c>
      <c r="P313">
        <v>1</v>
      </c>
      <c r="Q313">
        <v>0</v>
      </c>
      <c r="R313">
        <v>0</v>
      </c>
      <c r="S313">
        <v>2</v>
      </c>
      <c r="T313">
        <v>3</v>
      </c>
      <c r="U313">
        <v>3</v>
      </c>
      <c r="V313">
        <v>12087</v>
      </c>
      <c r="W313" t="s">
        <v>6188</v>
      </c>
      <c r="X313" t="s">
        <v>6193</v>
      </c>
      <c r="Y313" t="s">
        <v>6079</v>
      </c>
      <c r="AA313" t="s">
        <v>5662</v>
      </c>
      <c r="AB313" t="s">
        <v>5689</v>
      </c>
      <c r="AC313" t="s">
        <v>5690</v>
      </c>
      <c r="AD313" t="s">
        <v>5691</v>
      </c>
      <c r="AK313" t="s">
        <v>5671</v>
      </c>
    </row>
    <row r="314" spans="1:37" x14ac:dyDescent="0.3">
      <c r="A314" t="s">
        <v>6195</v>
      </c>
      <c r="B314">
        <v>37</v>
      </c>
      <c r="C314" t="s">
        <v>6259</v>
      </c>
      <c r="D314" s="1032">
        <v>45308</v>
      </c>
      <c r="E314" t="s">
        <v>6179</v>
      </c>
      <c r="F314" t="s">
        <v>16</v>
      </c>
      <c r="G314" t="s">
        <v>6102</v>
      </c>
      <c r="H314" t="s">
        <v>743</v>
      </c>
      <c r="I314">
        <v>1</v>
      </c>
      <c r="J314">
        <v>3</v>
      </c>
      <c r="K314">
        <v>1</v>
      </c>
      <c r="L314">
        <v>2</v>
      </c>
      <c r="M314">
        <v>4</v>
      </c>
      <c r="N314">
        <v>5</v>
      </c>
      <c r="O314">
        <v>62</v>
      </c>
      <c r="P314">
        <v>0</v>
      </c>
      <c r="Q314">
        <v>0</v>
      </c>
      <c r="R314">
        <v>0</v>
      </c>
      <c r="S314">
        <v>0</v>
      </c>
      <c r="T314">
        <v>1</v>
      </c>
      <c r="U314">
        <v>4</v>
      </c>
      <c r="V314">
        <v>7412</v>
      </c>
      <c r="W314" t="s">
        <v>6189</v>
      </c>
      <c r="X314" t="s">
        <v>6120</v>
      </c>
      <c r="Y314" t="s">
        <v>6171</v>
      </c>
      <c r="AA314" t="s">
        <v>3307</v>
      </c>
      <c r="AB314" t="s">
        <v>5692</v>
      </c>
      <c r="AK314" t="s">
        <v>5672</v>
      </c>
    </row>
    <row r="315" spans="1:37" x14ac:dyDescent="0.3">
      <c r="A315" t="s">
        <v>6195</v>
      </c>
      <c r="B315">
        <v>38</v>
      </c>
      <c r="C315" t="s">
        <v>6267</v>
      </c>
      <c r="D315" s="1032">
        <v>45310</v>
      </c>
      <c r="E315" t="s">
        <v>332</v>
      </c>
      <c r="F315" t="s">
        <v>17</v>
      </c>
      <c r="G315" t="s">
        <v>6192</v>
      </c>
      <c r="H315" t="s">
        <v>16</v>
      </c>
      <c r="I315">
        <v>4</v>
      </c>
      <c r="J315">
        <v>3</v>
      </c>
      <c r="K315">
        <v>4</v>
      </c>
      <c r="L315">
        <v>3</v>
      </c>
      <c r="M315">
        <v>4</v>
      </c>
      <c r="N315">
        <v>5</v>
      </c>
      <c r="O315">
        <v>65</v>
      </c>
      <c r="P315">
        <v>1</v>
      </c>
      <c r="Q315">
        <v>0</v>
      </c>
      <c r="R315">
        <v>0</v>
      </c>
      <c r="S315">
        <v>1</v>
      </c>
      <c r="T315">
        <v>4</v>
      </c>
      <c r="U315">
        <v>5</v>
      </c>
      <c r="V315">
        <v>5324</v>
      </c>
      <c r="W315" t="s">
        <v>6089</v>
      </c>
      <c r="X315" t="s">
        <v>6097</v>
      </c>
      <c r="Y315" t="s">
        <v>6187</v>
      </c>
      <c r="AA315" t="s">
        <v>5324</v>
      </c>
      <c r="AB315" t="s">
        <v>5693</v>
      </c>
      <c r="AC315" t="s">
        <v>5694</v>
      </c>
      <c r="AD315" t="s">
        <v>5695</v>
      </c>
      <c r="AE315" t="s">
        <v>5696</v>
      </c>
      <c r="AK315" t="s">
        <v>5641</v>
      </c>
    </row>
    <row r="316" spans="1:37" x14ac:dyDescent="0.3">
      <c r="A316" t="s">
        <v>6195</v>
      </c>
      <c r="B316">
        <v>39</v>
      </c>
      <c r="C316" t="s">
        <v>6268</v>
      </c>
      <c r="D316" s="1032">
        <v>45312</v>
      </c>
      <c r="E316" t="s">
        <v>328</v>
      </c>
      <c r="F316" t="s">
        <v>16</v>
      </c>
      <c r="G316" t="s">
        <v>6084</v>
      </c>
      <c r="H316" t="s">
        <v>743</v>
      </c>
      <c r="I316">
        <v>1</v>
      </c>
      <c r="J316">
        <v>5</v>
      </c>
      <c r="K316">
        <v>1</v>
      </c>
      <c r="L316">
        <v>5</v>
      </c>
      <c r="M316">
        <v>4</v>
      </c>
      <c r="N316">
        <v>5</v>
      </c>
      <c r="O316">
        <v>65</v>
      </c>
      <c r="P316">
        <v>1</v>
      </c>
      <c r="Q316">
        <v>0</v>
      </c>
      <c r="R316">
        <v>0</v>
      </c>
      <c r="S316">
        <v>1</v>
      </c>
      <c r="T316">
        <v>4</v>
      </c>
      <c r="U316">
        <v>1</v>
      </c>
      <c r="V316">
        <v>4693</v>
      </c>
      <c r="W316" t="s">
        <v>6189</v>
      </c>
      <c r="X316" t="s">
        <v>6171</v>
      </c>
      <c r="Y316" t="s">
        <v>6097</v>
      </c>
      <c r="AA316" t="s">
        <v>5669</v>
      </c>
      <c r="AB316" t="s">
        <v>5706</v>
      </c>
      <c r="AK316" t="s">
        <v>5673</v>
      </c>
    </row>
    <row r="317" spans="1:37" x14ac:dyDescent="0.3">
      <c r="A317" t="s">
        <v>6195</v>
      </c>
      <c r="B317">
        <v>40</v>
      </c>
      <c r="C317" t="s">
        <v>6269</v>
      </c>
      <c r="D317" s="1032">
        <v>45314</v>
      </c>
      <c r="E317" t="s">
        <v>626</v>
      </c>
      <c r="F317" t="s">
        <v>17</v>
      </c>
      <c r="G317" t="s">
        <v>6148</v>
      </c>
      <c r="H317" t="s">
        <v>16</v>
      </c>
      <c r="I317">
        <v>4</v>
      </c>
      <c r="J317">
        <v>1</v>
      </c>
      <c r="K317">
        <v>3</v>
      </c>
      <c r="L317">
        <v>1</v>
      </c>
      <c r="M317">
        <v>4</v>
      </c>
      <c r="N317">
        <v>5</v>
      </c>
      <c r="O317">
        <v>68</v>
      </c>
      <c r="P317">
        <v>2</v>
      </c>
      <c r="Q317">
        <v>0</v>
      </c>
      <c r="R317">
        <v>0</v>
      </c>
      <c r="S317">
        <v>1</v>
      </c>
      <c r="T317">
        <v>6</v>
      </c>
      <c r="U317">
        <v>5</v>
      </c>
      <c r="V317">
        <v>3538</v>
      </c>
      <c r="W317" t="s">
        <v>6188</v>
      </c>
      <c r="X317" t="s">
        <v>6110</v>
      </c>
      <c r="Y317" t="s">
        <v>6187</v>
      </c>
      <c r="AA317" t="s">
        <v>4151</v>
      </c>
      <c r="AB317" t="s">
        <v>5707</v>
      </c>
      <c r="AC317" t="s">
        <v>5708</v>
      </c>
      <c r="AD317" t="s">
        <v>5709</v>
      </c>
      <c r="AE317" t="s">
        <v>5710</v>
      </c>
      <c r="AK317" t="s">
        <v>5674</v>
      </c>
    </row>
    <row r="318" spans="1:37" x14ac:dyDescent="0.3">
      <c r="A318" t="s">
        <v>6195</v>
      </c>
      <c r="B318">
        <v>41</v>
      </c>
      <c r="C318" t="s">
        <v>6270</v>
      </c>
      <c r="D318" s="1032">
        <v>45317</v>
      </c>
      <c r="E318" t="s">
        <v>327</v>
      </c>
      <c r="F318" t="s">
        <v>17</v>
      </c>
      <c r="G318" t="s">
        <v>6102</v>
      </c>
      <c r="H318" t="s">
        <v>743</v>
      </c>
      <c r="I318">
        <v>1</v>
      </c>
      <c r="J318">
        <v>3</v>
      </c>
      <c r="K318">
        <v>1</v>
      </c>
      <c r="L318">
        <v>2</v>
      </c>
      <c r="M318">
        <v>4</v>
      </c>
      <c r="N318">
        <v>2</v>
      </c>
      <c r="O318">
        <v>68</v>
      </c>
      <c r="P318">
        <v>1</v>
      </c>
      <c r="Q318">
        <v>0</v>
      </c>
      <c r="R318">
        <v>0</v>
      </c>
      <c r="S318">
        <v>0</v>
      </c>
      <c r="T318">
        <v>3</v>
      </c>
      <c r="U318">
        <v>2</v>
      </c>
      <c r="V318">
        <v>5114</v>
      </c>
      <c r="W318" t="s">
        <v>6120</v>
      </c>
      <c r="X318" t="s">
        <v>6171</v>
      </c>
      <c r="Y318" t="s">
        <v>6189</v>
      </c>
      <c r="AA318" t="s">
        <v>3601</v>
      </c>
      <c r="AB318" t="s">
        <v>5711</v>
      </c>
      <c r="AK318" t="s">
        <v>5677</v>
      </c>
    </row>
    <row r="319" spans="1:37" x14ac:dyDescent="0.3">
      <c r="A319" t="s">
        <v>6195</v>
      </c>
      <c r="B319">
        <v>42</v>
      </c>
      <c r="C319" t="s">
        <v>6271</v>
      </c>
      <c r="D319" s="1032">
        <v>45319</v>
      </c>
      <c r="E319" t="s">
        <v>331</v>
      </c>
      <c r="F319" t="s">
        <v>16</v>
      </c>
      <c r="G319" t="s">
        <v>6212</v>
      </c>
      <c r="H319" t="s">
        <v>16</v>
      </c>
      <c r="I319">
        <v>5</v>
      </c>
      <c r="J319">
        <v>3</v>
      </c>
      <c r="K319">
        <v>4</v>
      </c>
      <c r="L319">
        <v>3</v>
      </c>
      <c r="M319">
        <v>4</v>
      </c>
      <c r="N319">
        <v>5</v>
      </c>
      <c r="O319">
        <v>71</v>
      </c>
      <c r="P319">
        <v>1</v>
      </c>
      <c r="Q319">
        <v>0</v>
      </c>
      <c r="R319">
        <v>0</v>
      </c>
      <c r="S319">
        <v>0</v>
      </c>
      <c r="T319">
        <v>1</v>
      </c>
      <c r="U319">
        <v>1</v>
      </c>
      <c r="V319">
        <v>5626</v>
      </c>
      <c r="W319" t="s">
        <v>6187</v>
      </c>
      <c r="X319" t="s">
        <v>6187</v>
      </c>
      <c r="Y319" t="s">
        <v>6100</v>
      </c>
      <c r="AA319" t="s">
        <v>5698</v>
      </c>
      <c r="AB319" t="s">
        <v>5712</v>
      </c>
      <c r="AC319" t="s">
        <v>5713</v>
      </c>
      <c r="AD319" t="s">
        <v>5714</v>
      </c>
      <c r="AE319" t="s">
        <v>5715</v>
      </c>
      <c r="AF319" t="s">
        <v>5716</v>
      </c>
      <c r="AJ319" t="s">
        <v>5697</v>
      </c>
      <c r="AK319" t="s">
        <v>5704</v>
      </c>
    </row>
    <row r="320" spans="1:37" x14ac:dyDescent="0.3">
      <c r="A320" t="s">
        <v>6195</v>
      </c>
      <c r="B320">
        <v>43</v>
      </c>
      <c r="C320" t="s">
        <v>6272</v>
      </c>
      <c r="D320" s="1032">
        <v>45324</v>
      </c>
      <c r="E320" t="s">
        <v>6179</v>
      </c>
      <c r="F320" t="s">
        <v>17</v>
      </c>
      <c r="G320" t="s">
        <v>6146</v>
      </c>
      <c r="H320" t="s">
        <v>743</v>
      </c>
      <c r="I320">
        <v>2</v>
      </c>
      <c r="J320">
        <v>3</v>
      </c>
      <c r="K320">
        <v>2</v>
      </c>
      <c r="L320">
        <v>3</v>
      </c>
      <c r="M320">
        <v>4</v>
      </c>
      <c r="N320">
        <v>2</v>
      </c>
      <c r="O320">
        <v>71</v>
      </c>
      <c r="P320">
        <v>1</v>
      </c>
      <c r="Q320">
        <v>0</v>
      </c>
      <c r="R320">
        <v>0</v>
      </c>
      <c r="S320">
        <v>0</v>
      </c>
      <c r="T320">
        <v>4</v>
      </c>
      <c r="U320">
        <v>3</v>
      </c>
      <c r="V320">
        <v>3896</v>
      </c>
      <c r="W320" t="s">
        <v>6189</v>
      </c>
      <c r="X320" t="s">
        <v>6120</v>
      </c>
      <c r="Y320" t="s">
        <v>6097</v>
      </c>
      <c r="AA320" t="s">
        <v>5699</v>
      </c>
      <c r="AB320" t="s">
        <v>5717</v>
      </c>
      <c r="AC320" t="s">
        <v>5718</v>
      </c>
      <c r="AK320" t="s">
        <v>5703</v>
      </c>
    </row>
    <row r="321" spans="1:37" x14ac:dyDescent="0.3">
      <c r="A321" t="s">
        <v>6195</v>
      </c>
      <c r="B321">
        <v>44</v>
      </c>
      <c r="C321" t="s">
        <v>6273</v>
      </c>
      <c r="D321" s="1032">
        <v>45326</v>
      </c>
      <c r="E321" t="s">
        <v>610</v>
      </c>
      <c r="F321" t="s">
        <v>16</v>
      </c>
      <c r="G321" t="s">
        <v>6210</v>
      </c>
      <c r="H321" t="s">
        <v>743</v>
      </c>
      <c r="I321">
        <v>2</v>
      </c>
      <c r="J321">
        <v>6</v>
      </c>
      <c r="K321">
        <v>2</v>
      </c>
      <c r="L321">
        <v>6</v>
      </c>
      <c r="M321">
        <v>6</v>
      </c>
      <c r="N321">
        <v>2</v>
      </c>
      <c r="O321">
        <v>71</v>
      </c>
      <c r="P321">
        <v>1</v>
      </c>
      <c r="Q321">
        <v>0</v>
      </c>
      <c r="R321">
        <v>0</v>
      </c>
      <c r="S321">
        <v>3</v>
      </c>
      <c r="T321">
        <v>4</v>
      </c>
      <c r="U321">
        <v>6</v>
      </c>
      <c r="V321">
        <v>7286</v>
      </c>
      <c r="W321" t="s">
        <v>6171</v>
      </c>
      <c r="X321" t="s">
        <v>6118</v>
      </c>
      <c r="Y321" t="s">
        <v>6079</v>
      </c>
      <c r="AA321" t="s">
        <v>5701</v>
      </c>
      <c r="AB321" t="s">
        <v>5719</v>
      </c>
      <c r="AC321" t="s">
        <v>5720</v>
      </c>
      <c r="AK321" t="s">
        <v>5702</v>
      </c>
    </row>
    <row r="322" spans="1:37" x14ac:dyDescent="0.3">
      <c r="A322" t="s">
        <v>6195</v>
      </c>
      <c r="B322">
        <v>45</v>
      </c>
      <c r="C322" t="s">
        <v>6274</v>
      </c>
      <c r="D322" s="1032">
        <v>45336</v>
      </c>
      <c r="E322" t="s">
        <v>1274</v>
      </c>
      <c r="F322" t="s">
        <v>17</v>
      </c>
      <c r="G322" t="s">
        <v>590</v>
      </c>
      <c r="H322" t="s">
        <v>794</v>
      </c>
      <c r="I322">
        <v>5</v>
      </c>
      <c r="J322">
        <v>6</v>
      </c>
      <c r="K322">
        <v>5</v>
      </c>
      <c r="L322">
        <v>5</v>
      </c>
      <c r="M322">
        <v>6</v>
      </c>
      <c r="N322">
        <v>0</v>
      </c>
      <c r="O322">
        <v>72</v>
      </c>
      <c r="P322">
        <v>3</v>
      </c>
      <c r="Q322">
        <v>0</v>
      </c>
      <c r="R322">
        <v>0</v>
      </c>
      <c r="S322">
        <v>2</v>
      </c>
      <c r="T322">
        <v>8</v>
      </c>
      <c r="U322">
        <v>4</v>
      </c>
      <c r="V322">
        <v>3731</v>
      </c>
      <c r="W322" t="s">
        <v>6187</v>
      </c>
      <c r="X322" t="s">
        <v>6128</v>
      </c>
      <c r="Y322" t="s">
        <v>6110</v>
      </c>
      <c r="Z322" t="s">
        <v>3213</v>
      </c>
      <c r="AA322" t="s">
        <v>5700</v>
      </c>
      <c r="AB322" t="s">
        <v>5738</v>
      </c>
      <c r="AC322" t="s">
        <v>5739</v>
      </c>
      <c r="AD322" t="s">
        <v>5740</v>
      </c>
      <c r="AE322" t="s">
        <v>5741</v>
      </c>
      <c r="AF322" t="s">
        <v>5742</v>
      </c>
      <c r="AK322" t="s">
        <v>5705</v>
      </c>
    </row>
    <row r="323" spans="1:37" x14ac:dyDescent="0.3">
      <c r="A323" t="s">
        <v>6195</v>
      </c>
      <c r="B323">
        <v>46</v>
      </c>
      <c r="C323" t="s">
        <v>6275</v>
      </c>
      <c r="D323" s="1032">
        <v>45338</v>
      </c>
      <c r="E323" t="s">
        <v>6086</v>
      </c>
      <c r="F323" t="s">
        <v>16</v>
      </c>
      <c r="G323" t="s">
        <v>6113</v>
      </c>
      <c r="H323" t="s">
        <v>16</v>
      </c>
      <c r="I323">
        <v>3</v>
      </c>
      <c r="J323">
        <v>2</v>
      </c>
      <c r="K323">
        <v>3</v>
      </c>
      <c r="L323">
        <v>2</v>
      </c>
      <c r="M323">
        <v>5</v>
      </c>
      <c r="N323">
        <v>3</v>
      </c>
      <c r="O323">
        <v>75</v>
      </c>
      <c r="P323">
        <v>1</v>
      </c>
      <c r="Q323">
        <v>0</v>
      </c>
      <c r="R323">
        <v>0</v>
      </c>
      <c r="S323">
        <v>1</v>
      </c>
      <c r="T323">
        <v>6</v>
      </c>
      <c r="U323">
        <v>6</v>
      </c>
      <c r="V323">
        <v>3011</v>
      </c>
      <c r="W323" t="s">
        <v>6118</v>
      </c>
      <c r="X323" t="s">
        <v>6120</v>
      </c>
      <c r="Y323" t="s">
        <v>6189</v>
      </c>
      <c r="AA323" t="s">
        <v>4210</v>
      </c>
      <c r="AB323" t="s">
        <v>5743</v>
      </c>
      <c r="AC323" t="s">
        <v>5744</v>
      </c>
      <c r="AD323" t="s">
        <v>5745</v>
      </c>
      <c r="AK323" t="s">
        <v>5721</v>
      </c>
    </row>
    <row r="324" spans="1:37" x14ac:dyDescent="0.3">
      <c r="A324" t="s">
        <v>6195</v>
      </c>
      <c r="B324">
        <v>47</v>
      </c>
      <c r="C324" t="s">
        <v>6276</v>
      </c>
      <c r="D324" s="1032">
        <v>45340</v>
      </c>
      <c r="E324" t="s">
        <v>334</v>
      </c>
      <c r="F324" t="s">
        <v>16</v>
      </c>
      <c r="G324" t="s">
        <v>6104</v>
      </c>
      <c r="H324" t="s">
        <v>743</v>
      </c>
      <c r="I324">
        <v>2</v>
      </c>
      <c r="J324">
        <v>5</v>
      </c>
      <c r="K324">
        <v>2</v>
      </c>
      <c r="L324">
        <v>5</v>
      </c>
      <c r="M324">
        <v>6</v>
      </c>
      <c r="N324">
        <v>3</v>
      </c>
      <c r="O324">
        <v>75</v>
      </c>
      <c r="P324">
        <v>0</v>
      </c>
      <c r="Q324">
        <v>0</v>
      </c>
      <c r="R324">
        <v>0</v>
      </c>
      <c r="S324">
        <v>3</v>
      </c>
      <c r="T324">
        <v>5</v>
      </c>
      <c r="U324">
        <v>5</v>
      </c>
      <c r="V324">
        <v>5031</v>
      </c>
      <c r="W324" t="s">
        <v>6120</v>
      </c>
      <c r="X324" t="s">
        <v>6079</v>
      </c>
      <c r="Y324" t="s">
        <v>6097</v>
      </c>
      <c r="AA324" t="s">
        <v>5723</v>
      </c>
      <c r="AB324" t="s">
        <v>5746</v>
      </c>
      <c r="AC324" t="s">
        <v>5747</v>
      </c>
      <c r="AK324" t="s">
        <v>5722</v>
      </c>
    </row>
    <row r="325" spans="1:37" x14ac:dyDescent="0.3">
      <c r="A325" t="s">
        <v>6195</v>
      </c>
      <c r="B325">
        <v>48</v>
      </c>
      <c r="C325" t="s">
        <v>6278</v>
      </c>
      <c r="D325" s="1032">
        <v>45345</v>
      </c>
      <c r="E325" t="s">
        <v>6091</v>
      </c>
      <c r="F325" t="s">
        <v>16</v>
      </c>
      <c r="G325" t="s">
        <v>6220</v>
      </c>
      <c r="H325" t="s">
        <v>16</v>
      </c>
      <c r="I325">
        <v>7</v>
      </c>
      <c r="J325">
        <v>4</v>
      </c>
      <c r="K325">
        <v>6</v>
      </c>
      <c r="L325">
        <v>4</v>
      </c>
      <c r="M325">
        <v>4</v>
      </c>
      <c r="N325">
        <v>6</v>
      </c>
      <c r="O325">
        <v>78</v>
      </c>
      <c r="P325">
        <v>1</v>
      </c>
      <c r="Q325">
        <v>0</v>
      </c>
      <c r="R325">
        <v>0</v>
      </c>
      <c r="S325">
        <v>1</v>
      </c>
      <c r="T325">
        <v>2</v>
      </c>
      <c r="U325">
        <v>4</v>
      </c>
      <c r="V325">
        <v>6057</v>
      </c>
      <c r="W325" t="s">
        <v>6089</v>
      </c>
      <c r="X325" t="s">
        <v>6073</v>
      </c>
      <c r="Y325" t="s">
        <v>6097</v>
      </c>
      <c r="AA325" t="s">
        <v>5724</v>
      </c>
      <c r="AB325" t="s">
        <v>5748</v>
      </c>
      <c r="AC325" t="s">
        <v>5749</v>
      </c>
      <c r="AD325" t="s">
        <v>5750</v>
      </c>
      <c r="AE325" t="s">
        <v>5751</v>
      </c>
      <c r="AF325" t="s">
        <v>5752</v>
      </c>
      <c r="AG325" t="s">
        <v>5753</v>
      </c>
      <c r="AH325" t="s">
        <v>5754</v>
      </c>
      <c r="AK325" t="s">
        <v>5725</v>
      </c>
    </row>
    <row r="326" spans="1:37" x14ac:dyDescent="0.3">
      <c r="A326" t="s">
        <v>6195</v>
      </c>
      <c r="B326">
        <v>49</v>
      </c>
      <c r="C326" t="s">
        <v>6279</v>
      </c>
      <c r="D326" s="1032">
        <v>45347</v>
      </c>
      <c r="E326" t="s">
        <v>325</v>
      </c>
      <c r="F326" t="s">
        <v>17</v>
      </c>
      <c r="G326" t="s">
        <v>6221</v>
      </c>
      <c r="H326" t="s">
        <v>743</v>
      </c>
      <c r="I326">
        <v>3</v>
      </c>
      <c r="J326">
        <v>8</v>
      </c>
      <c r="K326">
        <v>3</v>
      </c>
      <c r="L326">
        <v>8</v>
      </c>
      <c r="M326">
        <v>5</v>
      </c>
      <c r="N326">
        <v>3</v>
      </c>
      <c r="O326">
        <v>78</v>
      </c>
      <c r="P326">
        <v>1</v>
      </c>
      <c r="Q326">
        <v>0</v>
      </c>
      <c r="R326">
        <v>0</v>
      </c>
      <c r="S326">
        <v>0</v>
      </c>
      <c r="T326">
        <v>2</v>
      </c>
      <c r="U326">
        <v>2</v>
      </c>
      <c r="V326">
        <v>5944</v>
      </c>
      <c r="W326" t="s">
        <v>6187</v>
      </c>
      <c r="X326" t="s">
        <v>6128</v>
      </c>
      <c r="Y326" t="s">
        <v>6102</v>
      </c>
      <c r="AA326" t="s">
        <v>5734</v>
      </c>
      <c r="AB326" t="s">
        <v>5735</v>
      </c>
      <c r="AC326" t="s">
        <v>5736</v>
      </c>
      <c r="AD326" t="s">
        <v>5737</v>
      </c>
      <c r="AK326" t="s">
        <v>5731</v>
      </c>
    </row>
    <row r="327" spans="1:37" x14ac:dyDescent="0.3">
      <c r="A327" t="s">
        <v>6195</v>
      </c>
      <c r="B327">
        <v>50</v>
      </c>
      <c r="C327" t="s">
        <v>6280</v>
      </c>
      <c r="D327" s="1032">
        <v>45349</v>
      </c>
      <c r="E327" t="s">
        <v>332</v>
      </c>
      <c r="F327" t="s">
        <v>16</v>
      </c>
      <c r="G327" t="s">
        <v>6171</v>
      </c>
      <c r="H327" t="s">
        <v>743</v>
      </c>
      <c r="I327">
        <v>0</v>
      </c>
      <c r="J327">
        <v>2</v>
      </c>
      <c r="K327">
        <v>0</v>
      </c>
      <c r="L327">
        <v>2</v>
      </c>
      <c r="M327">
        <v>7</v>
      </c>
      <c r="N327">
        <v>3</v>
      </c>
      <c r="O327">
        <v>78</v>
      </c>
      <c r="P327">
        <v>0</v>
      </c>
      <c r="Q327">
        <v>0</v>
      </c>
      <c r="R327">
        <v>0</v>
      </c>
      <c r="S327">
        <v>2</v>
      </c>
      <c r="T327">
        <v>2</v>
      </c>
      <c r="U327">
        <v>4</v>
      </c>
      <c r="V327">
        <v>2725</v>
      </c>
      <c r="W327" t="s">
        <v>6188</v>
      </c>
      <c r="X327" t="s">
        <v>6189</v>
      </c>
      <c r="Y327" t="s">
        <v>6189</v>
      </c>
      <c r="AA327" t="s">
        <v>6171</v>
      </c>
      <c r="AB327" t="s">
        <v>515</v>
      </c>
      <c r="AK327" t="s">
        <v>5732</v>
      </c>
    </row>
    <row r="328" spans="1:37" x14ac:dyDescent="0.3">
      <c r="A328" t="s">
        <v>6195</v>
      </c>
      <c r="B328">
        <v>51</v>
      </c>
      <c r="C328" t="s">
        <v>6281</v>
      </c>
      <c r="D328" s="1032">
        <v>45352</v>
      </c>
      <c r="E328" t="s">
        <v>328</v>
      </c>
      <c r="F328" t="s">
        <v>17</v>
      </c>
      <c r="G328" t="s">
        <v>6222</v>
      </c>
      <c r="H328" t="s">
        <v>16</v>
      </c>
      <c r="I328">
        <v>5</v>
      </c>
      <c r="J328">
        <v>4</v>
      </c>
      <c r="K328">
        <v>5</v>
      </c>
      <c r="L328">
        <v>4</v>
      </c>
      <c r="M328">
        <v>6</v>
      </c>
      <c r="N328">
        <v>3</v>
      </c>
      <c r="O328">
        <v>81</v>
      </c>
      <c r="P328">
        <v>1</v>
      </c>
      <c r="Q328">
        <v>0</v>
      </c>
      <c r="R328">
        <v>0</v>
      </c>
      <c r="S328">
        <v>1</v>
      </c>
      <c r="T328">
        <v>4</v>
      </c>
      <c r="U328">
        <v>4</v>
      </c>
      <c r="V328">
        <v>4033</v>
      </c>
      <c r="W328" t="s">
        <v>6118</v>
      </c>
      <c r="X328" t="s">
        <v>6194</v>
      </c>
      <c r="Y328" t="s">
        <v>6187</v>
      </c>
      <c r="AA328" t="s">
        <v>5760</v>
      </c>
      <c r="AB328" t="s">
        <v>5755</v>
      </c>
      <c r="AC328" t="s">
        <v>5756</v>
      </c>
      <c r="AD328" t="s">
        <v>5757</v>
      </c>
      <c r="AE328" t="s">
        <v>5758</v>
      </c>
      <c r="AF328" t="s">
        <v>5759</v>
      </c>
      <c r="AK328" t="s">
        <v>5733</v>
      </c>
    </row>
    <row r="329" spans="1:37" x14ac:dyDescent="0.3">
      <c r="A329" t="s">
        <v>6195</v>
      </c>
      <c r="B329">
        <v>52</v>
      </c>
      <c r="C329" t="s">
        <v>6282</v>
      </c>
      <c r="D329" s="1032">
        <v>45354</v>
      </c>
      <c r="E329" t="s">
        <v>626</v>
      </c>
      <c r="F329" t="s">
        <v>16</v>
      </c>
      <c r="G329" t="s">
        <v>159</v>
      </c>
      <c r="H329" t="s">
        <v>793</v>
      </c>
      <c r="I329">
        <v>4</v>
      </c>
      <c r="J329">
        <v>3</v>
      </c>
      <c r="K329">
        <v>3</v>
      </c>
      <c r="L329">
        <v>3</v>
      </c>
      <c r="M329">
        <v>5</v>
      </c>
      <c r="N329">
        <v>5</v>
      </c>
      <c r="O329">
        <v>83</v>
      </c>
      <c r="P329">
        <v>1</v>
      </c>
      <c r="Q329">
        <v>0</v>
      </c>
      <c r="R329">
        <v>1</v>
      </c>
      <c r="S329">
        <v>0</v>
      </c>
      <c r="T329">
        <v>6</v>
      </c>
      <c r="U329">
        <v>6</v>
      </c>
      <c r="V329">
        <v>5023</v>
      </c>
      <c r="W329" t="s">
        <v>6189</v>
      </c>
      <c r="X329" t="s">
        <v>6120</v>
      </c>
      <c r="Y329" t="s">
        <v>6194</v>
      </c>
      <c r="Z329" t="s">
        <v>3533</v>
      </c>
      <c r="AA329" t="s">
        <v>5765</v>
      </c>
      <c r="AB329" t="s">
        <v>5761</v>
      </c>
      <c r="AC329" t="s">
        <v>5762</v>
      </c>
      <c r="AD329" t="s">
        <v>5763</v>
      </c>
      <c r="AJ329" t="s">
        <v>5764</v>
      </c>
      <c r="AK329" t="s">
        <v>5733</v>
      </c>
    </row>
    <row r="330" spans="1:37" x14ac:dyDescent="0.3">
      <c r="A330" t="s">
        <v>6195</v>
      </c>
      <c r="B330">
        <v>53</v>
      </c>
      <c r="C330" t="s">
        <v>336</v>
      </c>
      <c r="D330" s="1032">
        <v>45357</v>
      </c>
      <c r="E330" t="s">
        <v>331</v>
      </c>
      <c r="F330" t="s">
        <v>17</v>
      </c>
      <c r="G330" t="s">
        <v>6073</v>
      </c>
      <c r="H330" t="s">
        <v>16</v>
      </c>
      <c r="I330">
        <v>4</v>
      </c>
      <c r="J330">
        <v>2</v>
      </c>
      <c r="K330">
        <v>3</v>
      </c>
      <c r="L330">
        <v>2</v>
      </c>
      <c r="P330">
        <v>1</v>
      </c>
      <c r="Q330">
        <v>0</v>
      </c>
      <c r="R330">
        <v>0</v>
      </c>
      <c r="S330">
        <v>1</v>
      </c>
      <c r="T330">
        <v>4</v>
      </c>
      <c r="U330">
        <v>3</v>
      </c>
      <c r="V330">
        <v>4522</v>
      </c>
      <c r="W330" t="s">
        <v>6189</v>
      </c>
      <c r="X330" t="s">
        <v>6187</v>
      </c>
      <c r="Y330" t="s">
        <v>6110</v>
      </c>
      <c r="AA330" t="s">
        <v>6229</v>
      </c>
      <c r="AB330" t="s">
        <v>5795</v>
      </c>
      <c r="AC330" t="s">
        <v>5796</v>
      </c>
      <c r="AD330" t="s">
        <v>5797</v>
      </c>
      <c r="AE330" t="s">
        <v>5798</v>
      </c>
      <c r="AK330" t="s">
        <v>5881</v>
      </c>
    </row>
    <row r="331" spans="1:37" x14ac:dyDescent="0.3">
      <c r="A331" t="s">
        <v>6195</v>
      </c>
      <c r="B331">
        <v>54</v>
      </c>
      <c r="C331" t="s">
        <v>336</v>
      </c>
      <c r="D331" s="1032">
        <v>45358</v>
      </c>
      <c r="E331" t="s">
        <v>331</v>
      </c>
      <c r="F331" t="s">
        <v>17</v>
      </c>
      <c r="G331" t="s">
        <v>6148</v>
      </c>
      <c r="H331" t="s">
        <v>16</v>
      </c>
      <c r="I331">
        <v>4</v>
      </c>
      <c r="J331">
        <v>1</v>
      </c>
      <c r="K331">
        <v>4</v>
      </c>
      <c r="L331">
        <v>1</v>
      </c>
      <c r="P331">
        <v>1</v>
      </c>
      <c r="Q331">
        <v>0</v>
      </c>
      <c r="R331">
        <v>0</v>
      </c>
      <c r="S331">
        <v>0</v>
      </c>
      <c r="T331">
        <v>4</v>
      </c>
      <c r="U331">
        <v>2</v>
      </c>
      <c r="V331">
        <v>4717</v>
      </c>
      <c r="W331" t="s">
        <v>6120</v>
      </c>
      <c r="X331" t="s">
        <v>6118</v>
      </c>
      <c r="Y331" t="s">
        <v>6120</v>
      </c>
      <c r="AA331" t="s">
        <v>4151</v>
      </c>
      <c r="AB331" t="s">
        <v>5805</v>
      </c>
      <c r="AC331" t="s">
        <v>5806</v>
      </c>
      <c r="AD331" t="s">
        <v>5807</v>
      </c>
      <c r="AE331" t="s">
        <v>5808</v>
      </c>
      <c r="AK331" t="s">
        <v>5733</v>
      </c>
    </row>
    <row r="332" spans="1:37" x14ac:dyDescent="0.3">
      <c r="A332" t="s">
        <v>6195</v>
      </c>
      <c r="B332">
        <v>55</v>
      </c>
      <c r="C332" t="s">
        <v>336</v>
      </c>
      <c r="D332" s="1032">
        <v>45360</v>
      </c>
      <c r="E332" t="s">
        <v>331</v>
      </c>
      <c r="F332" t="s">
        <v>16</v>
      </c>
      <c r="G332" t="s">
        <v>160</v>
      </c>
      <c r="H332" t="s">
        <v>793</v>
      </c>
      <c r="I332">
        <v>2</v>
      </c>
      <c r="J332">
        <v>1</v>
      </c>
      <c r="K332">
        <v>1</v>
      </c>
      <c r="L332">
        <v>1</v>
      </c>
      <c r="P332">
        <v>1</v>
      </c>
      <c r="Q332">
        <v>0</v>
      </c>
      <c r="R332">
        <v>0</v>
      </c>
      <c r="S332">
        <v>0</v>
      </c>
      <c r="T332">
        <v>6</v>
      </c>
      <c r="U332">
        <v>6</v>
      </c>
      <c r="V332">
        <v>6531</v>
      </c>
      <c r="W332" t="s">
        <v>6187</v>
      </c>
      <c r="X332" t="s">
        <v>6188</v>
      </c>
      <c r="Y332" t="s">
        <v>6188</v>
      </c>
      <c r="Z332" t="s">
        <v>756</v>
      </c>
      <c r="AA332" t="s">
        <v>3828</v>
      </c>
      <c r="AB332" t="s">
        <v>5809</v>
      </c>
      <c r="AC332" t="s">
        <v>5810</v>
      </c>
      <c r="AK332" t="s">
        <v>5882</v>
      </c>
    </row>
    <row r="333" spans="1:37" x14ac:dyDescent="0.3">
      <c r="A333" t="s">
        <v>6195</v>
      </c>
      <c r="B333">
        <v>56</v>
      </c>
      <c r="C333" t="s">
        <v>534</v>
      </c>
      <c r="D333" s="1032">
        <v>45368</v>
      </c>
      <c r="E333" t="s">
        <v>6179</v>
      </c>
      <c r="F333" t="s">
        <v>16</v>
      </c>
      <c r="G333" t="s">
        <v>355</v>
      </c>
      <c r="H333" t="s">
        <v>793</v>
      </c>
      <c r="I333">
        <v>2</v>
      </c>
      <c r="J333">
        <v>1</v>
      </c>
      <c r="K333">
        <v>1</v>
      </c>
      <c r="L333">
        <v>1</v>
      </c>
      <c r="P333">
        <v>0</v>
      </c>
      <c r="Q333">
        <v>0</v>
      </c>
      <c r="R333">
        <v>0</v>
      </c>
      <c r="S333">
        <v>0</v>
      </c>
      <c r="T333">
        <v>4</v>
      </c>
      <c r="U333">
        <v>3</v>
      </c>
      <c r="V333">
        <v>7700</v>
      </c>
      <c r="W333" t="s">
        <v>6120</v>
      </c>
      <c r="X333" t="s">
        <v>6188</v>
      </c>
      <c r="Y333" t="s">
        <v>6189</v>
      </c>
      <c r="Z333" t="s">
        <v>352</v>
      </c>
      <c r="AA333" t="s">
        <v>6230</v>
      </c>
      <c r="AB333" t="s">
        <v>5811</v>
      </c>
      <c r="AJ333" t="s">
        <v>5812</v>
      </c>
      <c r="AK333" t="s">
        <v>5883</v>
      </c>
    </row>
    <row r="334" spans="1:37" x14ac:dyDescent="0.3">
      <c r="A334" t="s">
        <v>6195</v>
      </c>
      <c r="B334">
        <v>57</v>
      </c>
      <c r="C334" t="s">
        <v>534</v>
      </c>
      <c r="D334" s="1032">
        <v>45369</v>
      </c>
      <c r="E334" t="s">
        <v>6179</v>
      </c>
      <c r="F334" t="s">
        <v>16</v>
      </c>
      <c r="G334" t="s">
        <v>6190</v>
      </c>
      <c r="H334" t="s">
        <v>16</v>
      </c>
      <c r="I334">
        <v>5</v>
      </c>
      <c r="J334">
        <v>1</v>
      </c>
      <c r="K334">
        <v>5</v>
      </c>
      <c r="L334">
        <v>1</v>
      </c>
      <c r="P334">
        <v>1</v>
      </c>
      <c r="Q334">
        <v>0</v>
      </c>
      <c r="R334">
        <v>0</v>
      </c>
      <c r="S334">
        <v>0</v>
      </c>
      <c r="T334">
        <v>4</v>
      </c>
      <c r="U334">
        <v>2</v>
      </c>
      <c r="V334">
        <v>7700</v>
      </c>
      <c r="W334" t="s">
        <v>6120</v>
      </c>
      <c r="X334" t="s">
        <v>6202</v>
      </c>
      <c r="Y334" t="s">
        <v>6189</v>
      </c>
      <c r="AA334" t="s">
        <v>4897</v>
      </c>
      <c r="AB334" t="s">
        <v>5813</v>
      </c>
      <c r="AC334" t="s">
        <v>5814</v>
      </c>
      <c r="AD334" t="s">
        <v>5815</v>
      </c>
      <c r="AE334" t="s">
        <v>5816</v>
      </c>
      <c r="AF334" t="s">
        <v>5817</v>
      </c>
      <c r="AK334" t="s">
        <v>5884</v>
      </c>
    </row>
    <row r="335" spans="1:37" x14ac:dyDescent="0.3">
      <c r="A335" t="s">
        <v>6195</v>
      </c>
      <c r="B335">
        <v>58</v>
      </c>
      <c r="C335" t="s">
        <v>534</v>
      </c>
      <c r="D335" s="1032">
        <v>45372</v>
      </c>
      <c r="E335" t="s">
        <v>6179</v>
      </c>
      <c r="F335" t="s">
        <v>17</v>
      </c>
      <c r="G335" t="s">
        <v>6211</v>
      </c>
      <c r="H335" t="s">
        <v>743</v>
      </c>
      <c r="I335">
        <v>3</v>
      </c>
      <c r="J335">
        <v>4</v>
      </c>
      <c r="K335">
        <v>3</v>
      </c>
      <c r="L335">
        <v>4</v>
      </c>
      <c r="P335">
        <v>1</v>
      </c>
      <c r="Q335">
        <v>0</v>
      </c>
      <c r="R335">
        <v>0</v>
      </c>
      <c r="S335">
        <v>1</v>
      </c>
      <c r="T335">
        <v>5</v>
      </c>
      <c r="U335">
        <v>2</v>
      </c>
      <c r="V335">
        <v>5944</v>
      </c>
      <c r="W335" t="s">
        <v>6188</v>
      </c>
      <c r="X335" t="s">
        <v>6194</v>
      </c>
      <c r="Y335" t="s">
        <v>6097</v>
      </c>
      <c r="AA335" t="s">
        <v>6231</v>
      </c>
      <c r="AB335" t="s">
        <v>5818</v>
      </c>
      <c r="AC335" t="s">
        <v>5819</v>
      </c>
      <c r="AD335" t="s">
        <v>5820</v>
      </c>
      <c r="AK335" t="s">
        <v>5885</v>
      </c>
    </row>
    <row r="336" spans="1:37" x14ac:dyDescent="0.3">
      <c r="A336" t="s">
        <v>6195</v>
      </c>
      <c r="B336">
        <v>59</v>
      </c>
      <c r="C336" t="s">
        <v>534</v>
      </c>
      <c r="D336" s="1032">
        <v>45373</v>
      </c>
      <c r="E336" t="s">
        <v>6179</v>
      </c>
      <c r="F336" t="s">
        <v>17</v>
      </c>
      <c r="G336" t="s">
        <v>6084</v>
      </c>
      <c r="H336" t="s">
        <v>743</v>
      </c>
      <c r="I336">
        <v>1</v>
      </c>
      <c r="J336">
        <v>5</v>
      </c>
      <c r="K336">
        <v>1</v>
      </c>
      <c r="L336">
        <v>5</v>
      </c>
      <c r="P336">
        <v>1</v>
      </c>
      <c r="Q336">
        <v>0</v>
      </c>
      <c r="R336">
        <v>1</v>
      </c>
      <c r="S336">
        <v>1</v>
      </c>
      <c r="T336">
        <v>4</v>
      </c>
      <c r="U336">
        <v>2</v>
      </c>
      <c r="V336">
        <v>5944</v>
      </c>
      <c r="W336" t="s">
        <v>6171</v>
      </c>
      <c r="X336" t="s">
        <v>6171</v>
      </c>
      <c r="Y336" t="s">
        <v>6187</v>
      </c>
      <c r="AA336" t="s">
        <v>3242</v>
      </c>
      <c r="AB336" t="s">
        <v>5821</v>
      </c>
      <c r="AK336" t="s">
        <v>5886</v>
      </c>
    </row>
    <row r="337" spans="1:37" x14ac:dyDescent="0.3">
      <c r="A337" t="s">
        <v>6195</v>
      </c>
      <c r="B337">
        <v>60</v>
      </c>
      <c r="C337" t="s">
        <v>534</v>
      </c>
      <c r="D337" s="1032">
        <v>45375</v>
      </c>
      <c r="E337" t="s">
        <v>6179</v>
      </c>
      <c r="F337" t="s">
        <v>16</v>
      </c>
      <c r="G337" t="s">
        <v>160</v>
      </c>
      <c r="H337" t="s">
        <v>793</v>
      </c>
      <c r="I337">
        <v>2</v>
      </c>
      <c r="J337">
        <v>1</v>
      </c>
      <c r="K337">
        <v>1</v>
      </c>
      <c r="L337">
        <v>1</v>
      </c>
      <c r="P337">
        <v>1</v>
      </c>
      <c r="Q337">
        <v>0</v>
      </c>
      <c r="R337">
        <v>0</v>
      </c>
      <c r="S337">
        <v>0</v>
      </c>
      <c r="T337">
        <v>2</v>
      </c>
      <c r="U337">
        <v>2</v>
      </c>
      <c r="V337">
        <v>7700</v>
      </c>
      <c r="W337" t="s">
        <v>6189</v>
      </c>
      <c r="X337" t="s">
        <v>6188</v>
      </c>
      <c r="Y337" t="s">
        <v>6120</v>
      </c>
      <c r="Z337" t="s">
        <v>756</v>
      </c>
      <c r="AA337" t="s">
        <v>3828</v>
      </c>
      <c r="AB337" t="s">
        <v>5822</v>
      </c>
      <c r="AC337" t="s">
        <v>5823</v>
      </c>
      <c r="AK337" t="s">
        <v>5887</v>
      </c>
    </row>
    <row r="338" spans="1:37" x14ac:dyDescent="0.3">
      <c r="A338" t="s">
        <v>6195</v>
      </c>
      <c r="B338">
        <v>61</v>
      </c>
      <c r="C338" t="s">
        <v>534</v>
      </c>
      <c r="D338" s="1032">
        <v>45377</v>
      </c>
      <c r="E338" t="s">
        <v>6179</v>
      </c>
      <c r="F338" t="s">
        <v>17</v>
      </c>
      <c r="G338" t="s">
        <v>6148</v>
      </c>
      <c r="H338" t="s">
        <v>16</v>
      </c>
      <c r="I338">
        <v>4</v>
      </c>
      <c r="J338">
        <v>1</v>
      </c>
      <c r="K338">
        <v>4</v>
      </c>
      <c r="L338">
        <v>1</v>
      </c>
      <c r="P338">
        <v>1</v>
      </c>
      <c r="Q338">
        <v>0</v>
      </c>
      <c r="R338">
        <v>0</v>
      </c>
      <c r="S338">
        <v>0</v>
      </c>
      <c r="T338">
        <v>5</v>
      </c>
      <c r="U338">
        <v>4</v>
      </c>
      <c r="V338">
        <v>5944</v>
      </c>
      <c r="W338" t="s">
        <v>6089</v>
      </c>
      <c r="X338" t="s">
        <v>6118</v>
      </c>
      <c r="Y338" t="s">
        <v>6188</v>
      </c>
      <c r="AA338" t="s">
        <v>4732</v>
      </c>
      <c r="AB338" t="s">
        <v>5824</v>
      </c>
      <c r="AC338" t="s">
        <v>5825</v>
      </c>
      <c r="AD338" t="s">
        <v>5826</v>
      </c>
      <c r="AE338" t="s">
        <v>5827</v>
      </c>
      <c r="AK338" t="s">
        <v>5888</v>
      </c>
    </row>
    <row r="339" spans="1:37" x14ac:dyDescent="0.3">
      <c r="A339" t="s">
        <v>6195</v>
      </c>
      <c r="B339">
        <v>62</v>
      </c>
      <c r="C339" t="s">
        <v>6316</v>
      </c>
      <c r="D339" s="1032">
        <v>45382</v>
      </c>
      <c r="E339" t="s">
        <v>327</v>
      </c>
      <c r="F339" t="s">
        <v>16</v>
      </c>
      <c r="G339" t="s">
        <v>6097</v>
      </c>
      <c r="H339" t="s">
        <v>743</v>
      </c>
      <c r="I339">
        <v>1</v>
      </c>
      <c r="J339">
        <v>2</v>
      </c>
      <c r="K339">
        <v>1</v>
      </c>
      <c r="L339">
        <v>2</v>
      </c>
      <c r="P339">
        <v>0</v>
      </c>
      <c r="Q339">
        <v>0</v>
      </c>
      <c r="R339">
        <v>0</v>
      </c>
      <c r="S339">
        <v>0</v>
      </c>
      <c r="T339">
        <v>0</v>
      </c>
      <c r="U339">
        <v>2</v>
      </c>
      <c r="V339">
        <v>10050</v>
      </c>
      <c r="W339" t="s">
        <v>6187</v>
      </c>
      <c r="X339" t="s">
        <v>6188</v>
      </c>
      <c r="Y339" t="s">
        <v>6189</v>
      </c>
      <c r="AA339" t="s">
        <v>3819</v>
      </c>
      <c r="AB339" t="s">
        <v>5833</v>
      </c>
      <c r="AK339" t="s">
        <v>5889</v>
      </c>
    </row>
    <row r="340" spans="1:37" x14ac:dyDescent="0.3">
      <c r="A340" t="s">
        <v>6195</v>
      </c>
      <c r="B340">
        <v>63</v>
      </c>
      <c r="C340" t="s">
        <v>6316</v>
      </c>
      <c r="D340" s="1032">
        <v>45383</v>
      </c>
      <c r="E340" t="s">
        <v>327</v>
      </c>
      <c r="F340" t="s">
        <v>16</v>
      </c>
      <c r="G340" t="s">
        <v>6079</v>
      </c>
      <c r="H340" t="s">
        <v>743</v>
      </c>
      <c r="I340">
        <v>0</v>
      </c>
      <c r="J340">
        <v>3</v>
      </c>
      <c r="K340">
        <v>0</v>
      </c>
      <c r="L340">
        <v>1</v>
      </c>
      <c r="P340">
        <v>0</v>
      </c>
      <c r="Q340">
        <v>0</v>
      </c>
      <c r="R340">
        <v>0</v>
      </c>
      <c r="S340">
        <v>0</v>
      </c>
      <c r="T340">
        <v>2</v>
      </c>
      <c r="U340">
        <v>3</v>
      </c>
      <c r="V340">
        <v>10035</v>
      </c>
      <c r="W340" t="s">
        <v>6189</v>
      </c>
      <c r="X340" t="s">
        <v>6188</v>
      </c>
      <c r="Y340" t="s">
        <v>6171</v>
      </c>
      <c r="AA340" t="s">
        <v>6079</v>
      </c>
      <c r="AB340" t="s">
        <v>515</v>
      </c>
      <c r="AK340" t="s">
        <v>5890</v>
      </c>
    </row>
    <row r="341" spans="1:37" x14ac:dyDescent="0.3">
      <c r="A341" t="s">
        <v>6195</v>
      </c>
      <c r="B341">
        <v>64</v>
      </c>
      <c r="C341" t="s">
        <v>6316</v>
      </c>
      <c r="D341" s="1032">
        <v>45386</v>
      </c>
      <c r="E341" t="s">
        <v>327</v>
      </c>
      <c r="F341" t="s">
        <v>17</v>
      </c>
      <c r="G341" t="s">
        <v>6146</v>
      </c>
      <c r="H341" t="s">
        <v>743</v>
      </c>
      <c r="I341">
        <v>2</v>
      </c>
      <c r="J341">
        <v>3</v>
      </c>
      <c r="K341">
        <v>2</v>
      </c>
      <c r="L341">
        <v>3</v>
      </c>
      <c r="P341">
        <v>0</v>
      </c>
      <c r="Q341">
        <v>0</v>
      </c>
      <c r="R341">
        <v>0</v>
      </c>
      <c r="S341">
        <v>1</v>
      </c>
      <c r="T341">
        <v>0</v>
      </c>
      <c r="U341">
        <v>2</v>
      </c>
      <c r="V341">
        <v>5944</v>
      </c>
      <c r="W341" t="s">
        <v>6171</v>
      </c>
      <c r="X341" t="s">
        <v>6188</v>
      </c>
      <c r="Y341" t="s">
        <v>6118</v>
      </c>
      <c r="AA341" t="s">
        <v>3061</v>
      </c>
      <c r="AB341" t="s">
        <v>5834</v>
      </c>
      <c r="AC341" t="s">
        <v>5835</v>
      </c>
      <c r="AK341" t="s">
        <v>5891</v>
      </c>
    </row>
    <row r="342" spans="1:37" x14ac:dyDescent="0.3">
      <c r="A342" t="s">
        <v>6195</v>
      </c>
      <c r="B342">
        <v>65</v>
      </c>
      <c r="C342" t="s">
        <v>6316</v>
      </c>
      <c r="D342" s="1032">
        <v>45387</v>
      </c>
      <c r="E342" t="s">
        <v>327</v>
      </c>
      <c r="F342" t="s">
        <v>17</v>
      </c>
      <c r="G342" t="s">
        <v>6223</v>
      </c>
      <c r="H342" t="s">
        <v>743</v>
      </c>
      <c r="I342">
        <v>5</v>
      </c>
      <c r="J342">
        <v>6</v>
      </c>
      <c r="K342">
        <v>5</v>
      </c>
      <c r="L342">
        <v>6</v>
      </c>
      <c r="P342">
        <v>2</v>
      </c>
      <c r="Q342">
        <v>0</v>
      </c>
      <c r="R342">
        <v>0</v>
      </c>
      <c r="S342">
        <v>0</v>
      </c>
      <c r="T342">
        <v>4</v>
      </c>
      <c r="U342">
        <v>1</v>
      </c>
      <c r="V342">
        <v>5944</v>
      </c>
      <c r="W342" t="s">
        <v>6100</v>
      </c>
      <c r="X342" t="s">
        <v>6077</v>
      </c>
      <c r="Y342" t="s">
        <v>6118</v>
      </c>
      <c r="AA342" t="s">
        <v>6232</v>
      </c>
      <c r="AB342" t="s">
        <v>5828</v>
      </c>
      <c r="AC342" t="s">
        <v>5829</v>
      </c>
      <c r="AD342" t="s">
        <v>5830</v>
      </c>
      <c r="AE342" t="s">
        <v>5831</v>
      </c>
      <c r="AF342" t="s">
        <v>5832</v>
      </c>
      <c r="AK342" t="s">
        <v>5892</v>
      </c>
    </row>
    <row r="343" spans="1:37" x14ac:dyDescent="0.3">
      <c r="A343" t="s">
        <v>6176</v>
      </c>
      <c r="B343">
        <v>1</v>
      </c>
      <c r="C343" t="s">
        <v>6284</v>
      </c>
      <c r="D343" s="1032">
        <v>45553</v>
      </c>
      <c r="E343" t="s">
        <v>1274</v>
      </c>
      <c r="F343" t="s">
        <v>17</v>
      </c>
      <c r="G343" t="s">
        <v>6073</v>
      </c>
      <c r="H343" t="s">
        <v>16</v>
      </c>
      <c r="I343">
        <v>4</v>
      </c>
      <c r="J343">
        <v>2</v>
      </c>
      <c r="K343">
        <v>4</v>
      </c>
      <c r="L343">
        <v>2</v>
      </c>
      <c r="M343">
        <v>4</v>
      </c>
      <c r="N343">
        <v>0</v>
      </c>
      <c r="O343">
        <v>3</v>
      </c>
      <c r="P343">
        <v>1</v>
      </c>
      <c r="Q343">
        <v>1</v>
      </c>
      <c r="R343">
        <v>0</v>
      </c>
      <c r="S343">
        <v>1</v>
      </c>
      <c r="T343">
        <v>6</v>
      </c>
      <c r="U343">
        <v>3</v>
      </c>
      <c r="V343">
        <v>4562</v>
      </c>
      <c r="W343" t="s">
        <v>6187</v>
      </c>
      <c r="X343" t="s">
        <v>6120</v>
      </c>
      <c r="Y343" t="s">
        <v>6118</v>
      </c>
      <c r="AA343" t="s">
        <v>5837</v>
      </c>
      <c r="AB343" t="s">
        <v>5841</v>
      </c>
      <c r="AC343" t="s">
        <v>5854</v>
      </c>
      <c r="AD343" t="s">
        <v>5842</v>
      </c>
      <c r="AE343" t="s">
        <v>5920</v>
      </c>
      <c r="AK343" t="s">
        <v>5839</v>
      </c>
    </row>
    <row r="344" spans="1:37" x14ac:dyDescent="0.3">
      <c r="A344" t="s">
        <v>6176</v>
      </c>
      <c r="B344">
        <v>2</v>
      </c>
      <c r="C344" t="s">
        <v>6233</v>
      </c>
      <c r="D344" s="1032">
        <v>45555</v>
      </c>
      <c r="E344" t="s">
        <v>331</v>
      </c>
      <c r="F344" t="s">
        <v>16</v>
      </c>
      <c r="G344" t="s">
        <v>6100</v>
      </c>
      <c r="H344" t="s">
        <v>16</v>
      </c>
      <c r="I344">
        <v>3</v>
      </c>
      <c r="J344">
        <v>1</v>
      </c>
      <c r="K344">
        <v>3</v>
      </c>
      <c r="L344">
        <v>1</v>
      </c>
      <c r="M344">
        <v>2</v>
      </c>
      <c r="N344">
        <v>3</v>
      </c>
      <c r="O344">
        <v>6</v>
      </c>
      <c r="P344">
        <v>0</v>
      </c>
      <c r="Q344">
        <v>0</v>
      </c>
      <c r="R344">
        <v>0</v>
      </c>
      <c r="S344">
        <v>1</v>
      </c>
      <c r="T344">
        <v>2</v>
      </c>
      <c r="U344">
        <v>6</v>
      </c>
      <c r="V344">
        <v>5457</v>
      </c>
      <c r="W344" t="s">
        <v>6100</v>
      </c>
      <c r="X344" t="s">
        <v>6188</v>
      </c>
      <c r="Y344" t="s">
        <v>6188</v>
      </c>
      <c r="AA344" t="s">
        <v>5838</v>
      </c>
      <c r="AB344" t="s">
        <v>5843</v>
      </c>
      <c r="AC344" t="s">
        <v>5844</v>
      </c>
      <c r="AD344" t="s">
        <v>5845</v>
      </c>
      <c r="AK344" t="s">
        <v>5840</v>
      </c>
    </row>
    <row r="345" spans="1:37" x14ac:dyDescent="0.3">
      <c r="A345" t="s">
        <v>6176</v>
      </c>
      <c r="B345">
        <v>3</v>
      </c>
      <c r="C345" t="s">
        <v>6234</v>
      </c>
      <c r="D345" s="1032">
        <v>45557</v>
      </c>
      <c r="E345" t="s">
        <v>332</v>
      </c>
      <c r="F345" t="s">
        <v>17</v>
      </c>
      <c r="G345" t="s">
        <v>6113</v>
      </c>
      <c r="H345" t="s">
        <v>16</v>
      </c>
      <c r="I345">
        <v>3</v>
      </c>
      <c r="J345">
        <v>2</v>
      </c>
      <c r="K345">
        <v>3</v>
      </c>
      <c r="L345">
        <v>2</v>
      </c>
      <c r="M345">
        <v>1</v>
      </c>
      <c r="N345">
        <v>3</v>
      </c>
      <c r="O345">
        <v>9</v>
      </c>
      <c r="P345">
        <v>2</v>
      </c>
      <c r="Q345">
        <v>0</v>
      </c>
      <c r="R345">
        <v>0</v>
      </c>
      <c r="S345">
        <v>1</v>
      </c>
      <c r="T345">
        <v>3</v>
      </c>
      <c r="U345">
        <v>4</v>
      </c>
      <c r="V345">
        <v>5577</v>
      </c>
      <c r="W345" t="s">
        <v>6120</v>
      </c>
      <c r="X345" t="s">
        <v>6171</v>
      </c>
      <c r="Y345" t="s">
        <v>6089</v>
      </c>
      <c r="AA345" t="s">
        <v>3846</v>
      </c>
      <c r="AB345" t="s">
        <v>5855</v>
      </c>
      <c r="AC345" t="s">
        <v>5856</v>
      </c>
      <c r="AD345" t="s">
        <v>5857</v>
      </c>
      <c r="AK345" t="s">
        <v>5846</v>
      </c>
    </row>
    <row r="346" spans="1:37" x14ac:dyDescent="0.3">
      <c r="A346" t="s">
        <v>6176</v>
      </c>
      <c r="B346">
        <v>4</v>
      </c>
      <c r="C346" t="s">
        <v>6283</v>
      </c>
      <c r="D346" s="1032">
        <v>45559</v>
      </c>
      <c r="E346" t="s">
        <v>610</v>
      </c>
      <c r="F346" t="s">
        <v>16</v>
      </c>
      <c r="G346" t="s">
        <v>6073</v>
      </c>
      <c r="H346" t="s">
        <v>16</v>
      </c>
      <c r="I346">
        <v>4</v>
      </c>
      <c r="J346">
        <v>2</v>
      </c>
      <c r="K346">
        <v>4</v>
      </c>
      <c r="L346">
        <v>2</v>
      </c>
      <c r="M346">
        <v>1</v>
      </c>
      <c r="N346">
        <v>6</v>
      </c>
      <c r="O346">
        <v>12</v>
      </c>
      <c r="P346">
        <v>1</v>
      </c>
      <c r="Q346">
        <v>0</v>
      </c>
      <c r="R346">
        <v>0</v>
      </c>
      <c r="S346">
        <v>2</v>
      </c>
      <c r="T346">
        <v>6</v>
      </c>
      <c r="U346">
        <v>4</v>
      </c>
      <c r="V346">
        <v>4036</v>
      </c>
      <c r="W346" t="s">
        <v>6194</v>
      </c>
      <c r="X346" t="s">
        <v>6089</v>
      </c>
      <c r="Y346" t="s">
        <v>6188</v>
      </c>
      <c r="AA346" t="s">
        <v>5847</v>
      </c>
      <c r="AB346" t="s">
        <v>5858</v>
      </c>
      <c r="AC346" t="s">
        <v>5859</v>
      </c>
      <c r="AD346" t="s">
        <v>5860</v>
      </c>
      <c r="AE346" t="s">
        <v>5861</v>
      </c>
      <c r="AK346" t="s">
        <v>5849</v>
      </c>
    </row>
    <row r="347" spans="1:37" x14ac:dyDescent="0.3">
      <c r="A347" t="s">
        <v>6176</v>
      </c>
      <c r="B347">
        <v>5</v>
      </c>
      <c r="C347" t="s">
        <v>6235</v>
      </c>
      <c r="D347" s="1032">
        <v>45562</v>
      </c>
      <c r="E347" t="s">
        <v>6076</v>
      </c>
      <c r="F347" t="s">
        <v>17</v>
      </c>
      <c r="G347" t="s">
        <v>6133</v>
      </c>
      <c r="H347" t="s">
        <v>16</v>
      </c>
      <c r="I347">
        <v>5</v>
      </c>
      <c r="J347">
        <v>2</v>
      </c>
      <c r="K347">
        <v>5</v>
      </c>
      <c r="L347">
        <v>2</v>
      </c>
      <c r="M347">
        <v>1</v>
      </c>
      <c r="N347">
        <v>6</v>
      </c>
      <c r="O347">
        <v>15</v>
      </c>
      <c r="P347">
        <v>0</v>
      </c>
      <c r="Q347">
        <v>0</v>
      </c>
      <c r="R347">
        <v>0</v>
      </c>
      <c r="S347">
        <v>0</v>
      </c>
      <c r="T347">
        <v>2</v>
      </c>
      <c r="U347">
        <v>4</v>
      </c>
      <c r="V347">
        <v>5110</v>
      </c>
      <c r="W347" t="s">
        <v>6148</v>
      </c>
      <c r="X347" t="s">
        <v>6187</v>
      </c>
      <c r="Y347" t="s">
        <v>6188</v>
      </c>
      <c r="AA347" t="s">
        <v>5850</v>
      </c>
      <c r="AB347" t="s">
        <v>5862</v>
      </c>
      <c r="AC347" t="s">
        <v>5863</v>
      </c>
      <c r="AD347" t="s">
        <v>5864</v>
      </c>
      <c r="AE347" t="s">
        <v>5865</v>
      </c>
      <c r="AF347" t="s">
        <v>5866</v>
      </c>
      <c r="AK347" t="s">
        <v>5848</v>
      </c>
    </row>
    <row r="348" spans="1:37" x14ac:dyDescent="0.3">
      <c r="A348" t="s">
        <v>6176</v>
      </c>
      <c r="B348">
        <v>6</v>
      </c>
      <c r="C348" t="s">
        <v>6246</v>
      </c>
      <c r="D348" s="1032">
        <v>45564</v>
      </c>
      <c r="E348" t="s">
        <v>626</v>
      </c>
      <c r="F348" t="s">
        <v>16</v>
      </c>
      <c r="G348" t="s">
        <v>6118</v>
      </c>
      <c r="H348" t="s">
        <v>16</v>
      </c>
      <c r="I348">
        <v>2</v>
      </c>
      <c r="J348">
        <v>1</v>
      </c>
      <c r="K348">
        <v>2</v>
      </c>
      <c r="L348">
        <v>1</v>
      </c>
      <c r="M348">
        <v>1</v>
      </c>
      <c r="N348">
        <v>9</v>
      </c>
      <c r="O348">
        <v>18</v>
      </c>
      <c r="P348">
        <v>0</v>
      </c>
      <c r="Q348">
        <v>0</v>
      </c>
      <c r="R348">
        <v>0</v>
      </c>
      <c r="S348">
        <v>0</v>
      </c>
      <c r="T348">
        <v>3</v>
      </c>
      <c r="U348">
        <v>4</v>
      </c>
      <c r="V348">
        <v>4518</v>
      </c>
      <c r="W348" t="s">
        <v>6120</v>
      </c>
      <c r="X348" t="s">
        <v>6189</v>
      </c>
      <c r="Y348" t="s">
        <v>6120</v>
      </c>
      <c r="AA348" t="s">
        <v>3356</v>
      </c>
      <c r="AB348" t="s">
        <v>5893</v>
      </c>
      <c r="AC348" t="s">
        <v>5894</v>
      </c>
      <c r="AJ348" t="s">
        <v>5852</v>
      </c>
      <c r="AK348" t="s">
        <v>5851</v>
      </c>
    </row>
    <row r="349" spans="1:37" x14ac:dyDescent="0.3">
      <c r="A349" t="s">
        <v>6176</v>
      </c>
      <c r="B349">
        <v>7</v>
      </c>
      <c r="C349" t="s">
        <v>6236</v>
      </c>
      <c r="D349" s="1032">
        <v>45566</v>
      </c>
      <c r="E349" t="s">
        <v>6091</v>
      </c>
      <c r="F349" t="s">
        <v>17</v>
      </c>
      <c r="G349" t="s">
        <v>6190</v>
      </c>
      <c r="H349" t="s">
        <v>16</v>
      </c>
      <c r="I349">
        <v>5</v>
      </c>
      <c r="J349">
        <v>1</v>
      </c>
      <c r="K349">
        <v>3</v>
      </c>
      <c r="L349">
        <v>1</v>
      </c>
      <c r="M349">
        <v>1</v>
      </c>
      <c r="N349">
        <v>9</v>
      </c>
      <c r="O349">
        <v>21</v>
      </c>
      <c r="P349">
        <v>2</v>
      </c>
      <c r="Q349">
        <v>0</v>
      </c>
      <c r="R349">
        <v>0</v>
      </c>
      <c r="S349">
        <v>0</v>
      </c>
      <c r="T349">
        <v>6</v>
      </c>
      <c r="U349">
        <v>6</v>
      </c>
      <c r="V349">
        <v>4250</v>
      </c>
      <c r="W349" t="s">
        <v>6120</v>
      </c>
      <c r="X349" t="s">
        <v>6118</v>
      </c>
      <c r="Y349" t="s">
        <v>6089</v>
      </c>
      <c r="AA349" t="s">
        <v>5240</v>
      </c>
      <c r="AB349" t="s">
        <v>5895</v>
      </c>
      <c r="AC349" t="s">
        <v>5896</v>
      </c>
      <c r="AD349" t="s">
        <v>5897</v>
      </c>
      <c r="AE349" t="s">
        <v>5918</v>
      </c>
      <c r="AF349" t="s">
        <v>5919</v>
      </c>
      <c r="AK349" t="s">
        <v>5853</v>
      </c>
    </row>
    <row r="350" spans="1:37" x14ac:dyDescent="0.3">
      <c r="A350" t="s">
        <v>6176</v>
      </c>
      <c r="B350">
        <v>8</v>
      </c>
      <c r="C350" t="s">
        <v>6237</v>
      </c>
      <c r="D350" s="1032">
        <v>45569</v>
      </c>
      <c r="E350" t="s">
        <v>327</v>
      </c>
      <c r="F350" t="s">
        <v>16</v>
      </c>
      <c r="G350" t="s">
        <v>6102</v>
      </c>
      <c r="H350" t="s">
        <v>743</v>
      </c>
      <c r="I350">
        <v>1</v>
      </c>
      <c r="J350">
        <v>3</v>
      </c>
      <c r="K350">
        <v>1</v>
      </c>
      <c r="L350">
        <v>2</v>
      </c>
      <c r="M350">
        <v>1</v>
      </c>
      <c r="N350">
        <v>9</v>
      </c>
      <c r="O350">
        <v>21</v>
      </c>
      <c r="P350">
        <v>0</v>
      </c>
      <c r="Q350">
        <v>0</v>
      </c>
      <c r="R350">
        <v>0</v>
      </c>
      <c r="S350">
        <v>0</v>
      </c>
      <c r="T350">
        <v>2</v>
      </c>
      <c r="U350">
        <v>4</v>
      </c>
      <c r="V350">
        <v>9892</v>
      </c>
      <c r="W350" t="s">
        <v>6188</v>
      </c>
      <c r="X350" t="s">
        <v>6187</v>
      </c>
      <c r="Y350" t="s">
        <v>6171</v>
      </c>
      <c r="AA350" t="s">
        <v>3601</v>
      </c>
      <c r="AB350" t="s">
        <v>5898</v>
      </c>
      <c r="AK350" t="s">
        <v>5868</v>
      </c>
    </row>
    <row r="351" spans="1:37" x14ac:dyDescent="0.3">
      <c r="A351" t="s">
        <v>6176</v>
      </c>
      <c r="B351">
        <v>9</v>
      </c>
      <c r="C351" t="s">
        <v>6238</v>
      </c>
      <c r="D351" s="1032">
        <v>45571</v>
      </c>
      <c r="E351" t="s">
        <v>6086</v>
      </c>
      <c r="F351" t="s">
        <v>16</v>
      </c>
      <c r="G351" t="s">
        <v>171</v>
      </c>
      <c r="H351" t="s">
        <v>794</v>
      </c>
      <c r="I351">
        <v>2</v>
      </c>
      <c r="J351">
        <v>3</v>
      </c>
      <c r="K351">
        <v>2</v>
      </c>
      <c r="L351">
        <v>2</v>
      </c>
      <c r="M351">
        <v>1</v>
      </c>
      <c r="N351">
        <v>10</v>
      </c>
      <c r="O351">
        <v>22</v>
      </c>
      <c r="P351">
        <v>0</v>
      </c>
      <c r="Q351">
        <v>0</v>
      </c>
      <c r="R351">
        <v>0</v>
      </c>
      <c r="S351">
        <v>1</v>
      </c>
      <c r="T351">
        <v>2</v>
      </c>
      <c r="U351">
        <v>4</v>
      </c>
      <c r="V351">
        <v>3401</v>
      </c>
      <c r="W351" t="s">
        <v>6187</v>
      </c>
      <c r="X351" t="s">
        <v>6120</v>
      </c>
      <c r="Y351" t="s">
        <v>6189</v>
      </c>
      <c r="Z351" t="s">
        <v>3213</v>
      </c>
      <c r="AA351" t="s">
        <v>5867</v>
      </c>
      <c r="AB351" t="s">
        <v>5907</v>
      </c>
      <c r="AC351" t="s">
        <v>5908</v>
      </c>
      <c r="AK351" t="s">
        <v>5869</v>
      </c>
    </row>
    <row r="352" spans="1:37" x14ac:dyDescent="0.3">
      <c r="A352" t="s">
        <v>6176</v>
      </c>
      <c r="B352">
        <v>10</v>
      </c>
      <c r="C352" t="s">
        <v>6239</v>
      </c>
      <c r="D352" s="1032">
        <v>45576</v>
      </c>
      <c r="E352" t="s">
        <v>325</v>
      </c>
      <c r="F352" t="s">
        <v>17</v>
      </c>
      <c r="G352" t="s">
        <v>6082</v>
      </c>
      <c r="H352" t="s">
        <v>743</v>
      </c>
      <c r="I352">
        <v>2</v>
      </c>
      <c r="J352">
        <v>4</v>
      </c>
      <c r="K352">
        <v>2</v>
      </c>
      <c r="L352">
        <v>3</v>
      </c>
      <c r="M352">
        <v>1</v>
      </c>
      <c r="N352">
        <v>7</v>
      </c>
      <c r="O352">
        <v>22</v>
      </c>
      <c r="P352">
        <v>1</v>
      </c>
      <c r="Q352">
        <v>0</v>
      </c>
      <c r="R352">
        <v>1</v>
      </c>
      <c r="S352">
        <v>0</v>
      </c>
      <c r="T352">
        <v>4</v>
      </c>
      <c r="U352">
        <v>3</v>
      </c>
      <c r="V352">
        <v>5944</v>
      </c>
      <c r="W352" t="s">
        <v>6188</v>
      </c>
      <c r="X352" t="s">
        <v>6102</v>
      </c>
      <c r="Y352" t="s">
        <v>6187</v>
      </c>
      <c r="AA352" t="s">
        <v>3848</v>
      </c>
      <c r="AB352" t="s">
        <v>5909</v>
      </c>
      <c r="AC352" t="s">
        <v>5910</v>
      </c>
      <c r="AK352" t="s">
        <v>5899</v>
      </c>
    </row>
    <row r="353" spans="1:37" x14ac:dyDescent="0.3">
      <c r="A353" t="s">
        <v>6176</v>
      </c>
      <c r="B353">
        <v>11</v>
      </c>
      <c r="C353" t="s">
        <v>6240</v>
      </c>
      <c r="D353" s="1032">
        <v>45578</v>
      </c>
      <c r="E353" t="s">
        <v>328</v>
      </c>
      <c r="F353" t="s">
        <v>17</v>
      </c>
      <c r="G353" t="s">
        <v>6128</v>
      </c>
      <c r="H353" t="s">
        <v>743</v>
      </c>
      <c r="I353">
        <v>1</v>
      </c>
      <c r="J353">
        <v>4</v>
      </c>
      <c r="K353">
        <v>1</v>
      </c>
      <c r="L353">
        <v>4</v>
      </c>
      <c r="M353">
        <v>2</v>
      </c>
      <c r="N353">
        <v>4</v>
      </c>
      <c r="O353">
        <v>22</v>
      </c>
      <c r="P353">
        <v>1</v>
      </c>
      <c r="Q353">
        <v>0</v>
      </c>
      <c r="R353">
        <v>0</v>
      </c>
      <c r="S353">
        <v>0</v>
      </c>
      <c r="T353">
        <v>5</v>
      </c>
      <c r="U353">
        <v>3</v>
      </c>
      <c r="V353">
        <v>4111</v>
      </c>
      <c r="W353" t="s">
        <v>6120</v>
      </c>
      <c r="X353" t="s">
        <v>6079</v>
      </c>
      <c r="Y353" t="s">
        <v>6189</v>
      </c>
      <c r="AA353" t="s">
        <v>4516</v>
      </c>
      <c r="AB353" t="s">
        <v>5911</v>
      </c>
      <c r="AK353" t="s">
        <v>5899</v>
      </c>
    </row>
    <row r="354" spans="1:37" x14ac:dyDescent="0.3">
      <c r="A354" t="s">
        <v>6176</v>
      </c>
      <c r="B354">
        <v>12</v>
      </c>
      <c r="C354" t="s">
        <v>6241</v>
      </c>
      <c r="D354" s="1032">
        <v>45583</v>
      </c>
      <c r="E354" t="s">
        <v>6179</v>
      </c>
      <c r="F354" t="s">
        <v>17</v>
      </c>
      <c r="G354" t="s">
        <v>6133</v>
      </c>
      <c r="H354" t="s">
        <v>16</v>
      </c>
      <c r="I354">
        <v>5</v>
      </c>
      <c r="J354">
        <v>2</v>
      </c>
      <c r="K354">
        <v>4</v>
      </c>
      <c r="L354">
        <v>2</v>
      </c>
      <c r="M354">
        <v>1</v>
      </c>
      <c r="N354">
        <v>4</v>
      </c>
      <c r="O354">
        <v>25</v>
      </c>
      <c r="P354">
        <v>2</v>
      </c>
      <c r="Q354">
        <v>0</v>
      </c>
      <c r="R354">
        <v>0</v>
      </c>
      <c r="S354">
        <v>0</v>
      </c>
      <c r="T354">
        <v>6</v>
      </c>
      <c r="U354">
        <v>5</v>
      </c>
      <c r="V354">
        <v>4775</v>
      </c>
      <c r="W354" t="s">
        <v>6187</v>
      </c>
      <c r="X354" t="s">
        <v>6187</v>
      </c>
      <c r="Y354" t="s">
        <v>6110</v>
      </c>
      <c r="AA354" t="s">
        <v>4935</v>
      </c>
      <c r="AB354" t="s">
        <v>5914</v>
      </c>
      <c r="AC354" t="s">
        <v>5915</v>
      </c>
      <c r="AD354" t="s">
        <v>5916</v>
      </c>
      <c r="AE354" t="s">
        <v>5917</v>
      </c>
      <c r="AF354" t="s">
        <v>5921</v>
      </c>
      <c r="AK354" t="s">
        <v>5900</v>
      </c>
    </row>
    <row r="355" spans="1:37" x14ac:dyDescent="0.3">
      <c r="A355" t="s">
        <v>6176</v>
      </c>
      <c r="B355">
        <v>13</v>
      </c>
      <c r="C355" t="s">
        <v>6242</v>
      </c>
      <c r="D355" s="1032">
        <v>45585</v>
      </c>
      <c r="E355" t="s">
        <v>334</v>
      </c>
      <c r="F355" t="s">
        <v>16</v>
      </c>
      <c r="G355" t="s">
        <v>171</v>
      </c>
      <c r="H355" t="s">
        <v>794</v>
      </c>
      <c r="I355">
        <v>2</v>
      </c>
      <c r="J355">
        <v>3</v>
      </c>
      <c r="K355">
        <v>2</v>
      </c>
      <c r="L355">
        <v>2</v>
      </c>
      <c r="M355">
        <v>1</v>
      </c>
      <c r="N355">
        <v>5</v>
      </c>
      <c r="O355">
        <v>26</v>
      </c>
      <c r="P355">
        <v>0</v>
      </c>
      <c r="Q355">
        <v>0</v>
      </c>
      <c r="R355">
        <v>0</v>
      </c>
      <c r="S355">
        <v>0</v>
      </c>
      <c r="T355">
        <v>1</v>
      </c>
      <c r="U355">
        <v>1</v>
      </c>
      <c r="V355">
        <v>4740</v>
      </c>
      <c r="W355" t="s">
        <v>6118</v>
      </c>
      <c r="X355" t="s">
        <v>6189</v>
      </c>
      <c r="Y355" t="s">
        <v>6188</v>
      </c>
      <c r="Z355" t="s">
        <v>3213</v>
      </c>
      <c r="AA355" t="s">
        <v>5867</v>
      </c>
      <c r="AB355" t="s">
        <v>5922</v>
      </c>
      <c r="AC355" t="s">
        <v>5923</v>
      </c>
      <c r="AK355" t="s">
        <v>5900</v>
      </c>
    </row>
    <row r="356" spans="1:37" x14ac:dyDescent="0.3">
      <c r="A356" t="s">
        <v>6176</v>
      </c>
      <c r="B356">
        <v>14</v>
      </c>
      <c r="C356" t="s">
        <v>6243</v>
      </c>
      <c r="D356" s="1032">
        <v>45590</v>
      </c>
      <c r="E356" t="s">
        <v>1274</v>
      </c>
      <c r="F356" t="s">
        <v>16</v>
      </c>
      <c r="G356" t="s">
        <v>6171</v>
      </c>
      <c r="H356" t="s">
        <v>743</v>
      </c>
      <c r="I356">
        <v>0</v>
      </c>
      <c r="J356">
        <v>2</v>
      </c>
      <c r="K356">
        <v>0</v>
      </c>
      <c r="L356">
        <v>2</v>
      </c>
      <c r="M356">
        <v>3</v>
      </c>
      <c r="N356">
        <v>5</v>
      </c>
      <c r="O356">
        <v>26</v>
      </c>
      <c r="P356">
        <v>0</v>
      </c>
      <c r="Q356">
        <v>0</v>
      </c>
      <c r="R356">
        <v>0</v>
      </c>
      <c r="S356">
        <v>0</v>
      </c>
      <c r="T356">
        <v>3</v>
      </c>
      <c r="U356">
        <v>4</v>
      </c>
      <c r="V356">
        <v>4590</v>
      </c>
      <c r="W356" t="s">
        <v>6188</v>
      </c>
      <c r="X356" t="s">
        <v>6189</v>
      </c>
      <c r="Y356" t="s">
        <v>6189</v>
      </c>
      <c r="AA356" t="s">
        <v>6171</v>
      </c>
      <c r="AB356" t="s">
        <v>515</v>
      </c>
      <c r="AK356" t="s">
        <v>5902</v>
      </c>
    </row>
    <row r="357" spans="1:37" x14ac:dyDescent="0.3">
      <c r="A357" t="s">
        <v>6176</v>
      </c>
      <c r="B357">
        <v>15</v>
      </c>
      <c r="C357" t="s">
        <v>6245</v>
      </c>
      <c r="D357" s="1032">
        <v>45592</v>
      </c>
      <c r="E357" t="s">
        <v>331</v>
      </c>
      <c r="F357" t="s">
        <v>17</v>
      </c>
      <c r="G357" t="s">
        <v>6201</v>
      </c>
      <c r="H357" t="s">
        <v>16</v>
      </c>
      <c r="I357">
        <v>6</v>
      </c>
      <c r="J357">
        <v>0</v>
      </c>
      <c r="K357">
        <v>6</v>
      </c>
      <c r="L357">
        <v>0</v>
      </c>
      <c r="M357">
        <v>3</v>
      </c>
      <c r="N357">
        <v>5</v>
      </c>
      <c r="O357">
        <v>29</v>
      </c>
      <c r="P357">
        <v>1</v>
      </c>
      <c r="Q357">
        <v>1</v>
      </c>
      <c r="R357">
        <v>0</v>
      </c>
      <c r="S357">
        <v>0</v>
      </c>
      <c r="T357">
        <v>3</v>
      </c>
      <c r="U357">
        <v>3</v>
      </c>
      <c r="V357">
        <v>4901</v>
      </c>
      <c r="W357" t="s">
        <v>6120</v>
      </c>
      <c r="X357" t="s">
        <v>6110</v>
      </c>
      <c r="Y357" t="s">
        <v>6089</v>
      </c>
      <c r="AA357" t="s">
        <v>6201</v>
      </c>
      <c r="AB357" t="s">
        <v>5924</v>
      </c>
      <c r="AC357" t="s">
        <v>5925</v>
      </c>
      <c r="AD357" t="s">
        <v>5926</v>
      </c>
      <c r="AE357" t="s">
        <v>5927</v>
      </c>
      <c r="AF357" t="s">
        <v>5928</v>
      </c>
      <c r="AG357" t="s">
        <v>5929</v>
      </c>
      <c r="AK357" t="s">
        <v>5903</v>
      </c>
    </row>
    <row r="358" spans="1:37" x14ac:dyDescent="0.3">
      <c r="A358" t="s">
        <v>6176</v>
      </c>
      <c r="B358">
        <v>16</v>
      </c>
      <c r="C358" t="s">
        <v>6244</v>
      </c>
      <c r="D358" s="1032">
        <v>45594</v>
      </c>
      <c r="E358" t="s">
        <v>332</v>
      </c>
      <c r="F358" t="s">
        <v>16</v>
      </c>
      <c r="G358" t="s">
        <v>6192</v>
      </c>
      <c r="H358" t="s">
        <v>16</v>
      </c>
      <c r="I358">
        <v>4</v>
      </c>
      <c r="J358">
        <v>3</v>
      </c>
      <c r="K358">
        <v>4</v>
      </c>
      <c r="L358">
        <v>3</v>
      </c>
      <c r="M358">
        <v>2</v>
      </c>
      <c r="N358">
        <v>8</v>
      </c>
      <c r="O358">
        <v>32</v>
      </c>
      <c r="P358">
        <v>1</v>
      </c>
      <c r="Q358">
        <v>1</v>
      </c>
      <c r="R358">
        <v>0</v>
      </c>
      <c r="S358">
        <v>1</v>
      </c>
      <c r="T358">
        <v>2</v>
      </c>
      <c r="U358">
        <v>5</v>
      </c>
      <c r="V358">
        <v>3780</v>
      </c>
      <c r="W358" t="s">
        <v>6171</v>
      </c>
      <c r="X358" t="s">
        <v>6202</v>
      </c>
      <c r="Y358" t="s">
        <v>6189</v>
      </c>
      <c r="AA358" t="s">
        <v>5905</v>
      </c>
      <c r="AB358" t="s">
        <v>5930</v>
      </c>
      <c r="AC358" t="s">
        <v>5931</v>
      </c>
      <c r="AD358" t="s">
        <v>5932</v>
      </c>
      <c r="AE358" t="s">
        <v>5933</v>
      </c>
      <c r="AK358" t="s">
        <v>5906</v>
      </c>
    </row>
    <row r="359" spans="1:37" x14ac:dyDescent="0.3">
      <c r="A359" t="s">
        <v>6176</v>
      </c>
      <c r="B359">
        <v>17</v>
      </c>
      <c r="C359" t="s">
        <v>6247</v>
      </c>
      <c r="D359" s="1032">
        <v>45597</v>
      </c>
      <c r="E359" t="s">
        <v>610</v>
      </c>
      <c r="F359" t="s">
        <v>17</v>
      </c>
      <c r="G359" t="s">
        <v>6148</v>
      </c>
      <c r="H359" t="s">
        <v>16</v>
      </c>
      <c r="I359">
        <v>4</v>
      </c>
      <c r="J359">
        <v>1</v>
      </c>
      <c r="K359">
        <v>3</v>
      </c>
      <c r="L359">
        <v>1</v>
      </c>
      <c r="M359">
        <v>2</v>
      </c>
      <c r="N359">
        <v>8</v>
      </c>
      <c r="O359">
        <v>35</v>
      </c>
      <c r="P359">
        <v>2</v>
      </c>
      <c r="Q359">
        <v>0</v>
      </c>
      <c r="R359">
        <v>0</v>
      </c>
      <c r="S359">
        <v>0</v>
      </c>
      <c r="T359">
        <v>5</v>
      </c>
      <c r="U359">
        <v>1</v>
      </c>
      <c r="V359">
        <v>5097</v>
      </c>
      <c r="W359" t="s">
        <v>6187</v>
      </c>
      <c r="X359" t="s">
        <v>6120</v>
      </c>
      <c r="Y359" t="s">
        <v>6089</v>
      </c>
      <c r="AA359" t="s">
        <v>5912</v>
      </c>
      <c r="AB359" t="s">
        <v>5934</v>
      </c>
      <c r="AC359" t="s">
        <v>5935</v>
      </c>
      <c r="AD359" t="s">
        <v>5936</v>
      </c>
      <c r="AE359" t="s">
        <v>5937</v>
      </c>
      <c r="AK359" t="s">
        <v>5913</v>
      </c>
    </row>
    <row r="360" spans="1:37" x14ac:dyDescent="0.3">
      <c r="A360" t="s">
        <v>6176</v>
      </c>
      <c r="B360">
        <v>18</v>
      </c>
      <c r="C360" t="s">
        <v>6248</v>
      </c>
      <c r="D360" s="1032">
        <v>45599</v>
      </c>
      <c r="E360" t="s">
        <v>6076</v>
      </c>
      <c r="F360" t="s">
        <v>16</v>
      </c>
      <c r="G360" t="s">
        <v>6171</v>
      </c>
      <c r="H360" t="s">
        <v>743</v>
      </c>
      <c r="I360">
        <v>0</v>
      </c>
      <c r="J360">
        <v>2</v>
      </c>
      <c r="K360">
        <v>0</v>
      </c>
      <c r="L360">
        <v>2</v>
      </c>
      <c r="M360">
        <v>2</v>
      </c>
      <c r="N360">
        <v>8</v>
      </c>
      <c r="O360">
        <v>35</v>
      </c>
      <c r="P360">
        <v>0</v>
      </c>
      <c r="Q360">
        <v>0</v>
      </c>
      <c r="R360">
        <v>0</v>
      </c>
      <c r="S360">
        <v>1</v>
      </c>
      <c r="T360">
        <v>4</v>
      </c>
      <c r="U360">
        <v>6</v>
      </c>
      <c r="V360">
        <v>5283</v>
      </c>
      <c r="W360" t="s">
        <v>6188</v>
      </c>
      <c r="X360" t="s">
        <v>6189</v>
      </c>
      <c r="Y360" t="s">
        <v>6189</v>
      </c>
      <c r="AA360" t="s">
        <v>6171</v>
      </c>
      <c r="AB360" t="s">
        <v>515</v>
      </c>
      <c r="AK360" t="s">
        <v>5903</v>
      </c>
    </row>
    <row r="361" spans="1:37" x14ac:dyDescent="0.3">
      <c r="A361" t="s">
        <v>6176</v>
      </c>
      <c r="B361">
        <v>19</v>
      </c>
      <c r="C361" t="s">
        <v>6249</v>
      </c>
      <c r="D361" s="1032">
        <v>45611</v>
      </c>
      <c r="E361" t="s">
        <v>626</v>
      </c>
      <c r="F361" t="s">
        <v>17</v>
      </c>
      <c r="G361" t="s">
        <v>6202</v>
      </c>
      <c r="H361" t="s">
        <v>16</v>
      </c>
      <c r="I361">
        <v>4</v>
      </c>
      <c r="J361">
        <v>0</v>
      </c>
      <c r="K361">
        <v>4</v>
      </c>
      <c r="L361">
        <v>0</v>
      </c>
      <c r="M361">
        <v>2</v>
      </c>
      <c r="N361">
        <v>8</v>
      </c>
      <c r="O361">
        <v>38</v>
      </c>
      <c r="P361">
        <v>2</v>
      </c>
      <c r="Q361">
        <v>0</v>
      </c>
      <c r="R361">
        <v>0</v>
      </c>
      <c r="S361">
        <v>0</v>
      </c>
      <c r="T361">
        <v>6</v>
      </c>
      <c r="U361">
        <v>2</v>
      </c>
      <c r="V361">
        <v>4320</v>
      </c>
      <c r="W361" t="s">
        <v>6120</v>
      </c>
      <c r="X361" t="s">
        <v>6120</v>
      </c>
      <c r="Y361" t="s">
        <v>6089</v>
      </c>
      <c r="AA361" t="s">
        <v>6202</v>
      </c>
      <c r="AB361" t="s">
        <v>5945</v>
      </c>
      <c r="AC361" t="s">
        <v>5946</v>
      </c>
      <c r="AD361" t="s">
        <v>5947</v>
      </c>
      <c r="AE361" t="s">
        <v>5948</v>
      </c>
      <c r="AK361" t="s">
        <v>5938</v>
      </c>
    </row>
    <row r="362" spans="1:37" x14ac:dyDescent="0.3">
      <c r="A362" t="s">
        <v>6176</v>
      </c>
      <c r="B362">
        <v>20</v>
      </c>
      <c r="C362" t="s">
        <v>6250</v>
      </c>
      <c r="D362" s="1032">
        <v>45616</v>
      </c>
      <c r="E362" t="s">
        <v>6091</v>
      </c>
      <c r="F362" t="s">
        <v>16</v>
      </c>
      <c r="G362" t="s">
        <v>6192</v>
      </c>
      <c r="H362" t="s">
        <v>16</v>
      </c>
      <c r="I362">
        <v>4</v>
      </c>
      <c r="J362">
        <v>3</v>
      </c>
      <c r="K362">
        <v>4</v>
      </c>
      <c r="L362">
        <v>3</v>
      </c>
      <c r="M362">
        <v>2</v>
      </c>
      <c r="N362">
        <v>11</v>
      </c>
      <c r="O362">
        <v>41</v>
      </c>
      <c r="P362">
        <v>2</v>
      </c>
      <c r="Q362">
        <v>0</v>
      </c>
      <c r="R362">
        <v>1</v>
      </c>
      <c r="S362">
        <v>1</v>
      </c>
      <c r="T362">
        <v>6</v>
      </c>
      <c r="U362">
        <v>6</v>
      </c>
      <c r="V362">
        <v>6094</v>
      </c>
      <c r="W362" t="s">
        <v>6187</v>
      </c>
      <c r="X362" t="s">
        <v>6113</v>
      </c>
      <c r="Y362" t="s">
        <v>6188</v>
      </c>
      <c r="AA362" t="s">
        <v>5940</v>
      </c>
      <c r="AB362" t="s">
        <v>5949</v>
      </c>
      <c r="AC362" t="s">
        <v>5950</v>
      </c>
      <c r="AD362" t="s">
        <v>5951</v>
      </c>
      <c r="AE362" t="s">
        <v>5952</v>
      </c>
      <c r="AK362" t="s">
        <v>5939</v>
      </c>
    </row>
    <row r="363" spans="1:37" x14ac:dyDescent="0.3">
      <c r="A363" t="s">
        <v>6176</v>
      </c>
      <c r="B363">
        <v>21</v>
      </c>
      <c r="C363" t="s">
        <v>6251</v>
      </c>
      <c r="D363" s="1032">
        <v>45618</v>
      </c>
      <c r="E363" t="s">
        <v>327</v>
      </c>
      <c r="F363" t="s">
        <v>17</v>
      </c>
      <c r="G363" t="s">
        <v>6148</v>
      </c>
      <c r="H363" t="s">
        <v>16</v>
      </c>
      <c r="I363">
        <v>4</v>
      </c>
      <c r="J363">
        <v>1</v>
      </c>
      <c r="K363">
        <v>2</v>
      </c>
      <c r="L363">
        <v>1</v>
      </c>
      <c r="M363">
        <v>1</v>
      </c>
      <c r="N363">
        <v>11</v>
      </c>
      <c r="O363">
        <v>44</v>
      </c>
      <c r="P363">
        <v>1</v>
      </c>
      <c r="Q363">
        <v>0</v>
      </c>
      <c r="R363">
        <v>0</v>
      </c>
      <c r="S363">
        <v>0</v>
      </c>
      <c r="T363">
        <v>3</v>
      </c>
      <c r="U363">
        <v>4</v>
      </c>
      <c r="V363">
        <v>5944</v>
      </c>
      <c r="W363" t="s">
        <v>6089</v>
      </c>
      <c r="X363" t="s">
        <v>6189</v>
      </c>
      <c r="Y363" t="s">
        <v>6089</v>
      </c>
      <c r="AA363" t="s">
        <v>4732</v>
      </c>
      <c r="AB363" t="s">
        <v>5953</v>
      </c>
      <c r="AC363" t="s">
        <v>5954</v>
      </c>
      <c r="AD363" t="s">
        <v>6397</v>
      </c>
      <c r="AE363" t="s">
        <v>6398</v>
      </c>
      <c r="AK363" t="s">
        <v>5939</v>
      </c>
    </row>
    <row r="364" spans="1:37" x14ac:dyDescent="0.3">
      <c r="A364" t="s">
        <v>6176</v>
      </c>
      <c r="B364">
        <v>22</v>
      </c>
      <c r="C364" t="s">
        <v>6252</v>
      </c>
      <c r="D364" s="1032">
        <v>45620</v>
      </c>
      <c r="E364" t="s">
        <v>6086</v>
      </c>
      <c r="F364" t="s">
        <v>16</v>
      </c>
      <c r="G364" t="s">
        <v>6128</v>
      </c>
      <c r="H364" t="s">
        <v>743</v>
      </c>
      <c r="I364">
        <v>1</v>
      </c>
      <c r="J364">
        <v>4</v>
      </c>
      <c r="K364">
        <v>1</v>
      </c>
      <c r="L364">
        <v>3</v>
      </c>
      <c r="M364">
        <v>2</v>
      </c>
      <c r="N364">
        <v>11</v>
      </c>
      <c r="O364">
        <v>44</v>
      </c>
      <c r="P364">
        <v>1</v>
      </c>
      <c r="Q364">
        <v>0</v>
      </c>
      <c r="R364">
        <v>0</v>
      </c>
      <c r="S364">
        <v>1</v>
      </c>
      <c r="T364">
        <v>4</v>
      </c>
      <c r="U364">
        <v>4</v>
      </c>
      <c r="V364">
        <v>3488</v>
      </c>
      <c r="W364" t="s">
        <v>6189</v>
      </c>
      <c r="X364" t="s">
        <v>6187</v>
      </c>
      <c r="Y364" t="s">
        <v>6171</v>
      </c>
      <c r="AA364" t="s">
        <v>4444</v>
      </c>
      <c r="AB364" t="s">
        <v>5955</v>
      </c>
      <c r="AK364" t="s">
        <v>5942</v>
      </c>
    </row>
    <row r="365" spans="1:37" x14ac:dyDescent="0.3">
      <c r="A365" t="s">
        <v>6176</v>
      </c>
      <c r="B365">
        <v>23</v>
      </c>
      <c r="C365" t="s">
        <v>6253</v>
      </c>
      <c r="D365" s="1032">
        <v>45625</v>
      </c>
      <c r="E365" t="s">
        <v>325</v>
      </c>
      <c r="F365" t="s">
        <v>17</v>
      </c>
      <c r="G365" t="s">
        <v>6077</v>
      </c>
      <c r="H365" t="s">
        <v>743</v>
      </c>
      <c r="I365">
        <v>0</v>
      </c>
      <c r="J365">
        <v>4</v>
      </c>
      <c r="K365">
        <v>0</v>
      </c>
      <c r="L365">
        <v>4</v>
      </c>
      <c r="M365">
        <v>3</v>
      </c>
      <c r="N365">
        <v>8</v>
      </c>
      <c r="O365">
        <v>44</v>
      </c>
      <c r="P365">
        <v>0</v>
      </c>
      <c r="Q365">
        <v>0</v>
      </c>
      <c r="R365">
        <v>1</v>
      </c>
      <c r="S365">
        <v>0</v>
      </c>
      <c r="T365">
        <v>4</v>
      </c>
      <c r="U365">
        <v>1</v>
      </c>
      <c r="V365">
        <v>5944</v>
      </c>
      <c r="W365" t="s">
        <v>6188</v>
      </c>
      <c r="X365" t="s">
        <v>6079</v>
      </c>
      <c r="Y365" t="s">
        <v>6189</v>
      </c>
      <c r="AA365" t="s">
        <v>6077</v>
      </c>
      <c r="AB365" t="s">
        <v>515</v>
      </c>
      <c r="AK365" t="s">
        <v>5941</v>
      </c>
    </row>
    <row r="366" spans="1:37" x14ac:dyDescent="0.3">
      <c r="A366" t="s">
        <v>6176</v>
      </c>
      <c r="B366">
        <v>24</v>
      </c>
      <c r="C366" t="s">
        <v>6254</v>
      </c>
      <c r="D366" s="1032">
        <v>45627</v>
      </c>
      <c r="E366" t="s">
        <v>328</v>
      </c>
      <c r="F366" t="s">
        <v>17</v>
      </c>
      <c r="G366" t="s">
        <v>6113</v>
      </c>
      <c r="H366" t="s">
        <v>16</v>
      </c>
      <c r="I366">
        <v>3</v>
      </c>
      <c r="J366">
        <v>2</v>
      </c>
      <c r="K366">
        <v>3</v>
      </c>
      <c r="L366">
        <v>2</v>
      </c>
      <c r="M366">
        <v>2</v>
      </c>
      <c r="N366">
        <v>8</v>
      </c>
      <c r="O366">
        <v>47</v>
      </c>
      <c r="P366">
        <v>0</v>
      </c>
      <c r="Q366">
        <v>0</v>
      </c>
      <c r="R366">
        <v>0</v>
      </c>
      <c r="S366">
        <v>0</v>
      </c>
      <c r="T366">
        <v>2</v>
      </c>
      <c r="U366">
        <v>3</v>
      </c>
      <c r="V366">
        <v>3562</v>
      </c>
      <c r="W366" t="s">
        <v>6189</v>
      </c>
      <c r="X366" t="s">
        <v>6187</v>
      </c>
      <c r="Y366" t="s">
        <v>6089</v>
      </c>
      <c r="AA366" t="s">
        <v>3813</v>
      </c>
      <c r="AB366" t="s">
        <v>5979</v>
      </c>
      <c r="AC366" t="s">
        <v>5980</v>
      </c>
      <c r="AD366" t="s">
        <v>5981</v>
      </c>
      <c r="AK366" t="s">
        <v>5943</v>
      </c>
    </row>
    <row r="367" spans="1:37" x14ac:dyDescent="0.3">
      <c r="A367" t="s">
        <v>6176</v>
      </c>
      <c r="B367">
        <v>25</v>
      </c>
      <c r="C367" t="s">
        <v>6255</v>
      </c>
      <c r="D367" s="1032">
        <v>45630</v>
      </c>
      <c r="E367" t="s">
        <v>6179</v>
      </c>
      <c r="F367" t="s">
        <v>16</v>
      </c>
      <c r="G367" t="s">
        <v>6110</v>
      </c>
      <c r="H367" t="s">
        <v>16</v>
      </c>
      <c r="I367">
        <v>3</v>
      </c>
      <c r="J367">
        <v>0</v>
      </c>
      <c r="K367">
        <v>2</v>
      </c>
      <c r="L367">
        <v>0</v>
      </c>
      <c r="M367">
        <v>2</v>
      </c>
      <c r="N367">
        <v>11</v>
      </c>
      <c r="O367">
        <v>50</v>
      </c>
      <c r="P367">
        <v>1</v>
      </c>
      <c r="Q367">
        <v>0</v>
      </c>
      <c r="R367">
        <v>0</v>
      </c>
      <c r="S367">
        <v>0</v>
      </c>
      <c r="T367">
        <v>2</v>
      </c>
      <c r="U367">
        <v>2</v>
      </c>
      <c r="V367">
        <v>6046</v>
      </c>
      <c r="W367" t="s">
        <v>6120</v>
      </c>
      <c r="X367" t="s">
        <v>6120</v>
      </c>
      <c r="Y367" t="s">
        <v>6120</v>
      </c>
      <c r="AA367" t="s">
        <v>6110</v>
      </c>
      <c r="AB367" t="s">
        <v>5982</v>
      </c>
      <c r="AC367" t="s">
        <v>5983</v>
      </c>
      <c r="AD367" t="s">
        <v>6399</v>
      </c>
      <c r="AJ367" t="s">
        <v>5852</v>
      </c>
      <c r="AK367" t="s">
        <v>5944</v>
      </c>
    </row>
    <row r="368" spans="1:37" x14ac:dyDescent="0.3">
      <c r="A368" t="s">
        <v>6176</v>
      </c>
      <c r="B368">
        <v>26</v>
      </c>
      <c r="C368" t="s">
        <v>6256</v>
      </c>
      <c r="D368" s="1032">
        <v>45634</v>
      </c>
      <c r="E368" t="s">
        <v>334</v>
      </c>
      <c r="F368" t="s">
        <v>16</v>
      </c>
      <c r="G368" t="s">
        <v>6120</v>
      </c>
      <c r="H368" t="s">
        <v>16</v>
      </c>
      <c r="I368">
        <v>1</v>
      </c>
      <c r="J368">
        <v>0</v>
      </c>
      <c r="K368">
        <v>1</v>
      </c>
      <c r="L368">
        <v>0</v>
      </c>
      <c r="M368">
        <v>2</v>
      </c>
      <c r="N368">
        <v>14</v>
      </c>
      <c r="O368">
        <v>53</v>
      </c>
      <c r="P368">
        <v>0</v>
      </c>
      <c r="Q368">
        <v>0</v>
      </c>
      <c r="R368">
        <v>0</v>
      </c>
      <c r="S368">
        <v>0</v>
      </c>
      <c r="T368">
        <v>4</v>
      </c>
      <c r="U368">
        <v>3</v>
      </c>
      <c r="V368">
        <v>4549</v>
      </c>
      <c r="W368" t="s">
        <v>6120</v>
      </c>
      <c r="X368" t="s">
        <v>6188</v>
      </c>
      <c r="Y368" t="s">
        <v>6188</v>
      </c>
      <c r="AA368" t="s">
        <v>6120</v>
      </c>
      <c r="AB368" t="s">
        <v>5984</v>
      </c>
      <c r="AK368" t="s">
        <v>5943</v>
      </c>
    </row>
    <row r="369" spans="1:37" x14ac:dyDescent="0.3">
      <c r="A369" t="s">
        <v>6176</v>
      </c>
      <c r="B369">
        <v>27</v>
      </c>
      <c r="C369" t="s">
        <v>6257</v>
      </c>
      <c r="D369" s="1032">
        <v>45646</v>
      </c>
      <c r="E369" t="s">
        <v>1274</v>
      </c>
      <c r="F369" t="s">
        <v>17</v>
      </c>
      <c r="G369" t="s">
        <v>6203</v>
      </c>
      <c r="H369" t="s">
        <v>743</v>
      </c>
      <c r="I369">
        <v>4</v>
      </c>
      <c r="J369">
        <v>5</v>
      </c>
      <c r="K369">
        <v>4</v>
      </c>
      <c r="L369">
        <v>5</v>
      </c>
      <c r="M369">
        <v>2</v>
      </c>
      <c r="N369">
        <v>11</v>
      </c>
      <c r="O369">
        <v>53</v>
      </c>
      <c r="P369">
        <v>1</v>
      </c>
      <c r="Q369">
        <v>1</v>
      </c>
      <c r="R369">
        <v>0</v>
      </c>
      <c r="S369">
        <v>0</v>
      </c>
      <c r="T369">
        <v>5</v>
      </c>
      <c r="U369">
        <v>3</v>
      </c>
      <c r="V369">
        <v>4808</v>
      </c>
      <c r="W369" t="s">
        <v>6146</v>
      </c>
      <c r="X369" t="s">
        <v>6097</v>
      </c>
      <c r="Y369" t="s">
        <v>6120</v>
      </c>
      <c r="AA369" t="s">
        <v>5978</v>
      </c>
      <c r="AB369" t="s">
        <v>5985</v>
      </c>
      <c r="AC369" t="s">
        <v>5986</v>
      </c>
      <c r="AD369" t="s">
        <v>5987</v>
      </c>
      <c r="AE369" t="s">
        <v>5988</v>
      </c>
      <c r="AJ369" t="s">
        <v>5976</v>
      </c>
      <c r="AK369" t="s">
        <v>5977</v>
      </c>
    </row>
    <row r="370" spans="1:37" x14ac:dyDescent="0.3">
      <c r="A370" t="s">
        <v>6176</v>
      </c>
      <c r="B370">
        <v>28</v>
      </c>
      <c r="C370" t="s">
        <v>6258</v>
      </c>
      <c r="D370" s="1032">
        <v>45648</v>
      </c>
      <c r="E370" t="s">
        <v>331</v>
      </c>
      <c r="F370" t="s">
        <v>16</v>
      </c>
      <c r="G370" t="s">
        <v>6118</v>
      </c>
      <c r="H370" t="s">
        <v>16</v>
      </c>
      <c r="I370">
        <v>2</v>
      </c>
      <c r="J370">
        <v>1</v>
      </c>
      <c r="K370">
        <v>2</v>
      </c>
      <c r="L370">
        <v>1</v>
      </c>
      <c r="M370">
        <v>2</v>
      </c>
      <c r="N370">
        <v>14</v>
      </c>
      <c r="O370">
        <v>56</v>
      </c>
      <c r="P370">
        <v>1</v>
      </c>
      <c r="Q370">
        <v>1</v>
      </c>
      <c r="R370">
        <v>0</v>
      </c>
      <c r="S370">
        <v>0</v>
      </c>
      <c r="T370">
        <v>4</v>
      </c>
      <c r="U370">
        <v>4</v>
      </c>
      <c r="V370">
        <v>5653</v>
      </c>
      <c r="W370" t="s">
        <v>6089</v>
      </c>
      <c r="X370" t="s">
        <v>6189</v>
      </c>
      <c r="Y370" t="s">
        <v>6188</v>
      </c>
      <c r="AA370" t="s">
        <v>3496</v>
      </c>
      <c r="AB370" t="s">
        <v>5989</v>
      </c>
      <c r="AC370" t="s">
        <v>5990</v>
      </c>
      <c r="AK370" t="s">
        <v>5992</v>
      </c>
    </row>
    <row r="371" spans="1:37" x14ac:dyDescent="0.3">
      <c r="A371" t="s">
        <v>6176</v>
      </c>
      <c r="B371">
        <v>29</v>
      </c>
      <c r="C371" t="s">
        <v>6259</v>
      </c>
      <c r="D371" s="1032">
        <v>45652</v>
      </c>
      <c r="E371" t="s">
        <v>332</v>
      </c>
      <c r="F371" t="s">
        <v>17</v>
      </c>
      <c r="G371" t="s">
        <v>6120</v>
      </c>
      <c r="H371" t="s">
        <v>16</v>
      </c>
      <c r="I371">
        <v>1</v>
      </c>
      <c r="J371">
        <v>0</v>
      </c>
      <c r="K371">
        <v>1</v>
      </c>
      <c r="L371">
        <v>0</v>
      </c>
      <c r="M371">
        <v>2</v>
      </c>
      <c r="N371">
        <v>14</v>
      </c>
      <c r="O371">
        <v>59</v>
      </c>
      <c r="P371">
        <v>0</v>
      </c>
      <c r="Q371">
        <v>0</v>
      </c>
      <c r="R371">
        <v>0</v>
      </c>
      <c r="S371">
        <v>0</v>
      </c>
      <c r="T371">
        <v>4</v>
      </c>
      <c r="U371">
        <v>2</v>
      </c>
      <c r="V371">
        <v>5944</v>
      </c>
      <c r="W371" t="s">
        <v>6120</v>
      </c>
      <c r="X371" t="s">
        <v>6188</v>
      </c>
      <c r="Y371" t="s">
        <v>6188</v>
      </c>
      <c r="AA371" t="s">
        <v>6120</v>
      </c>
      <c r="AB371" t="s">
        <v>6353</v>
      </c>
      <c r="AK371" t="s">
        <v>5993</v>
      </c>
    </row>
    <row r="372" spans="1:37" x14ac:dyDescent="0.3">
      <c r="A372" t="s">
        <v>6176</v>
      </c>
      <c r="B372">
        <v>30</v>
      </c>
      <c r="C372" t="s">
        <v>6260</v>
      </c>
      <c r="D372" s="1032">
        <v>45654</v>
      </c>
      <c r="E372" t="s">
        <v>610</v>
      </c>
      <c r="F372" t="s">
        <v>16</v>
      </c>
      <c r="G372" t="s">
        <v>6110</v>
      </c>
      <c r="H372" t="s">
        <v>16</v>
      </c>
      <c r="I372">
        <v>3</v>
      </c>
      <c r="J372">
        <v>0</v>
      </c>
      <c r="K372">
        <v>3</v>
      </c>
      <c r="L372">
        <v>0</v>
      </c>
      <c r="M372">
        <v>2</v>
      </c>
      <c r="N372">
        <v>17</v>
      </c>
      <c r="O372">
        <v>62</v>
      </c>
      <c r="P372">
        <v>0</v>
      </c>
      <c r="Q372">
        <v>0</v>
      </c>
      <c r="R372">
        <v>0</v>
      </c>
      <c r="S372">
        <v>0</v>
      </c>
      <c r="T372">
        <v>4</v>
      </c>
      <c r="U372">
        <v>3</v>
      </c>
      <c r="V372">
        <v>7116</v>
      </c>
      <c r="W372" t="s">
        <v>6188</v>
      </c>
      <c r="X372" t="s">
        <v>6188</v>
      </c>
      <c r="Y372" t="s">
        <v>6110</v>
      </c>
      <c r="AA372" t="s">
        <v>6110</v>
      </c>
      <c r="AB372" t="s">
        <v>6354</v>
      </c>
      <c r="AC372" t="s">
        <v>6355</v>
      </c>
      <c r="AD372" t="s">
        <v>6356</v>
      </c>
      <c r="AK372" t="s">
        <v>5994</v>
      </c>
    </row>
    <row r="373" spans="1:37" x14ac:dyDescent="0.3">
      <c r="A373" t="s">
        <v>6176</v>
      </c>
      <c r="B373">
        <v>31</v>
      </c>
      <c r="C373" t="s">
        <v>6261</v>
      </c>
      <c r="D373" s="1032">
        <v>45656</v>
      </c>
      <c r="E373" t="s">
        <v>6076</v>
      </c>
      <c r="F373" t="s">
        <v>17</v>
      </c>
      <c r="G373" t="s">
        <v>6148</v>
      </c>
      <c r="H373" t="s">
        <v>16</v>
      </c>
      <c r="I373">
        <v>4</v>
      </c>
      <c r="J373">
        <v>1</v>
      </c>
      <c r="K373">
        <v>4</v>
      </c>
      <c r="L373">
        <v>1</v>
      </c>
      <c r="M373">
        <v>1</v>
      </c>
      <c r="N373">
        <v>17</v>
      </c>
      <c r="O373">
        <v>65</v>
      </c>
      <c r="P373">
        <v>4</v>
      </c>
      <c r="Q373">
        <v>0</v>
      </c>
      <c r="R373">
        <v>0</v>
      </c>
      <c r="S373">
        <v>0</v>
      </c>
      <c r="T373">
        <v>6</v>
      </c>
      <c r="U373">
        <v>4</v>
      </c>
      <c r="V373">
        <v>5944</v>
      </c>
      <c r="W373" t="s">
        <v>6187</v>
      </c>
      <c r="X373" t="s">
        <v>6089</v>
      </c>
      <c r="Y373" t="s">
        <v>6120</v>
      </c>
      <c r="AA373" t="s">
        <v>5912</v>
      </c>
      <c r="AB373" t="s">
        <v>6357</v>
      </c>
      <c r="AC373" t="s">
        <v>6358</v>
      </c>
      <c r="AD373" t="s">
        <v>6359</v>
      </c>
      <c r="AE373" t="s">
        <v>6360</v>
      </c>
      <c r="AJ373" t="s">
        <v>5991</v>
      </c>
      <c r="AK373" t="s">
        <v>5995</v>
      </c>
    </row>
    <row r="374" spans="1:37" x14ac:dyDescent="0.3">
      <c r="A374" t="s">
        <v>6176</v>
      </c>
      <c r="B374">
        <v>32</v>
      </c>
      <c r="C374" t="s">
        <v>6262</v>
      </c>
      <c r="D374" s="1032">
        <v>45660</v>
      </c>
      <c r="E374" t="s">
        <v>626</v>
      </c>
      <c r="F374" t="s">
        <v>16</v>
      </c>
      <c r="G374" t="s">
        <v>6102</v>
      </c>
      <c r="H374" t="s">
        <v>743</v>
      </c>
      <c r="I374">
        <v>1</v>
      </c>
      <c r="J374">
        <v>3</v>
      </c>
      <c r="K374">
        <v>1</v>
      </c>
      <c r="L374">
        <v>2</v>
      </c>
      <c r="M374">
        <v>1</v>
      </c>
      <c r="N374">
        <v>17</v>
      </c>
      <c r="O374">
        <v>65</v>
      </c>
      <c r="P374">
        <v>0</v>
      </c>
      <c r="Q374">
        <v>0</v>
      </c>
      <c r="R374">
        <v>0</v>
      </c>
      <c r="S374">
        <v>0</v>
      </c>
      <c r="T374">
        <v>2</v>
      </c>
      <c r="U374">
        <v>2</v>
      </c>
      <c r="V374">
        <v>4905</v>
      </c>
      <c r="W374" t="s">
        <v>6188</v>
      </c>
      <c r="X374" t="s">
        <v>6189</v>
      </c>
      <c r="Y374" t="s">
        <v>6097</v>
      </c>
      <c r="AA374" t="s">
        <v>3307</v>
      </c>
      <c r="AB374" t="s">
        <v>6361</v>
      </c>
      <c r="AK374" t="s">
        <v>5996</v>
      </c>
    </row>
    <row r="375" spans="1:37" x14ac:dyDescent="0.3">
      <c r="A375" t="s">
        <v>6176</v>
      </c>
      <c r="B375">
        <v>33</v>
      </c>
      <c r="C375" t="s">
        <v>6263</v>
      </c>
      <c r="D375" s="1032">
        <v>45662</v>
      </c>
      <c r="E375" t="s">
        <v>6091</v>
      </c>
      <c r="F375" t="s">
        <v>17</v>
      </c>
      <c r="G375" t="s">
        <v>6102</v>
      </c>
      <c r="H375" t="s">
        <v>743</v>
      </c>
      <c r="I375">
        <v>1</v>
      </c>
      <c r="J375">
        <v>3</v>
      </c>
      <c r="K375">
        <v>1</v>
      </c>
      <c r="L375">
        <v>3</v>
      </c>
      <c r="M375">
        <v>1</v>
      </c>
      <c r="N375">
        <v>14</v>
      </c>
      <c r="O375">
        <v>65</v>
      </c>
      <c r="P375">
        <v>0</v>
      </c>
      <c r="Q375">
        <v>0</v>
      </c>
      <c r="R375">
        <v>0</v>
      </c>
      <c r="S375">
        <v>2</v>
      </c>
      <c r="T375">
        <v>4</v>
      </c>
      <c r="U375">
        <v>3</v>
      </c>
      <c r="V375">
        <v>4033</v>
      </c>
      <c r="W375" t="s">
        <v>6188</v>
      </c>
      <c r="X375" t="s">
        <v>6120</v>
      </c>
      <c r="Y375" t="s">
        <v>6079</v>
      </c>
      <c r="AA375" t="s">
        <v>3601</v>
      </c>
      <c r="AB375" t="s">
        <v>6362</v>
      </c>
      <c r="AK375" t="s">
        <v>5997</v>
      </c>
    </row>
    <row r="376" spans="1:37" x14ac:dyDescent="0.3">
      <c r="A376" t="s">
        <v>6176</v>
      </c>
      <c r="B376">
        <v>34</v>
      </c>
      <c r="C376" t="s">
        <v>6265</v>
      </c>
      <c r="D376" s="1032">
        <v>45667</v>
      </c>
      <c r="E376" t="s">
        <v>6086</v>
      </c>
      <c r="F376" t="s">
        <v>17</v>
      </c>
      <c r="G376" t="s">
        <v>6097</v>
      </c>
      <c r="H376" t="s">
        <v>743</v>
      </c>
      <c r="I376">
        <v>1</v>
      </c>
      <c r="J376">
        <v>2</v>
      </c>
      <c r="K376">
        <v>1</v>
      </c>
      <c r="L376">
        <v>2</v>
      </c>
      <c r="M376">
        <v>2</v>
      </c>
      <c r="N376">
        <v>11</v>
      </c>
      <c r="O376">
        <v>65</v>
      </c>
      <c r="P376">
        <v>1</v>
      </c>
      <c r="Q376">
        <v>0</v>
      </c>
      <c r="R376">
        <v>0</v>
      </c>
      <c r="S376">
        <v>1</v>
      </c>
      <c r="T376">
        <v>3</v>
      </c>
      <c r="U376">
        <v>3</v>
      </c>
      <c r="V376">
        <v>4207</v>
      </c>
      <c r="W376" t="s">
        <v>6189</v>
      </c>
      <c r="X376" t="s">
        <v>6189</v>
      </c>
      <c r="Y376" t="s">
        <v>6120</v>
      </c>
      <c r="AA376" t="s">
        <v>4837</v>
      </c>
      <c r="AB376" t="s">
        <v>6363</v>
      </c>
      <c r="AK376" t="s">
        <v>6000</v>
      </c>
    </row>
    <row r="377" spans="1:37" x14ac:dyDescent="0.3">
      <c r="A377" t="s">
        <v>6176</v>
      </c>
      <c r="B377">
        <v>35</v>
      </c>
      <c r="C377" t="s">
        <v>6266</v>
      </c>
      <c r="D377" s="1032">
        <v>45669</v>
      </c>
      <c r="E377" t="s">
        <v>325</v>
      </c>
      <c r="F377" t="s">
        <v>16</v>
      </c>
      <c r="G377" t="s">
        <v>6204</v>
      </c>
      <c r="H377" t="s">
        <v>743</v>
      </c>
      <c r="I377">
        <v>3</v>
      </c>
      <c r="J377">
        <v>5</v>
      </c>
      <c r="K377">
        <v>3</v>
      </c>
      <c r="L377">
        <v>5</v>
      </c>
      <c r="M377">
        <v>2</v>
      </c>
      <c r="N377">
        <v>11</v>
      </c>
      <c r="O377">
        <v>65</v>
      </c>
      <c r="P377">
        <v>1</v>
      </c>
      <c r="Q377">
        <v>0</v>
      </c>
      <c r="R377">
        <v>0</v>
      </c>
      <c r="S377">
        <v>2</v>
      </c>
      <c r="T377">
        <v>3</v>
      </c>
      <c r="U377">
        <v>3</v>
      </c>
      <c r="V377">
        <v>16698</v>
      </c>
      <c r="W377" t="s">
        <v>6097</v>
      </c>
      <c r="X377" t="s">
        <v>6187</v>
      </c>
      <c r="Y377" t="s">
        <v>6097</v>
      </c>
      <c r="AA377" t="s">
        <v>6001</v>
      </c>
      <c r="AB377" t="s">
        <v>6364</v>
      </c>
      <c r="AC377" t="s">
        <v>6365</v>
      </c>
      <c r="AD377" t="s">
        <v>6366</v>
      </c>
      <c r="AK377" t="s">
        <v>6002</v>
      </c>
    </row>
    <row r="378" spans="1:37" x14ac:dyDescent="0.3">
      <c r="A378" t="s">
        <v>6176</v>
      </c>
      <c r="B378">
        <v>36</v>
      </c>
      <c r="C378" t="s">
        <v>6264</v>
      </c>
      <c r="D378" s="1032">
        <v>45673</v>
      </c>
      <c r="E378" t="s">
        <v>327</v>
      </c>
      <c r="F378" t="s">
        <v>16</v>
      </c>
      <c r="G378" t="s">
        <v>6102</v>
      </c>
      <c r="H378" t="s">
        <v>743</v>
      </c>
      <c r="I378">
        <v>1</v>
      </c>
      <c r="J378">
        <v>3</v>
      </c>
      <c r="K378">
        <v>1</v>
      </c>
      <c r="L378">
        <v>3</v>
      </c>
      <c r="M378">
        <v>3</v>
      </c>
      <c r="N378">
        <v>11</v>
      </c>
      <c r="O378">
        <v>65</v>
      </c>
      <c r="P378">
        <v>0</v>
      </c>
      <c r="Q378">
        <v>0</v>
      </c>
      <c r="R378">
        <v>0</v>
      </c>
      <c r="S378">
        <v>0</v>
      </c>
      <c r="T378">
        <v>1</v>
      </c>
      <c r="U378">
        <v>3</v>
      </c>
      <c r="V378">
        <v>9487</v>
      </c>
      <c r="W378" t="s">
        <v>6187</v>
      </c>
      <c r="X378" t="s">
        <v>6188</v>
      </c>
      <c r="Y378" t="s">
        <v>6171</v>
      </c>
      <c r="AA378" t="s">
        <v>5998</v>
      </c>
      <c r="AB378" t="s">
        <v>6367</v>
      </c>
      <c r="AK378" t="s">
        <v>5999</v>
      </c>
    </row>
    <row r="379" spans="1:37" x14ac:dyDescent="0.3">
      <c r="A379" t="s">
        <v>6176</v>
      </c>
      <c r="B379">
        <v>37</v>
      </c>
      <c r="C379" t="s">
        <v>6267</v>
      </c>
      <c r="D379" s="1032">
        <v>45674</v>
      </c>
      <c r="E379" t="s">
        <v>328</v>
      </c>
      <c r="F379" t="s">
        <v>16</v>
      </c>
      <c r="G379" t="s">
        <v>6113</v>
      </c>
      <c r="H379" t="s">
        <v>16</v>
      </c>
      <c r="I379">
        <v>3</v>
      </c>
      <c r="J379">
        <v>2</v>
      </c>
      <c r="K379">
        <v>3</v>
      </c>
      <c r="L379">
        <v>2</v>
      </c>
      <c r="M379">
        <v>2</v>
      </c>
      <c r="N379">
        <v>14</v>
      </c>
      <c r="O379">
        <v>68</v>
      </c>
      <c r="P379">
        <v>0</v>
      </c>
      <c r="Q379">
        <v>0</v>
      </c>
      <c r="R379">
        <v>0</v>
      </c>
      <c r="S379">
        <v>1</v>
      </c>
      <c r="T379">
        <v>0</v>
      </c>
      <c r="U379">
        <v>4</v>
      </c>
      <c r="V379">
        <v>5509</v>
      </c>
      <c r="W379" t="s">
        <v>6118</v>
      </c>
      <c r="X379" t="s">
        <v>6187</v>
      </c>
      <c r="Y379" t="s">
        <v>6188</v>
      </c>
      <c r="AA379" t="s">
        <v>3815</v>
      </c>
      <c r="AB379" t="s">
        <v>6368</v>
      </c>
      <c r="AC379" t="s">
        <v>6369</v>
      </c>
      <c r="AD379" t="s">
        <v>6370</v>
      </c>
      <c r="AK379" t="s">
        <v>6003</v>
      </c>
    </row>
    <row r="380" spans="1:37" x14ac:dyDescent="0.3">
      <c r="A380" t="s">
        <v>6176</v>
      </c>
      <c r="B380">
        <v>38</v>
      </c>
      <c r="C380" t="s">
        <v>6268</v>
      </c>
      <c r="D380" s="1032">
        <v>45676</v>
      </c>
      <c r="E380" t="s">
        <v>6179</v>
      </c>
      <c r="F380" t="s">
        <v>17</v>
      </c>
      <c r="G380" t="s">
        <v>6113</v>
      </c>
      <c r="H380" t="s">
        <v>16</v>
      </c>
      <c r="I380">
        <v>3</v>
      </c>
      <c r="J380">
        <v>2</v>
      </c>
      <c r="K380">
        <v>3</v>
      </c>
      <c r="L380">
        <v>2</v>
      </c>
      <c r="M380">
        <v>2</v>
      </c>
      <c r="N380">
        <v>14</v>
      </c>
      <c r="O380">
        <v>71</v>
      </c>
      <c r="P380">
        <v>1</v>
      </c>
      <c r="Q380">
        <v>0</v>
      </c>
      <c r="R380">
        <v>2</v>
      </c>
      <c r="S380">
        <v>0</v>
      </c>
      <c r="T380">
        <v>7</v>
      </c>
      <c r="U380">
        <v>3</v>
      </c>
      <c r="V380">
        <v>5070</v>
      </c>
      <c r="W380" t="s">
        <v>6100</v>
      </c>
      <c r="X380" t="s">
        <v>6189</v>
      </c>
      <c r="Y380" t="s">
        <v>6188</v>
      </c>
      <c r="AA380" t="s">
        <v>4210</v>
      </c>
      <c r="AB380" t="s">
        <v>6371</v>
      </c>
      <c r="AC380" t="s">
        <v>6372</v>
      </c>
      <c r="AD380" t="s">
        <v>6373</v>
      </c>
      <c r="AK380" t="s">
        <v>6004</v>
      </c>
    </row>
    <row r="381" spans="1:37" x14ac:dyDescent="0.3">
      <c r="A381" t="s">
        <v>6176</v>
      </c>
      <c r="B381">
        <v>39</v>
      </c>
      <c r="C381" t="s">
        <v>6269</v>
      </c>
      <c r="D381" s="1032">
        <v>45681</v>
      </c>
      <c r="E381" t="s">
        <v>334</v>
      </c>
      <c r="F381" t="s">
        <v>17</v>
      </c>
      <c r="G381" t="s">
        <v>6102</v>
      </c>
      <c r="H381" t="s">
        <v>743</v>
      </c>
      <c r="I381">
        <v>1</v>
      </c>
      <c r="J381">
        <v>3</v>
      </c>
      <c r="K381">
        <v>1</v>
      </c>
      <c r="L381">
        <v>2</v>
      </c>
      <c r="M381">
        <v>3</v>
      </c>
      <c r="N381">
        <v>11</v>
      </c>
      <c r="O381">
        <v>71</v>
      </c>
      <c r="P381">
        <v>0</v>
      </c>
      <c r="Q381">
        <v>0</v>
      </c>
      <c r="R381">
        <v>0</v>
      </c>
      <c r="S381">
        <v>0</v>
      </c>
      <c r="T381">
        <v>3</v>
      </c>
      <c r="U381">
        <v>2</v>
      </c>
      <c r="V381">
        <v>4520</v>
      </c>
      <c r="W381" t="s">
        <v>6188</v>
      </c>
      <c r="X381" t="s">
        <v>6171</v>
      </c>
      <c r="Y381" t="s">
        <v>6187</v>
      </c>
      <c r="AA381" t="s">
        <v>3377</v>
      </c>
      <c r="AB381" t="s">
        <v>6374</v>
      </c>
      <c r="AK381" t="s">
        <v>6005</v>
      </c>
    </row>
    <row r="382" spans="1:37" x14ac:dyDescent="0.3">
      <c r="A382" t="s">
        <v>6176</v>
      </c>
      <c r="B382">
        <v>40</v>
      </c>
      <c r="C382" t="s">
        <v>6270</v>
      </c>
      <c r="D382" s="1032">
        <v>45683</v>
      </c>
      <c r="E382" t="s">
        <v>1274</v>
      </c>
      <c r="F382" t="s">
        <v>16</v>
      </c>
      <c r="G382" t="s">
        <v>171</v>
      </c>
      <c r="H382" t="s">
        <v>794</v>
      </c>
      <c r="I382">
        <v>2</v>
      </c>
      <c r="J382">
        <v>3</v>
      </c>
      <c r="K382">
        <v>2</v>
      </c>
      <c r="L382">
        <v>2</v>
      </c>
      <c r="M382">
        <v>3</v>
      </c>
      <c r="N382">
        <v>12</v>
      </c>
      <c r="O382">
        <v>72</v>
      </c>
      <c r="P382">
        <v>0</v>
      </c>
      <c r="Q382">
        <v>0</v>
      </c>
      <c r="R382">
        <v>0</v>
      </c>
      <c r="S382">
        <v>0</v>
      </c>
      <c r="T382">
        <v>4</v>
      </c>
      <c r="U382">
        <v>5</v>
      </c>
      <c r="V382">
        <v>4617</v>
      </c>
      <c r="W382" t="s">
        <v>6187</v>
      </c>
      <c r="X382" t="s">
        <v>6120</v>
      </c>
      <c r="Y382" t="s">
        <v>6189</v>
      </c>
      <c r="Z382" t="s">
        <v>3213</v>
      </c>
      <c r="AA382" t="s">
        <v>5867</v>
      </c>
      <c r="AB382" t="s">
        <v>6375</v>
      </c>
      <c r="AC382" t="s">
        <v>6376</v>
      </c>
      <c r="AK382" t="s">
        <v>6008</v>
      </c>
    </row>
    <row r="383" spans="1:37" x14ac:dyDescent="0.3">
      <c r="A383" t="s">
        <v>6176</v>
      </c>
      <c r="B383">
        <v>41</v>
      </c>
      <c r="C383" t="s">
        <v>6271</v>
      </c>
      <c r="D383" s="1032">
        <v>45685</v>
      </c>
      <c r="E383" t="s">
        <v>331</v>
      </c>
      <c r="F383" t="s">
        <v>17</v>
      </c>
      <c r="G383" t="s">
        <v>6104</v>
      </c>
      <c r="H383" t="s">
        <v>743</v>
      </c>
      <c r="I383">
        <v>2</v>
      </c>
      <c r="J383">
        <v>5</v>
      </c>
      <c r="K383">
        <v>2</v>
      </c>
      <c r="L383">
        <v>5</v>
      </c>
      <c r="M383">
        <v>3</v>
      </c>
      <c r="N383">
        <v>9</v>
      </c>
      <c r="O383">
        <v>72</v>
      </c>
      <c r="P383">
        <v>1</v>
      </c>
      <c r="Q383">
        <v>0</v>
      </c>
      <c r="R383">
        <v>2</v>
      </c>
      <c r="S383">
        <v>0</v>
      </c>
      <c r="T383">
        <v>8</v>
      </c>
      <c r="U383">
        <v>4</v>
      </c>
      <c r="V383">
        <v>3725</v>
      </c>
      <c r="W383" t="s">
        <v>6187</v>
      </c>
      <c r="X383" t="s">
        <v>6171</v>
      </c>
      <c r="Y383" t="s">
        <v>6097</v>
      </c>
      <c r="AA383" t="s">
        <v>5723</v>
      </c>
      <c r="AB383" t="s">
        <v>6377</v>
      </c>
      <c r="AC383" t="s">
        <v>6378</v>
      </c>
      <c r="AK383" t="s">
        <v>6009</v>
      </c>
    </row>
    <row r="384" spans="1:37" x14ac:dyDescent="0.3">
      <c r="A384" t="s">
        <v>6176</v>
      </c>
      <c r="B384">
        <v>42</v>
      </c>
      <c r="C384" t="s">
        <v>6272</v>
      </c>
      <c r="D384" s="1032">
        <v>45688</v>
      </c>
      <c r="E384" t="s">
        <v>332</v>
      </c>
      <c r="F384" t="s">
        <v>16</v>
      </c>
      <c r="G384" t="s">
        <v>6079</v>
      </c>
      <c r="H384" t="s">
        <v>743</v>
      </c>
      <c r="I384">
        <v>0</v>
      </c>
      <c r="J384">
        <v>3</v>
      </c>
      <c r="K384">
        <v>0</v>
      </c>
      <c r="L384">
        <v>3</v>
      </c>
      <c r="M384">
        <v>3</v>
      </c>
      <c r="N384">
        <v>9</v>
      </c>
      <c r="O384">
        <v>72</v>
      </c>
      <c r="P384">
        <v>0</v>
      </c>
      <c r="Q384">
        <v>0</v>
      </c>
      <c r="R384">
        <v>0</v>
      </c>
      <c r="S384">
        <v>1</v>
      </c>
      <c r="T384">
        <v>3</v>
      </c>
      <c r="U384">
        <v>3</v>
      </c>
      <c r="V384">
        <v>3696</v>
      </c>
      <c r="W384" t="s">
        <v>6188</v>
      </c>
      <c r="X384" t="s">
        <v>6171</v>
      </c>
      <c r="Y384" t="s">
        <v>6189</v>
      </c>
      <c r="AA384" t="s">
        <v>6079</v>
      </c>
      <c r="AB384" t="s">
        <v>515</v>
      </c>
      <c r="AK384" t="s">
        <v>6010</v>
      </c>
    </row>
    <row r="385" spans="1:37" x14ac:dyDescent="0.3">
      <c r="A385" t="s">
        <v>6176</v>
      </c>
      <c r="B385">
        <v>43</v>
      </c>
      <c r="C385" t="s">
        <v>6273</v>
      </c>
      <c r="D385" s="1032">
        <v>45690</v>
      </c>
      <c r="E385" t="s">
        <v>610</v>
      </c>
      <c r="F385" t="s">
        <v>17</v>
      </c>
      <c r="G385" t="s">
        <v>6192</v>
      </c>
      <c r="H385" t="s">
        <v>16</v>
      </c>
      <c r="I385">
        <v>4</v>
      </c>
      <c r="J385">
        <v>3</v>
      </c>
      <c r="K385">
        <v>4</v>
      </c>
      <c r="L385">
        <v>3</v>
      </c>
      <c r="M385">
        <v>3</v>
      </c>
      <c r="N385">
        <v>9</v>
      </c>
      <c r="O385">
        <v>75</v>
      </c>
      <c r="P385">
        <v>0</v>
      </c>
      <c r="Q385">
        <v>0</v>
      </c>
      <c r="R385">
        <v>0</v>
      </c>
      <c r="S385">
        <v>1</v>
      </c>
      <c r="T385">
        <v>2</v>
      </c>
      <c r="U385">
        <v>3</v>
      </c>
      <c r="V385">
        <v>4242</v>
      </c>
      <c r="W385" t="s">
        <v>6188</v>
      </c>
      <c r="X385" t="s">
        <v>6118</v>
      </c>
      <c r="Y385" t="s">
        <v>6194</v>
      </c>
      <c r="AA385" t="s">
        <v>6007</v>
      </c>
      <c r="AB385" t="s">
        <v>6379</v>
      </c>
      <c r="AC385" t="s">
        <v>6380</v>
      </c>
      <c r="AD385" t="s">
        <v>6381</v>
      </c>
      <c r="AE385" t="s">
        <v>6382</v>
      </c>
      <c r="AK385" t="s">
        <v>6011</v>
      </c>
    </row>
    <row r="386" spans="1:37" x14ac:dyDescent="0.3">
      <c r="A386" t="s">
        <v>6176</v>
      </c>
      <c r="B386">
        <v>44</v>
      </c>
      <c r="C386" t="s">
        <v>6274</v>
      </c>
      <c r="D386" s="1032">
        <v>45700</v>
      </c>
      <c r="E386" t="s">
        <v>6076</v>
      </c>
      <c r="F386" t="s">
        <v>16</v>
      </c>
      <c r="G386" t="s">
        <v>6205</v>
      </c>
      <c r="H386" t="s">
        <v>743</v>
      </c>
      <c r="I386">
        <v>4</v>
      </c>
      <c r="J386">
        <v>6</v>
      </c>
      <c r="K386">
        <v>4</v>
      </c>
      <c r="L386">
        <v>5</v>
      </c>
      <c r="M386">
        <v>3</v>
      </c>
      <c r="N386">
        <v>9</v>
      </c>
      <c r="O386">
        <v>75</v>
      </c>
      <c r="P386">
        <v>2</v>
      </c>
      <c r="Q386">
        <v>0</v>
      </c>
      <c r="R386">
        <v>0</v>
      </c>
      <c r="S386">
        <v>2</v>
      </c>
      <c r="T386">
        <v>3</v>
      </c>
      <c r="U386">
        <v>4</v>
      </c>
      <c r="V386">
        <v>3512</v>
      </c>
      <c r="W386" t="s">
        <v>6171</v>
      </c>
      <c r="X386" t="s">
        <v>6194</v>
      </c>
      <c r="Y386" t="s">
        <v>6194</v>
      </c>
      <c r="AA386" t="s">
        <v>6012</v>
      </c>
      <c r="AB386" t="s">
        <v>6383</v>
      </c>
      <c r="AC386" t="s">
        <v>6384</v>
      </c>
      <c r="AD386" t="s">
        <v>6385</v>
      </c>
      <c r="AE386" t="s">
        <v>6386</v>
      </c>
      <c r="AK386" t="s">
        <v>6013</v>
      </c>
    </row>
    <row r="387" spans="1:37" x14ac:dyDescent="0.3">
      <c r="A387" t="s">
        <v>6176</v>
      </c>
      <c r="B387">
        <v>45</v>
      </c>
      <c r="C387" t="s">
        <v>6275</v>
      </c>
      <c r="D387" s="1032">
        <v>45702</v>
      </c>
      <c r="E387" t="s">
        <v>626</v>
      </c>
      <c r="F387" t="s">
        <v>17</v>
      </c>
      <c r="G387" t="s">
        <v>6171</v>
      </c>
      <c r="H387" t="s">
        <v>743</v>
      </c>
      <c r="I387">
        <v>0</v>
      </c>
      <c r="J387">
        <v>2</v>
      </c>
      <c r="K387">
        <v>0</v>
      </c>
      <c r="L387">
        <v>2</v>
      </c>
      <c r="M387">
        <v>3</v>
      </c>
      <c r="N387">
        <v>6</v>
      </c>
      <c r="O387">
        <v>75</v>
      </c>
      <c r="P387">
        <v>0</v>
      </c>
      <c r="Q387">
        <v>0</v>
      </c>
      <c r="R387">
        <v>0</v>
      </c>
      <c r="S387">
        <v>2</v>
      </c>
      <c r="T387">
        <v>4</v>
      </c>
      <c r="U387">
        <v>5</v>
      </c>
      <c r="V387">
        <v>3834</v>
      </c>
      <c r="W387" t="s">
        <v>6188</v>
      </c>
      <c r="X387" t="s">
        <v>6189</v>
      </c>
      <c r="Y387" t="s">
        <v>6189</v>
      </c>
      <c r="AA387" t="s">
        <v>6171</v>
      </c>
      <c r="AB387" t="s">
        <v>515</v>
      </c>
      <c r="AK387" t="s">
        <v>6014</v>
      </c>
    </row>
    <row r="388" spans="1:37" x14ac:dyDescent="0.3">
      <c r="A388" t="s">
        <v>6176</v>
      </c>
      <c r="B388">
        <v>46</v>
      </c>
      <c r="C388" t="s">
        <v>6276</v>
      </c>
      <c r="D388" s="1032">
        <v>45704</v>
      </c>
      <c r="E388" t="s">
        <v>6091</v>
      </c>
      <c r="F388" t="s">
        <v>16</v>
      </c>
      <c r="G388" t="s">
        <v>6084</v>
      </c>
      <c r="H388" t="s">
        <v>743</v>
      </c>
      <c r="I388">
        <v>1</v>
      </c>
      <c r="J388">
        <v>5</v>
      </c>
      <c r="K388">
        <v>1</v>
      </c>
      <c r="L388">
        <v>5</v>
      </c>
      <c r="M388">
        <v>3</v>
      </c>
      <c r="N388">
        <v>6</v>
      </c>
      <c r="O388">
        <v>75</v>
      </c>
      <c r="P388">
        <v>0</v>
      </c>
      <c r="Q388">
        <v>0</v>
      </c>
      <c r="R388">
        <v>0</v>
      </c>
      <c r="S388">
        <v>0</v>
      </c>
      <c r="T388">
        <v>3</v>
      </c>
      <c r="U388">
        <v>2</v>
      </c>
      <c r="V388">
        <v>6295</v>
      </c>
      <c r="W388" t="s">
        <v>6189</v>
      </c>
      <c r="X388" t="s">
        <v>6171</v>
      </c>
      <c r="Y388" t="s">
        <v>6097</v>
      </c>
      <c r="AA388" t="s">
        <v>4449</v>
      </c>
      <c r="AB388" t="s">
        <v>6387</v>
      </c>
      <c r="AK388" t="s">
        <v>6016</v>
      </c>
    </row>
    <row r="389" spans="1:37" x14ac:dyDescent="0.3">
      <c r="A389" t="s">
        <v>6176</v>
      </c>
      <c r="B389">
        <v>47</v>
      </c>
      <c r="C389" t="s">
        <v>6277</v>
      </c>
      <c r="D389" s="1032">
        <v>45709</v>
      </c>
      <c r="E389" t="s">
        <v>327</v>
      </c>
      <c r="F389" t="s">
        <v>17</v>
      </c>
      <c r="G389" t="s">
        <v>6104</v>
      </c>
      <c r="H389" t="s">
        <v>743</v>
      </c>
      <c r="I389">
        <v>2</v>
      </c>
      <c r="J389">
        <v>5</v>
      </c>
      <c r="K389">
        <v>2</v>
      </c>
      <c r="L389">
        <v>4</v>
      </c>
      <c r="M389">
        <v>5</v>
      </c>
      <c r="N389">
        <v>3</v>
      </c>
      <c r="O389">
        <v>75</v>
      </c>
      <c r="P389">
        <v>1</v>
      </c>
      <c r="Q389">
        <v>0</v>
      </c>
      <c r="R389">
        <v>0</v>
      </c>
      <c r="S389">
        <v>1</v>
      </c>
      <c r="T389">
        <v>2</v>
      </c>
      <c r="U389">
        <v>1</v>
      </c>
      <c r="V389">
        <v>5225</v>
      </c>
      <c r="W389" t="s">
        <v>6089</v>
      </c>
      <c r="X389" t="s">
        <v>6171</v>
      </c>
      <c r="Y389" t="s">
        <v>6079</v>
      </c>
      <c r="AA389" t="s">
        <v>6015</v>
      </c>
      <c r="AB389" t="s">
        <v>6388</v>
      </c>
      <c r="AC389" t="s">
        <v>6389</v>
      </c>
      <c r="AK389" t="s">
        <v>6017</v>
      </c>
    </row>
    <row r="390" spans="1:37" x14ac:dyDescent="0.3">
      <c r="A390" t="s">
        <v>6176</v>
      </c>
      <c r="B390">
        <v>48</v>
      </c>
      <c r="C390" t="s">
        <v>6278</v>
      </c>
      <c r="D390" s="1032">
        <v>45711</v>
      </c>
      <c r="E390" t="s">
        <v>6086</v>
      </c>
      <c r="F390" t="s">
        <v>17</v>
      </c>
      <c r="G390" t="s">
        <v>6120</v>
      </c>
      <c r="H390" t="s">
        <v>16</v>
      </c>
      <c r="I390">
        <v>1</v>
      </c>
      <c r="J390">
        <v>0</v>
      </c>
      <c r="K390">
        <v>1</v>
      </c>
      <c r="L390">
        <v>0</v>
      </c>
      <c r="M390">
        <v>4</v>
      </c>
      <c r="N390">
        <v>3</v>
      </c>
      <c r="O390">
        <v>78</v>
      </c>
      <c r="P390">
        <v>0</v>
      </c>
      <c r="Q390">
        <v>0</v>
      </c>
      <c r="R390">
        <v>0</v>
      </c>
      <c r="S390">
        <v>0</v>
      </c>
      <c r="T390">
        <v>2</v>
      </c>
      <c r="U390">
        <v>1</v>
      </c>
      <c r="V390">
        <v>3950</v>
      </c>
      <c r="W390" t="s">
        <v>6188</v>
      </c>
      <c r="X390" t="s">
        <v>6188</v>
      </c>
      <c r="Y390" t="s">
        <v>6120</v>
      </c>
      <c r="AA390" t="s">
        <v>6120</v>
      </c>
      <c r="AB390" t="s">
        <v>6390</v>
      </c>
      <c r="AK390" t="s">
        <v>6019</v>
      </c>
    </row>
    <row r="391" spans="1:37" x14ac:dyDescent="0.3">
      <c r="A391" t="s">
        <v>6176</v>
      </c>
      <c r="B391">
        <v>49</v>
      </c>
      <c r="C391" t="s">
        <v>6279</v>
      </c>
      <c r="D391" s="1032">
        <v>45713</v>
      </c>
      <c r="E391" t="s">
        <v>325</v>
      </c>
      <c r="F391" t="s">
        <v>16</v>
      </c>
      <c r="G391" t="s">
        <v>6084</v>
      </c>
      <c r="H391" t="s">
        <v>743</v>
      </c>
      <c r="I391">
        <v>1</v>
      </c>
      <c r="J391">
        <v>5</v>
      </c>
      <c r="K391">
        <v>1</v>
      </c>
      <c r="L391">
        <v>5</v>
      </c>
      <c r="M391">
        <v>5</v>
      </c>
      <c r="N391">
        <v>3</v>
      </c>
      <c r="O391">
        <v>78</v>
      </c>
      <c r="P391">
        <v>1</v>
      </c>
      <c r="Q391">
        <v>0</v>
      </c>
      <c r="R391">
        <v>0</v>
      </c>
      <c r="S391">
        <v>0</v>
      </c>
      <c r="T391">
        <v>3</v>
      </c>
      <c r="U391">
        <v>5</v>
      </c>
      <c r="V391">
        <v>16095</v>
      </c>
      <c r="W391" t="s">
        <v>6189</v>
      </c>
      <c r="X391" t="s">
        <v>6097</v>
      </c>
      <c r="Y391" t="s">
        <v>6171</v>
      </c>
      <c r="AA391" t="s">
        <v>4449</v>
      </c>
      <c r="AB391" t="s">
        <v>6391</v>
      </c>
      <c r="AK391" t="s">
        <v>6020</v>
      </c>
    </row>
    <row r="392" spans="1:37" x14ac:dyDescent="0.3">
      <c r="A392" t="s">
        <v>6176</v>
      </c>
      <c r="B392">
        <v>50</v>
      </c>
      <c r="C392" t="s">
        <v>6280</v>
      </c>
      <c r="D392" s="1032">
        <v>45716</v>
      </c>
      <c r="E392" t="s">
        <v>328</v>
      </c>
      <c r="F392" t="s">
        <v>16</v>
      </c>
      <c r="G392" t="s">
        <v>352</v>
      </c>
      <c r="H392" t="s">
        <v>793</v>
      </c>
      <c r="I392">
        <v>3</v>
      </c>
      <c r="J392">
        <v>2</v>
      </c>
      <c r="K392">
        <v>2</v>
      </c>
      <c r="L392">
        <v>2</v>
      </c>
      <c r="M392">
        <v>5</v>
      </c>
      <c r="N392">
        <v>5</v>
      </c>
      <c r="O392">
        <v>80</v>
      </c>
      <c r="P392">
        <v>0</v>
      </c>
      <c r="Q392">
        <v>0</v>
      </c>
      <c r="R392">
        <v>0</v>
      </c>
      <c r="S392">
        <v>1</v>
      </c>
      <c r="T392">
        <v>1</v>
      </c>
      <c r="U392">
        <v>4</v>
      </c>
      <c r="V392">
        <v>5672</v>
      </c>
      <c r="W392" t="s">
        <v>6120</v>
      </c>
      <c r="X392" t="s">
        <v>6189</v>
      </c>
      <c r="Y392" t="s">
        <v>6187</v>
      </c>
      <c r="Z392" t="s">
        <v>355</v>
      </c>
      <c r="AA392" t="s">
        <v>6021</v>
      </c>
      <c r="AB392" t="s">
        <v>6392</v>
      </c>
      <c r="AC392" t="s">
        <v>6393</v>
      </c>
      <c r="AJ392" t="s">
        <v>6394</v>
      </c>
      <c r="AK392" t="s">
        <v>6022</v>
      </c>
    </row>
    <row r="393" spans="1:37" x14ac:dyDescent="0.3">
      <c r="A393" t="s">
        <v>6176</v>
      </c>
      <c r="B393">
        <v>51</v>
      </c>
      <c r="C393" t="s">
        <v>6281</v>
      </c>
      <c r="D393" s="1032">
        <v>45718</v>
      </c>
      <c r="E393" t="s">
        <v>6179</v>
      </c>
      <c r="F393" t="s">
        <v>16</v>
      </c>
      <c r="G393" t="s">
        <v>6128</v>
      </c>
      <c r="H393" t="s">
        <v>743</v>
      </c>
      <c r="I393">
        <v>1</v>
      </c>
      <c r="J393">
        <v>4</v>
      </c>
      <c r="K393">
        <v>1</v>
      </c>
      <c r="L393">
        <v>3</v>
      </c>
      <c r="M393">
        <v>6</v>
      </c>
      <c r="N393">
        <v>5</v>
      </c>
      <c r="O393">
        <v>80</v>
      </c>
      <c r="P393">
        <v>0</v>
      </c>
      <c r="Q393">
        <v>1</v>
      </c>
      <c r="R393">
        <v>0</v>
      </c>
      <c r="S393">
        <v>1</v>
      </c>
      <c r="T393">
        <v>3</v>
      </c>
      <c r="U393">
        <v>4</v>
      </c>
      <c r="V393">
        <v>7700</v>
      </c>
      <c r="W393" t="s">
        <v>6171</v>
      </c>
      <c r="X393" t="s">
        <v>6187</v>
      </c>
      <c r="Y393" t="s">
        <v>6189</v>
      </c>
      <c r="AA393" t="s">
        <v>4444</v>
      </c>
      <c r="AB393" t="s">
        <v>6395</v>
      </c>
      <c r="AK393" t="s">
        <v>6023</v>
      </c>
    </row>
    <row r="394" spans="1:37" x14ac:dyDescent="0.3">
      <c r="A394" t="s">
        <v>6176</v>
      </c>
      <c r="B394">
        <v>52</v>
      </c>
      <c r="C394" t="s">
        <v>6282</v>
      </c>
      <c r="D394" s="1032">
        <v>45720</v>
      </c>
      <c r="E394" t="s">
        <v>334</v>
      </c>
      <c r="F394" t="s">
        <v>17</v>
      </c>
      <c r="G394" t="s">
        <v>6102</v>
      </c>
      <c r="H394" t="s">
        <v>743</v>
      </c>
      <c r="I394">
        <v>1</v>
      </c>
      <c r="J394">
        <v>3</v>
      </c>
      <c r="K394">
        <v>1</v>
      </c>
      <c r="L394">
        <v>2</v>
      </c>
      <c r="M394">
        <v>7</v>
      </c>
      <c r="N394">
        <v>2</v>
      </c>
      <c r="O394">
        <v>80</v>
      </c>
      <c r="P394">
        <v>1</v>
      </c>
      <c r="Q394">
        <v>0</v>
      </c>
      <c r="R394">
        <v>0</v>
      </c>
      <c r="S394">
        <v>0</v>
      </c>
      <c r="T394">
        <v>4</v>
      </c>
      <c r="U394">
        <v>1</v>
      </c>
      <c r="V394">
        <v>3642</v>
      </c>
      <c r="W394" t="s">
        <v>6189</v>
      </c>
      <c r="X394" t="s">
        <v>6187</v>
      </c>
      <c r="Y394" t="s">
        <v>6189</v>
      </c>
      <c r="AA394" t="s">
        <v>3307</v>
      </c>
      <c r="AB394" t="s">
        <v>6396</v>
      </c>
      <c r="AK394" t="s">
        <v>6024</v>
      </c>
    </row>
    <row r="395" spans="1:37" x14ac:dyDescent="0.3">
      <c r="A395" t="s">
        <v>6176</v>
      </c>
      <c r="B395">
        <v>53</v>
      </c>
      <c r="C395" t="s">
        <v>336</v>
      </c>
      <c r="D395" s="1032">
        <v>45723</v>
      </c>
      <c r="E395" t="s">
        <v>334</v>
      </c>
      <c r="F395" t="s">
        <v>17</v>
      </c>
      <c r="G395" t="s">
        <v>160</v>
      </c>
      <c r="H395" t="s">
        <v>793</v>
      </c>
      <c r="I395">
        <v>2</v>
      </c>
      <c r="J395">
        <v>1</v>
      </c>
      <c r="K395">
        <v>1</v>
      </c>
      <c r="L395">
        <v>1</v>
      </c>
      <c r="P395">
        <v>1</v>
      </c>
      <c r="Q395">
        <v>0</v>
      </c>
      <c r="R395">
        <v>0</v>
      </c>
      <c r="S395">
        <v>0</v>
      </c>
      <c r="T395">
        <v>7</v>
      </c>
      <c r="U395">
        <v>6</v>
      </c>
      <c r="V395">
        <v>4310</v>
      </c>
      <c r="W395" t="s">
        <v>6189</v>
      </c>
      <c r="X395" t="s">
        <v>6120</v>
      </c>
      <c r="Y395" t="s">
        <v>6188</v>
      </c>
      <c r="Z395" t="s">
        <v>756</v>
      </c>
      <c r="AA395" t="s">
        <v>6025</v>
      </c>
      <c r="AB395" t="s">
        <v>6346</v>
      </c>
      <c r="AC395" t="s">
        <v>6347</v>
      </c>
      <c r="AK395" t="s">
        <v>6026</v>
      </c>
    </row>
    <row r="396" spans="1:37" x14ac:dyDescent="0.3">
      <c r="A396" t="s">
        <v>6176</v>
      </c>
      <c r="B396">
        <v>54</v>
      </c>
      <c r="C396" t="s">
        <v>336</v>
      </c>
      <c r="D396" s="1032">
        <v>45724</v>
      </c>
      <c r="E396" t="s">
        <v>334</v>
      </c>
      <c r="F396" t="s">
        <v>17</v>
      </c>
      <c r="G396" t="s">
        <v>6082</v>
      </c>
      <c r="H396" t="s">
        <v>743</v>
      </c>
      <c r="I396">
        <v>2</v>
      </c>
      <c r="J396">
        <v>4</v>
      </c>
      <c r="K396">
        <v>2</v>
      </c>
      <c r="L396">
        <v>3</v>
      </c>
      <c r="P396">
        <v>0</v>
      </c>
      <c r="Q396">
        <v>0</v>
      </c>
      <c r="R396">
        <v>0</v>
      </c>
      <c r="S396">
        <v>1</v>
      </c>
      <c r="T396">
        <v>3</v>
      </c>
      <c r="U396">
        <v>3</v>
      </c>
      <c r="V396">
        <v>4603</v>
      </c>
      <c r="W396" t="s">
        <v>6120</v>
      </c>
      <c r="X396" t="s">
        <v>6102</v>
      </c>
      <c r="Y396" t="s">
        <v>6189</v>
      </c>
      <c r="AA396" t="s">
        <v>4209</v>
      </c>
      <c r="AB396" t="s">
        <v>6348</v>
      </c>
      <c r="AC396" t="s">
        <v>6349</v>
      </c>
      <c r="AK396" t="s">
        <v>6226</v>
      </c>
    </row>
    <row r="397" spans="1:37" x14ac:dyDescent="0.3">
      <c r="A397" t="s">
        <v>6176</v>
      </c>
      <c r="B397">
        <v>55</v>
      </c>
      <c r="C397" t="s">
        <v>336</v>
      </c>
      <c r="D397" s="1032">
        <v>45726</v>
      </c>
      <c r="E397" t="s">
        <v>334</v>
      </c>
      <c r="F397" t="s">
        <v>16</v>
      </c>
      <c r="G397" t="s">
        <v>6146</v>
      </c>
      <c r="H397" t="s">
        <v>743</v>
      </c>
      <c r="I397">
        <v>2</v>
      </c>
      <c r="J397">
        <v>3</v>
      </c>
      <c r="K397">
        <v>2</v>
      </c>
      <c r="L397">
        <v>3</v>
      </c>
      <c r="P397">
        <v>1</v>
      </c>
      <c r="Q397">
        <v>0</v>
      </c>
      <c r="R397">
        <v>0</v>
      </c>
      <c r="S397">
        <v>1</v>
      </c>
      <c r="T397">
        <v>3</v>
      </c>
      <c r="U397">
        <v>3</v>
      </c>
      <c r="V397">
        <v>5365</v>
      </c>
      <c r="W397" t="s">
        <v>6189</v>
      </c>
      <c r="X397" t="s">
        <v>6194</v>
      </c>
      <c r="Y397" t="s">
        <v>6171</v>
      </c>
      <c r="AA397" t="s">
        <v>3061</v>
      </c>
      <c r="AB397" t="s">
        <v>6350</v>
      </c>
      <c r="AC397" t="s">
        <v>6351</v>
      </c>
      <c r="AK397" t="s">
        <v>6227</v>
      </c>
    </row>
    <row r="398" spans="1:37" x14ac:dyDescent="0.3">
      <c r="A398" t="s">
        <v>6176</v>
      </c>
      <c r="B398">
        <v>56</v>
      </c>
      <c r="C398" t="s">
        <v>336</v>
      </c>
      <c r="D398" s="1032">
        <v>45727</v>
      </c>
      <c r="E398" t="s">
        <v>334</v>
      </c>
      <c r="F398" t="s">
        <v>16</v>
      </c>
      <c r="G398" t="s">
        <v>6128</v>
      </c>
      <c r="H398" t="s">
        <v>743</v>
      </c>
      <c r="I398">
        <v>1</v>
      </c>
      <c r="J398">
        <v>4</v>
      </c>
      <c r="K398">
        <v>1</v>
      </c>
      <c r="L398">
        <v>3</v>
      </c>
      <c r="P398">
        <v>0</v>
      </c>
      <c r="Q398">
        <v>0</v>
      </c>
      <c r="R398">
        <v>1</v>
      </c>
      <c r="S398">
        <v>1</v>
      </c>
      <c r="T398">
        <v>2</v>
      </c>
      <c r="U398">
        <v>2</v>
      </c>
      <c r="V398">
        <v>5400</v>
      </c>
      <c r="W398" t="s">
        <v>6188</v>
      </c>
      <c r="X398" t="s">
        <v>6097</v>
      </c>
      <c r="Y398" t="s">
        <v>6171</v>
      </c>
      <c r="AA398" t="s">
        <v>4444</v>
      </c>
      <c r="AB398" t="s">
        <v>6352</v>
      </c>
      <c r="AK398" t="s">
        <v>6228</v>
      </c>
    </row>
    <row r="399" spans="1:37" x14ac:dyDescent="0.3">
      <c r="A399" t="s">
        <v>6058</v>
      </c>
      <c r="B399">
        <v>1</v>
      </c>
      <c r="C399" t="s">
        <v>6284</v>
      </c>
      <c r="D399" s="1032">
        <v>45910</v>
      </c>
      <c r="E399" t="s">
        <v>6179</v>
      </c>
      <c r="F399" t="s">
        <v>16</v>
      </c>
      <c r="G399" t="s">
        <v>6082</v>
      </c>
      <c r="H399" t="s">
        <v>743</v>
      </c>
      <c r="I399">
        <v>2</v>
      </c>
      <c r="J399">
        <v>4</v>
      </c>
      <c r="K399">
        <v>2</v>
      </c>
      <c r="L399">
        <v>3</v>
      </c>
      <c r="M399">
        <v>10</v>
      </c>
      <c r="N399">
        <v>0</v>
      </c>
      <c r="O399">
        <v>0</v>
      </c>
      <c r="P399">
        <v>1</v>
      </c>
      <c r="Q399">
        <v>0</v>
      </c>
      <c r="R399">
        <v>0</v>
      </c>
      <c r="S399">
        <v>0</v>
      </c>
      <c r="T399">
        <v>5</v>
      </c>
      <c r="U399">
        <v>7</v>
      </c>
      <c r="V399">
        <v>6712</v>
      </c>
      <c r="W399" t="s">
        <v>6187</v>
      </c>
      <c r="X399" t="s">
        <v>6189</v>
      </c>
      <c r="Y399" t="s">
        <v>6097</v>
      </c>
      <c r="AA399" t="s">
        <v>5629</v>
      </c>
      <c r="AB399" t="s">
        <v>6047</v>
      </c>
      <c r="AC399" t="s">
        <v>6048</v>
      </c>
      <c r="AK399" t="s">
        <v>6041</v>
      </c>
    </row>
    <row r="400" spans="1:37" x14ac:dyDescent="0.3">
      <c r="A400" t="s">
        <v>6058</v>
      </c>
      <c r="B400">
        <v>2</v>
      </c>
      <c r="C400" t="s">
        <v>6233</v>
      </c>
      <c r="D400" s="1032">
        <v>45912</v>
      </c>
      <c r="E400" t="s">
        <v>6076</v>
      </c>
      <c r="F400" t="s">
        <v>17</v>
      </c>
      <c r="G400" t="s">
        <v>6077</v>
      </c>
      <c r="H400" t="s">
        <v>743</v>
      </c>
      <c r="I400">
        <v>0</v>
      </c>
      <c r="J400">
        <v>4</v>
      </c>
      <c r="K400">
        <v>0</v>
      </c>
      <c r="L400">
        <v>3</v>
      </c>
      <c r="M400">
        <v>12</v>
      </c>
      <c r="N400">
        <v>-3</v>
      </c>
      <c r="O400">
        <v>0</v>
      </c>
      <c r="P400">
        <v>0</v>
      </c>
      <c r="Q400">
        <v>0</v>
      </c>
      <c r="R400">
        <v>0</v>
      </c>
      <c r="S400">
        <v>1</v>
      </c>
      <c r="T400">
        <v>5</v>
      </c>
      <c r="U400">
        <v>6</v>
      </c>
      <c r="V400">
        <v>5010</v>
      </c>
      <c r="W400" t="s">
        <v>6188</v>
      </c>
      <c r="X400" t="s">
        <v>6189</v>
      </c>
      <c r="Y400" t="s">
        <v>6079</v>
      </c>
      <c r="AA400" t="s">
        <v>6077</v>
      </c>
      <c r="AB400" t="s">
        <v>515</v>
      </c>
      <c r="AK400" t="s">
        <v>6042</v>
      </c>
    </row>
    <row r="401" spans="1:37" x14ac:dyDescent="0.3">
      <c r="A401" t="s">
        <v>6058</v>
      </c>
      <c r="B401">
        <v>3</v>
      </c>
      <c r="C401" t="s">
        <v>6234</v>
      </c>
      <c r="D401" s="1032">
        <v>45914</v>
      </c>
      <c r="E401" t="s">
        <v>328</v>
      </c>
      <c r="F401" t="s">
        <v>17</v>
      </c>
      <c r="G401" t="s">
        <v>6079</v>
      </c>
      <c r="H401" t="s">
        <v>743</v>
      </c>
      <c r="I401">
        <v>0</v>
      </c>
      <c r="J401">
        <v>3</v>
      </c>
      <c r="K401">
        <v>0</v>
      </c>
      <c r="L401">
        <v>3</v>
      </c>
      <c r="M401">
        <v>14</v>
      </c>
      <c r="N401">
        <v>-6</v>
      </c>
      <c r="O401">
        <v>0</v>
      </c>
      <c r="P401">
        <v>0</v>
      </c>
      <c r="Q401">
        <v>0</v>
      </c>
      <c r="R401">
        <v>0</v>
      </c>
      <c r="S401">
        <v>1</v>
      </c>
      <c r="T401">
        <v>1</v>
      </c>
      <c r="U401">
        <v>3</v>
      </c>
      <c r="V401">
        <v>4525</v>
      </c>
      <c r="W401" t="s">
        <v>6188</v>
      </c>
      <c r="X401" t="s">
        <v>6189</v>
      </c>
      <c r="Y401" t="s">
        <v>6171</v>
      </c>
      <c r="AA401" t="s">
        <v>6079</v>
      </c>
      <c r="AB401" t="s">
        <v>515</v>
      </c>
      <c r="AK401" t="s">
        <v>6043</v>
      </c>
    </row>
    <row r="402" spans="1:37" x14ac:dyDescent="0.3">
      <c r="A402" t="s">
        <v>6058</v>
      </c>
      <c r="B402">
        <v>4</v>
      </c>
      <c r="C402" t="s">
        <v>6283</v>
      </c>
      <c r="D402" s="1032">
        <v>45916</v>
      </c>
      <c r="E402" t="s">
        <v>610</v>
      </c>
      <c r="F402" t="s">
        <v>16</v>
      </c>
      <c r="G402" t="s">
        <v>6073</v>
      </c>
      <c r="H402" t="s">
        <v>16</v>
      </c>
      <c r="I402">
        <v>4</v>
      </c>
      <c r="J402">
        <v>2</v>
      </c>
      <c r="K402">
        <v>4</v>
      </c>
      <c r="L402">
        <v>2</v>
      </c>
      <c r="M402">
        <v>13</v>
      </c>
      <c r="N402">
        <v>-3</v>
      </c>
      <c r="O402">
        <v>3</v>
      </c>
      <c r="P402">
        <v>1</v>
      </c>
      <c r="Q402">
        <v>0</v>
      </c>
      <c r="R402">
        <v>1</v>
      </c>
      <c r="S402">
        <v>0</v>
      </c>
      <c r="T402">
        <v>2</v>
      </c>
      <c r="U402">
        <v>7</v>
      </c>
      <c r="V402">
        <v>3562</v>
      </c>
      <c r="W402" t="s">
        <v>6120</v>
      </c>
      <c r="X402" t="s">
        <v>6118</v>
      </c>
      <c r="Y402" t="s">
        <v>6187</v>
      </c>
      <c r="AA402" t="s">
        <v>6045</v>
      </c>
      <c r="AB402" t="s">
        <v>6400</v>
      </c>
      <c r="AC402" t="s">
        <v>6401</v>
      </c>
      <c r="AD402" t="s">
        <v>6402</v>
      </c>
      <c r="AE402" t="s">
        <v>6403</v>
      </c>
      <c r="AJ402" t="s">
        <v>6044</v>
      </c>
      <c r="AK402" t="s">
        <v>6046</v>
      </c>
    </row>
    <row r="403" spans="1:37" x14ac:dyDescent="0.3">
      <c r="A403" t="s">
        <v>6058</v>
      </c>
      <c r="B403">
        <v>5</v>
      </c>
      <c r="C403" t="s">
        <v>6235</v>
      </c>
      <c r="D403" s="1032">
        <v>45919</v>
      </c>
      <c r="E403" t="s">
        <v>325</v>
      </c>
      <c r="F403" t="s">
        <v>17</v>
      </c>
      <c r="G403" t="s">
        <v>6084</v>
      </c>
      <c r="H403" t="s">
        <v>743</v>
      </c>
      <c r="I403">
        <v>1</v>
      </c>
      <c r="J403">
        <v>5</v>
      </c>
      <c r="K403">
        <v>1</v>
      </c>
      <c r="L403">
        <v>5</v>
      </c>
      <c r="M403">
        <v>13</v>
      </c>
      <c r="N403">
        <v>-6</v>
      </c>
      <c r="O403">
        <v>3</v>
      </c>
      <c r="P403">
        <v>1</v>
      </c>
      <c r="Q403">
        <v>0</v>
      </c>
      <c r="R403">
        <v>0</v>
      </c>
      <c r="S403">
        <v>1</v>
      </c>
      <c r="T403">
        <v>2</v>
      </c>
      <c r="U403">
        <v>2</v>
      </c>
      <c r="V403">
        <v>4907</v>
      </c>
      <c r="W403" t="s">
        <v>6079</v>
      </c>
      <c r="X403" t="s">
        <v>6187</v>
      </c>
      <c r="Y403" t="s">
        <v>6189</v>
      </c>
      <c r="AA403" t="s">
        <v>4449</v>
      </c>
      <c r="AB403" t="s">
        <v>6404</v>
      </c>
      <c r="AK403" t="s">
        <v>6302</v>
      </c>
    </row>
    <row r="404" spans="1:37" x14ac:dyDescent="0.3">
      <c r="A404" t="s">
        <v>6058</v>
      </c>
      <c r="B404">
        <v>6</v>
      </c>
      <c r="C404" t="s">
        <v>6236</v>
      </c>
      <c r="D404" s="1032">
        <v>45923</v>
      </c>
      <c r="E404" t="s">
        <v>6086</v>
      </c>
      <c r="F404" t="s">
        <v>17</v>
      </c>
      <c r="G404" t="s">
        <v>6073</v>
      </c>
      <c r="H404" t="s">
        <v>16</v>
      </c>
      <c r="I404">
        <v>4</v>
      </c>
      <c r="J404">
        <v>2</v>
      </c>
      <c r="K404">
        <v>3</v>
      </c>
      <c r="L404">
        <v>2</v>
      </c>
      <c r="M404">
        <v>12</v>
      </c>
      <c r="N404">
        <v>-6</v>
      </c>
      <c r="O404">
        <v>6</v>
      </c>
      <c r="P404">
        <v>0</v>
      </c>
      <c r="Q404">
        <v>0</v>
      </c>
      <c r="R404">
        <v>0</v>
      </c>
      <c r="S404">
        <v>0</v>
      </c>
      <c r="T404">
        <v>3</v>
      </c>
      <c r="U404">
        <v>3</v>
      </c>
      <c r="V404">
        <v>3023</v>
      </c>
      <c r="W404" t="s">
        <v>6188</v>
      </c>
      <c r="X404" t="s">
        <v>6118</v>
      </c>
      <c r="Y404" t="s">
        <v>6118</v>
      </c>
      <c r="AA404" t="s">
        <v>5837</v>
      </c>
      <c r="AB404" t="s">
        <v>6405</v>
      </c>
      <c r="AC404" t="s">
        <v>6406</v>
      </c>
      <c r="AD404" t="s">
        <v>6407</v>
      </c>
      <c r="AE404" t="s">
        <v>6419</v>
      </c>
      <c r="AK404" t="s">
        <v>6303</v>
      </c>
    </row>
    <row r="405" spans="1:37" x14ac:dyDescent="0.3">
      <c r="A405" t="s">
        <v>6058</v>
      </c>
      <c r="B405">
        <v>7</v>
      </c>
      <c r="C405" t="s">
        <v>6237</v>
      </c>
      <c r="D405" s="1032">
        <v>45926</v>
      </c>
      <c r="E405" t="s">
        <v>1274</v>
      </c>
      <c r="F405" t="s">
        <v>16</v>
      </c>
      <c r="G405" t="s">
        <v>6171</v>
      </c>
      <c r="H405" t="s">
        <v>743</v>
      </c>
      <c r="I405">
        <v>0</v>
      </c>
      <c r="J405">
        <v>2</v>
      </c>
      <c r="K405">
        <v>0</v>
      </c>
      <c r="L405">
        <v>2</v>
      </c>
      <c r="M405">
        <v>12</v>
      </c>
      <c r="N405">
        <v>-6</v>
      </c>
      <c r="O405">
        <v>6</v>
      </c>
      <c r="P405">
        <v>0</v>
      </c>
      <c r="Q405">
        <v>0</v>
      </c>
      <c r="R405">
        <v>0</v>
      </c>
      <c r="S405">
        <v>1</v>
      </c>
      <c r="T405">
        <v>2</v>
      </c>
      <c r="U405">
        <v>5</v>
      </c>
      <c r="V405">
        <v>3402</v>
      </c>
      <c r="W405" t="s">
        <v>6171</v>
      </c>
      <c r="X405" t="s">
        <v>6188</v>
      </c>
      <c r="Y405" t="s">
        <v>6188</v>
      </c>
      <c r="AA405" t="s">
        <v>6171</v>
      </c>
      <c r="AB405" t="s">
        <v>515</v>
      </c>
      <c r="AK405" t="s">
        <v>6304</v>
      </c>
    </row>
    <row r="406" spans="1:37" x14ac:dyDescent="0.3">
      <c r="A406" t="s">
        <v>6058</v>
      </c>
      <c r="B406">
        <v>8</v>
      </c>
      <c r="C406" t="s">
        <v>6238</v>
      </c>
      <c r="D406" s="1032">
        <v>45928</v>
      </c>
      <c r="E406" t="s">
        <v>6091</v>
      </c>
      <c r="F406" t="s">
        <v>17</v>
      </c>
      <c r="G406" t="s">
        <v>6092</v>
      </c>
      <c r="H406" t="s">
        <v>743</v>
      </c>
      <c r="I406">
        <v>3</v>
      </c>
      <c r="J406">
        <v>6</v>
      </c>
      <c r="K406">
        <v>3</v>
      </c>
      <c r="L406">
        <v>6</v>
      </c>
      <c r="M406">
        <v>13</v>
      </c>
      <c r="N406">
        <v>-9</v>
      </c>
      <c r="O406">
        <v>6</v>
      </c>
      <c r="P406">
        <v>0</v>
      </c>
      <c r="Q406">
        <v>0</v>
      </c>
      <c r="R406">
        <v>0</v>
      </c>
      <c r="S406">
        <v>1</v>
      </c>
      <c r="T406">
        <v>2</v>
      </c>
      <c r="U406">
        <v>2</v>
      </c>
      <c r="V406">
        <v>3457</v>
      </c>
      <c r="W406" t="s">
        <v>6118</v>
      </c>
      <c r="X406" t="s">
        <v>6128</v>
      </c>
      <c r="Y406" t="s">
        <v>6189</v>
      </c>
      <c r="AA406" t="s">
        <v>6306</v>
      </c>
      <c r="AB406" t="s">
        <v>6408</v>
      </c>
      <c r="AC406" t="s">
        <v>6409</v>
      </c>
      <c r="AD406" t="s">
        <v>6410</v>
      </c>
      <c r="AK406" t="s">
        <v>6305</v>
      </c>
    </row>
    <row r="407" spans="1:37" x14ac:dyDescent="0.3">
      <c r="A407" t="s">
        <v>6058</v>
      </c>
      <c r="B407">
        <v>9</v>
      </c>
      <c r="C407" t="s">
        <v>6239</v>
      </c>
      <c r="D407" s="1032">
        <v>45930</v>
      </c>
      <c r="E407" t="s">
        <v>327</v>
      </c>
      <c r="F407" t="s">
        <v>16</v>
      </c>
      <c r="G407" t="s">
        <v>589</v>
      </c>
      <c r="H407" t="s">
        <v>794</v>
      </c>
      <c r="I407">
        <v>1</v>
      </c>
      <c r="J407">
        <v>2</v>
      </c>
      <c r="K407">
        <v>1</v>
      </c>
      <c r="L407">
        <v>1</v>
      </c>
      <c r="M407">
        <v>13</v>
      </c>
      <c r="N407">
        <v>-8</v>
      </c>
      <c r="O407">
        <v>7</v>
      </c>
      <c r="P407">
        <v>0</v>
      </c>
      <c r="Q407">
        <v>0</v>
      </c>
      <c r="R407">
        <v>0</v>
      </c>
      <c r="S407">
        <v>1</v>
      </c>
      <c r="T407">
        <v>3</v>
      </c>
      <c r="U407">
        <v>4</v>
      </c>
      <c r="V407">
        <v>8523</v>
      </c>
      <c r="W407" t="s">
        <v>6188</v>
      </c>
      <c r="X407" t="s">
        <v>6189</v>
      </c>
      <c r="Y407" t="s">
        <v>6120</v>
      </c>
      <c r="Z407" t="s">
        <v>3213</v>
      </c>
      <c r="AA407" t="s">
        <v>3803</v>
      </c>
      <c r="AB407" t="s">
        <v>6411</v>
      </c>
      <c r="AK407" t="s">
        <v>6307</v>
      </c>
    </row>
    <row r="408" spans="1:37" x14ac:dyDescent="0.3">
      <c r="A408" t="s">
        <v>6058</v>
      </c>
      <c r="B408">
        <v>10</v>
      </c>
      <c r="C408" t="s">
        <v>6240</v>
      </c>
      <c r="D408" s="1032">
        <v>45933</v>
      </c>
      <c r="E408" t="s">
        <v>331</v>
      </c>
      <c r="F408" t="s">
        <v>17</v>
      </c>
      <c r="G408" t="s">
        <v>6097</v>
      </c>
      <c r="H408" t="s">
        <v>743</v>
      </c>
      <c r="I408">
        <v>1</v>
      </c>
      <c r="J408">
        <v>2</v>
      </c>
      <c r="K408">
        <v>1</v>
      </c>
      <c r="L408">
        <v>2</v>
      </c>
      <c r="M408">
        <v>14</v>
      </c>
      <c r="N408">
        <v>-11</v>
      </c>
      <c r="O408">
        <v>7</v>
      </c>
      <c r="P408">
        <v>0</v>
      </c>
      <c r="Q408">
        <v>0</v>
      </c>
      <c r="R408">
        <v>0</v>
      </c>
      <c r="S408">
        <v>0</v>
      </c>
      <c r="T408">
        <v>4</v>
      </c>
      <c r="U408">
        <v>3</v>
      </c>
      <c r="V408">
        <v>4380</v>
      </c>
      <c r="W408" t="s">
        <v>6188</v>
      </c>
      <c r="X408" t="s">
        <v>6120</v>
      </c>
      <c r="Y408" t="s">
        <v>6171</v>
      </c>
      <c r="AA408" t="s">
        <v>3819</v>
      </c>
      <c r="AB408" t="s">
        <v>6412</v>
      </c>
      <c r="AK408" t="s">
        <v>6310</v>
      </c>
    </row>
    <row r="409" spans="1:37" x14ac:dyDescent="0.3">
      <c r="A409" t="s">
        <v>6058</v>
      </c>
      <c r="B409">
        <v>11</v>
      </c>
      <c r="C409" t="s">
        <v>6241</v>
      </c>
      <c r="D409" s="1032">
        <v>45935</v>
      </c>
      <c r="E409" t="s">
        <v>334</v>
      </c>
      <c r="F409" t="s">
        <v>16</v>
      </c>
      <c r="G409" t="s">
        <v>6102</v>
      </c>
      <c r="H409" t="s">
        <v>743</v>
      </c>
      <c r="I409">
        <v>1</v>
      </c>
      <c r="J409">
        <v>3</v>
      </c>
      <c r="K409">
        <v>1</v>
      </c>
      <c r="L409">
        <v>2</v>
      </c>
      <c r="M409">
        <v>14</v>
      </c>
      <c r="N409">
        <v>-11</v>
      </c>
      <c r="O409">
        <v>7</v>
      </c>
      <c r="P409">
        <v>0</v>
      </c>
      <c r="Q409">
        <v>0</v>
      </c>
      <c r="R409">
        <v>0</v>
      </c>
      <c r="S409">
        <v>1</v>
      </c>
      <c r="T409">
        <v>2</v>
      </c>
      <c r="U409">
        <v>4</v>
      </c>
      <c r="V409">
        <v>4779</v>
      </c>
      <c r="W409" t="s">
        <v>6188</v>
      </c>
      <c r="X409" t="s">
        <v>6187</v>
      </c>
      <c r="Y409" t="s">
        <v>6171</v>
      </c>
      <c r="AA409" t="s">
        <v>3307</v>
      </c>
      <c r="AB409" t="s">
        <v>6413</v>
      </c>
      <c r="AK409" t="s">
        <v>6309</v>
      </c>
    </row>
    <row r="410" spans="1:37" x14ac:dyDescent="0.3">
      <c r="A410" t="s">
        <v>6058</v>
      </c>
      <c r="B410">
        <v>12</v>
      </c>
      <c r="C410" t="s">
        <v>6242</v>
      </c>
      <c r="D410" s="1032">
        <v>45940</v>
      </c>
      <c r="E410" t="s">
        <v>332</v>
      </c>
      <c r="F410" t="s">
        <v>17</v>
      </c>
      <c r="G410" t="s">
        <v>6102</v>
      </c>
      <c r="H410" t="s">
        <v>743</v>
      </c>
      <c r="I410">
        <v>1</v>
      </c>
      <c r="J410">
        <v>3</v>
      </c>
      <c r="K410">
        <v>1</v>
      </c>
      <c r="L410">
        <v>3</v>
      </c>
      <c r="M410">
        <v>14</v>
      </c>
      <c r="N410">
        <v>-14</v>
      </c>
      <c r="O410">
        <v>7</v>
      </c>
      <c r="P410">
        <v>0</v>
      </c>
      <c r="Q410">
        <v>0</v>
      </c>
      <c r="R410">
        <v>0</v>
      </c>
      <c r="S410">
        <v>0</v>
      </c>
      <c r="T410">
        <v>4</v>
      </c>
      <c r="U410">
        <v>4</v>
      </c>
      <c r="V410">
        <v>4625</v>
      </c>
      <c r="W410" t="s">
        <v>6189</v>
      </c>
      <c r="X410" t="s">
        <v>6171</v>
      </c>
      <c r="Y410" t="s">
        <v>6120</v>
      </c>
      <c r="AA410" t="s">
        <v>3414</v>
      </c>
      <c r="AB410" t="s">
        <v>6414</v>
      </c>
      <c r="AK410" t="s">
        <v>6311</v>
      </c>
    </row>
    <row r="411" spans="1:37" x14ac:dyDescent="0.3">
      <c r="A411" t="s">
        <v>6058</v>
      </c>
      <c r="B411">
        <v>13</v>
      </c>
      <c r="C411" t="s">
        <v>6243</v>
      </c>
      <c r="D411" s="1032">
        <v>45942</v>
      </c>
      <c r="E411" t="s">
        <v>6179</v>
      </c>
      <c r="F411" t="s">
        <v>17</v>
      </c>
      <c r="G411" t="s">
        <v>6104</v>
      </c>
      <c r="H411" t="s">
        <v>743</v>
      </c>
      <c r="I411">
        <v>2</v>
      </c>
      <c r="J411">
        <v>5</v>
      </c>
      <c r="K411">
        <v>2</v>
      </c>
      <c r="L411">
        <v>5</v>
      </c>
      <c r="M411">
        <v>14</v>
      </c>
      <c r="N411">
        <v>-17</v>
      </c>
      <c r="O411">
        <v>7</v>
      </c>
      <c r="P411">
        <v>0</v>
      </c>
      <c r="Q411">
        <v>0</v>
      </c>
      <c r="R411">
        <v>1</v>
      </c>
      <c r="S411">
        <v>2</v>
      </c>
      <c r="T411">
        <v>4</v>
      </c>
      <c r="U411">
        <v>4</v>
      </c>
      <c r="V411">
        <v>3610</v>
      </c>
      <c r="W411" t="s">
        <v>6120</v>
      </c>
      <c r="X411" t="s">
        <v>6077</v>
      </c>
      <c r="Y411" t="s">
        <v>6187</v>
      </c>
      <c r="AA411" t="s">
        <v>6312</v>
      </c>
      <c r="AB411" t="s">
        <v>6415</v>
      </c>
      <c r="AC411" t="s">
        <v>6416</v>
      </c>
      <c r="AK411" t="s">
        <v>6313</v>
      </c>
    </row>
    <row r="412" spans="1:37" x14ac:dyDescent="0.3">
      <c r="A412" t="s">
        <v>6058</v>
      </c>
      <c r="B412">
        <v>14</v>
      </c>
      <c r="C412" t="s">
        <v>6244</v>
      </c>
      <c r="D412" s="1032">
        <v>45945</v>
      </c>
      <c r="E412" t="s">
        <v>328</v>
      </c>
      <c r="F412" t="s">
        <v>16</v>
      </c>
      <c r="G412" t="s">
        <v>6172</v>
      </c>
      <c r="H412" t="s">
        <v>743</v>
      </c>
      <c r="I412">
        <v>2</v>
      </c>
      <c r="J412">
        <v>8</v>
      </c>
      <c r="K412">
        <v>2</v>
      </c>
      <c r="L412">
        <v>8</v>
      </c>
      <c r="M412">
        <v>14</v>
      </c>
      <c r="N412">
        <v>-17</v>
      </c>
      <c r="O412">
        <v>7</v>
      </c>
      <c r="P412">
        <v>0</v>
      </c>
      <c r="Q412">
        <v>0</v>
      </c>
      <c r="R412">
        <v>0</v>
      </c>
      <c r="S412">
        <v>2</v>
      </c>
      <c r="T412">
        <v>2</v>
      </c>
      <c r="U412">
        <v>6</v>
      </c>
      <c r="V412">
        <v>4007</v>
      </c>
      <c r="W412" t="s">
        <v>6084</v>
      </c>
      <c r="X412" t="s">
        <v>6079</v>
      </c>
      <c r="Y412" t="s">
        <v>6120</v>
      </c>
      <c r="AA412" t="s">
        <v>6498</v>
      </c>
      <c r="AB412" t="s">
        <v>6417</v>
      </c>
      <c r="AC412" t="s">
        <v>6418</v>
      </c>
      <c r="AK412" t="s">
        <v>6499</v>
      </c>
    </row>
    <row r="413" spans="1:37" x14ac:dyDescent="0.3">
      <c r="A413" t="s">
        <v>6058</v>
      </c>
      <c r="B413">
        <v>15</v>
      </c>
      <c r="C413" t="s">
        <v>6245</v>
      </c>
      <c r="D413" s="1032">
        <v>45947</v>
      </c>
      <c r="E413" t="s">
        <v>6076</v>
      </c>
      <c r="F413" t="s">
        <v>16</v>
      </c>
      <c r="G413" t="s">
        <v>6079</v>
      </c>
      <c r="H413" t="s">
        <v>743</v>
      </c>
      <c r="I413">
        <v>0</v>
      </c>
      <c r="J413">
        <v>3</v>
      </c>
      <c r="K413">
        <v>0</v>
      </c>
      <c r="L413">
        <v>2</v>
      </c>
      <c r="M413">
        <v>14</v>
      </c>
      <c r="N413">
        <v>-17</v>
      </c>
      <c r="O413">
        <v>7</v>
      </c>
      <c r="P413">
        <v>0</v>
      </c>
      <c r="Q413">
        <v>0</v>
      </c>
      <c r="R413">
        <v>0</v>
      </c>
      <c r="S413">
        <v>0</v>
      </c>
      <c r="T413">
        <v>2</v>
      </c>
      <c r="U413">
        <v>4</v>
      </c>
      <c r="V413">
        <v>4531</v>
      </c>
      <c r="W413" t="s">
        <v>6189</v>
      </c>
      <c r="X413" t="s">
        <v>6188</v>
      </c>
      <c r="Y413" t="s">
        <v>6171</v>
      </c>
      <c r="AA413" t="s">
        <v>6079</v>
      </c>
      <c r="AB413" t="s">
        <v>515</v>
      </c>
      <c r="AK413" t="s">
        <v>6500</v>
      </c>
    </row>
    <row r="414" spans="1:37" x14ac:dyDescent="0.3">
      <c r="A414" t="s">
        <v>6058</v>
      </c>
      <c r="B414">
        <v>16</v>
      </c>
      <c r="C414" t="s">
        <v>6246</v>
      </c>
      <c r="D414" s="1032">
        <v>45951</v>
      </c>
      <c r="E414" t="s">
        <v>626</v>
      </c>
      <c r="F414" t="s">
        <v>16</v>
      </c>
      <c r="G414" t="s">
        <v>6146</v>
      </c>
      <c r="H414" t="s">
        <v>743</v>
      </c>
      <c r="I414">
        <v>2</v>
      </c>
      <c r="J414">
        <v>3</v>
      </c>
      <c r="K414">
        <v>2</v>
      </c>
      <c r="L414">
        <v>3</v>
      </c>
      <c r="M414">
        <v>14</v>
      </c>
      <c r="N414">
        <v>-17</v>
      </c>
      <c r="O414">
        <v>7</v>
      </c>
      <c r="P414">
        <v>0</v>
      </c>
      <c r="Q414">
        <v>0</v>
      </c>
      <c r="R414">
        <v>0</v>
      </c>
      <c r="S414">
        <v>1</v>
      </c>
      <c r="T414">
        <v>2</v>
      </c>
      <c r="U414">
        <v>6</v>
      </c>
      <c r="V414">
        <v>3835</v>
      </c>
      <c r="W414" t="s">
        <v>6118</v>
      </c>
      <c r="X414" t="s">
        <v>6188</v>
      </c>
      <c r="Y414" t="s">
        <v>6171</v>
      </c>
      <c r="AA414" t="s">
        <v>4408</v>
      </c>
      <c r="AB414" t="s">
        <v>6420</v>
      </c>
      <c r="AC414" t="s">
        <v>6421</v>
      </c>
      <c r="AK414" t="s">
        <v>6501</v>
      </c>
    </row>
    <row r="415" spans="1:37" x14ac:dyDescent="0.3">
      <c r="A415" t="s">
        <v>6058</v>
      </c>
      <c r="B415">
        <v>17</v>
      </c>
      <c r="C415" t="s">
        <v>6247</v>
      </c>
      <c r="D415" s="1032">
        <v>45954</v>
      </c>
      <c r="E415" t="s">
        <v>610</v>
      </c>
      <c r="F415" t="s">
        <v>17</v>
      </c>
      <c r="G415" t="s">
        <v>164</v>
      </c>
      <c r="H415" t="s">
        <v>793</v>
      </c>
      <c r="I415">
        <v>4</v>
      </c>
      <c r="J415">
        <v>3</v>
      </c>
      <c r="K415">
        <v>3</v>
      </c>
      <c r="L415">
        <v>3</v>
      </c>
      <c r="M415">
        <v>14</v>
      </c>
      <c r="N415">
        <v>-18</v>
      </c>
      <c r="O415">
        <v>9</v>
      </c>
      <c r="P415">
        <v>3</v>
      </c>
      <c r="Q415">
        <v>0</v>
      </c>
      <c r="R415">
        <v>1</v>
      </c>
      <c r="S415">
        <v>0</v>
      </c>
      <c r="T415">
        <v>6</v>
      </c>
      <c r="U415">
        <v>4</v>
      </c>
      <c r="V415">
        <v>3517</v>
      </c>
      <c r="W415" t="s">
        <v>6102</v>
      </c>
      <c r="X415" t="s">
        <v>6120</v>
      </c>
      <c r="Y415" t="s">
        <v>6120</v>
      </c>
      <c r="Z415" t="s">
        <v>756</v>
      </c>
      <c r="AA415" t="s">
        <v>6504</v>
      </c>
      <c r="AB415" t="s">
        <v>6422</v>
      </c>
      <c r="AC415" t="s">
        <v>6423</v>
      </c>
      <c r="AD415" t="s">
        <v>6424</v>
      </c>
      <c r="AE415" t="s">
        <v>6425</v>
      </c>
      <c r="AK415" t="s">
        <v>6502</v>
      </c>
    </row>
    <row r="416" spans="1:37" x14ac:dyDescent="0.3">
      <c r="A416" t="s">
        <v>6058</v>
      </c>
      <c r="B416">
        <v>18</v>
      </c>
      <c r="C416" t="s">
        <v>6248</v>
      </c>
      <c r="D416" s="1032">
        <v>45956</v>
      </c>
      <c r="E416" t="s">
        <v>325</v>
      </c>
      <c r="F416" t="s">
        <v>16</v>
      </c>
      <c r="G416" t="s">
        <v>6097</v>
      </c>
      <c r="H416" t="s">
        <v>743</v>
      </c>
      <c r="I416">
        <v>1</v>
      </c>
      <c r="J416">
        <v>2</v>
      </c>
      <c r="K416">
        <v>1</v>
      </c>
      <c r="L416">
        <v>2</v>
      </c>
      <c r="M416">
        <v>14</v>
      </c>
      <c r="N416">
        <v>-18</v>
      </c>
      <c r="O416">
        <v>9</v>
      </c>
      <c r="P416">
        <v>0</v>
      </c>
      <c r="Q416">
        <v>0</v>
      </c>
      <c r="R416">
        <v>0</v>
      </c>
      <c r="S416">
        <v>1</v>
      </c>
      <c r="T416">
        <v>6</v>
      </c>
      <c r="U416">
        <v>5</v>
      </c>
      <c r="V416">
        <v>11696</v>
      </c>
      <c r="W416" t="s">
        <v>6171</v>
      </c>
      <c r="X416" t="s">
        <v>6188</v>
      </c>
      <c r="Y416" t="s">
        <v>6120</v>
      </c>
      <c r="AA416" t="s">
        <v>4837</v>
      </c>
      <c r="AB416" t="s">
        <v>6426</v>
      </c>
      <c r="AK416" t="s">
        <v>6503</v>
      </c>
    </row>
    <row r="417" spans="1:37" x14ac:dyDescent="0.3">
      <c r="A417" t="s">
        <v>6058</v>
      </c>
      <c r="B417">
        <v>19</v>
      </c>
      <c r="C417" t="s">
        <v>6249</v>
      </c>
      <c r="D417" s="1032">
        <v>45958</v>
      </c>
      <c r="E417" t="s">
        <v>626</v>
      </c>
      <c r="F417" t="s">
        <v>17</v>
      </c>
      <c r="G417" t="s">
        <v>6120</v>
      </c>
      <c r="H417" t="s">
        <v>16</v>
      </c>
      <c r="I417">
        <v>1</v>
      </c>
      <c r="J417">
        <v>0</v>
      </c>
      <c r="K417">
        <v>1</v>
      </c>
      <c r="L417">
        <v>0</v>
      </c>
      <c r="M417">
        <v>14</v>
      </c>
      <c r="N417">
        <v>-18</v>
      </c>
      <c r="O417">
        <v>12</v>
      </c>
      <c r="P417">
        <v>1</v>
      </c>
      <c r="Q417">
        <v>0</v>
      </c>
      <c r="R417">
        <v>0</v>
      </c>
      <c r="S417">
        <v>0</v>
      </c>
      <c r="T417">
        <v>5</v>
      </c>
      <c r="U417">
        <v>1</v>
      </c>
      <c r="V417">
        <v>3752</v>
      </c>
      <c r="W417" t="s">
        <v>6188</v>
      </c>
      <c r="X417" t="s">
        <v>6120</v>
      </c>
      <c r="Y417" t="s">
        <v>6188</v>
      </c>
      <c r="AA417" t="s">
        <v>6120</v>
      </c>
      <c r="AB417" t="s">
        <v>6427</v>
      </c>
      <c r="AK417" t="s">
        <v>6505</v>
      </c>
    </row>
    <row r="418" spans="1:37" x14ac:dyDescent="0.3">
      <c r="A418" t="s">
        <v>6058</v>
      </c>
      <c r="B418">
        <v>20</v>
      </c>
      <c r="C418" t="s">
        <v>6250</v>
      </c>
      <c r="D418" s="1032">
        <v>45961</v>
      </c>
      <c r="E418" t="s">
        <v>6086</v>
      </c>
      <c r="F418" t="s">
        <v>16</v>
      </c>
      <c r="G418" t="s">
        <v>6146</v>
      </c>
      <c r="H418" t="s">
        <v>743</v>
      </c>
      <c r="I418">
        <v>2</v>
      </c>
      <c r="J418">
        <v>3</v>
      </c>
      <c r="K418">
        <v>2</v>
      </c>
      <c r="L418">
        <v>3</v>
      </c>
      <c r="M418">
        <v>14</v>
      </c>
      <c r="N418">
        <v>-18</v>
      </c>
      <c r="O418">
        <v>12</v>
      </c>
      <c r="P418">
        <v>0</v>
      </c>
      <c r="Q418">
        <v>0</v>
      </c>
      <c r="R418">
        <v>0</v>
      </c>
      <c r="S418">
        <v>0</v>
      </c>
      <c r="T418">
        <v>1</v>
      </c>
      <c r="U418">
        <v>2</v>
      </c>
      <c r="V418">
        <v>3411</v>
      </c>
      <c r="W418" t="s">
        <v>6188</v>
      </c>
      <c r="X418" t="s">
        <v>6189</v>
      </c>
      <c r="Y418" t="s">
        <v>6194</v>
      </c>
      <c r="AA418" t="s">
        <v>6507</v>
      </c>
      <c r="AB418" t="s">
        <v>6428</v>
      </c>
      <c r="AC418" t="s">
        <v>6429</v>
      </c>
      <c r="AK418" t="s">
        <v>6506</v>
      </c>
    </row>
    <row r="419" spans="1:37" x14ac:dyDescent="0.3">
      <c r="A419" t="s">
        <v>6058</v>
      </c>
      <c r="B419">
        <v>21</v>
      </c>
      <c r="C419" t="s">
        <v>6251</v>
      </c>
      <c r="D419" s="1032">
        <v>45963</v>
      </c>
      <c r="E419" t="s">
        <v>1274</v>
      </c>
      <c r="F419" t="s">
        <v>17</v>
      </c>
      <c r="G419" t="s">
        <v>6102</v>
      </c>
      <c r="H419" t="s">
        <v>743</v>
      </c>
      <c r="I419">
        <v>1</v>
      </c>
      <c r="J419">
        <v>3</v>
      </c>
      <c r="K419">
        <v>1</v>
      </c>
      <c r="L419">
        <v>3</v>
      </c>
      <c r="M419">
        <v>14</v>
      </c>
      <c r="N419">
        <v>-21</v>
      </c>
      <c r="O419">
        <v>12</v>
      </c>
      <c r="P419">
        <v>0</v>
      </c>
      <c r="Q419">
        <v>1</v>
      </c>
      <c r="R419">
        <v>0</v>
      </c>
      <c r="S419">
        <v>1</v>
      </c>
      <c r="T419">
        <v>3</v>
      </c>
      <c r="U419">
        <v>5</v>
      </c>
      <c r="V419">
        <v>3769</v>
      </c>
      <c r="W419" t="s">
        <v>6171</v>
      </c>
      <c r="X419" t="s">
        <v>6120</v>
      </c>
      <c r="Y419" t="s">
        <v>6189</v>
      </c>
      <c r="AA419" t="s">
        <v>3377</v>
      </c>
      <c r="AB419" t="s">
        <v>6430</v>
      </c>
      <c r="AK419" t="s">
        <v>6508</v>
      </c>
    </row>
    <row r="420" spans="1:37" x14ac:dyDescent="0.3">
      <c r="A420" t="s">
        <v>6058</v>
      </c>
      <c r="B420">
        <v>22</v>
      </c>
      <c r="C420" t="s">
        <v>6252</v>
      </c>
      <c r="D420" s="1032">
        <v>45975</v>
      </c>
      <c r="E420" t="s">
        <v>6091</v>
      </c>
      <c r="F420" t="s">
        <v>16</v>
      </c>
      <c r="G420" t="s">
        <v>351</v>
      </c>
      <c r="H420" t="s">
        <v>793</v>
      </c>
      <c r="I420">
        <v>3</v>
      </c>
      <c r="J420">
        <v>2</v>
      </c>
      <c r="K420">
        <v>2</v>
      </c>
      <c r="L420">
        <v>2</v>
      </c>
      <c r="M420">
        <v>14</v>
      </c>
      <c r="N420">
        <v>-19</v>
      </c>
      <c r="O420">
        <v>14</v>
      </c>
      <c r="P420">
        <v>0</v>
      </c>
      <c r="Q420">
        <v>0</v>
      </c>
      <c r="R420">
        <v>0</v>
      </c>
      <c r="S420">
        <v>0</v>
      </c>
      <c r="T420">
        <v>3</v>
      </c>
      <c r="U420">
        <v>4</v>
      </c>
      <c r="V420">
        <v>6155</v>
      </c>
      <c r="W420" t="s">
        <v>6189</v>
      </c>
      <c r="X420" t="s">
        <v>6187</v>
      </c>
      <c r="Y420" t="s">
        <v>6120</v>
      </c>
      <c r="Z420" t="s">
        <v>756</v>
      </c>
      <c r="AA420" t="s">
        <v>6510</v>
      </c>
      <c r="AB420" t="s">
        <v>6431</v>
      </c>
      <c r="AC420" t="s">
        <v>6432</v>
      </c>
      <c r="AD420" t="s">
        <v>6433</v>
      </c>
      <c r="AK420" t="s">
        <v>6509</v>
      </c>
    </row>
    <row r="421" spans="1:37" x14ac:dyDescent="0.3">
      <c r="A421" t="s">
        <v>6058</v>
      </c>
      <c r="B421">
        <v>23</v>
      </c>
      <c r="C421" t="s">
        <v>6253</v>
      </c>
      <c r="D421" s="1032">
        <v>45977</v>
      </c>
      <c r="E421" t="s">
        <v>327</v>
      </c>
      <c r="F421" t="s">
        <v>17</v>
      </c>
      <c r="G421" t="s">
        <v>6128</v>
      </c>
      <c r="H421" t="s">
        <v>743</v>
      </c>
      <c r="I421">
        <v>1</v>
      </c>
      <c r="J421">
        <v>4</v>
      </c>
      <c r="K421">
        <v>1</v>
      </c>
      <c r="L421">
        <v>3</v>
      </c>
      <c r="M421">
        <v>14</v>
      </c>
      <c r="N421">
        <v>-22</v>
      </c>
      <c r="O421">
        <v>14</v>
      </c>
      <c r="P421">
        <v>0</v>
      </c>
      <c r="Q421">
        <v>0</v>
      </c>
      <c r="R421">
        <v>0</v>
      </c>
      <c r="S421">
        <v>1</v>
      </c>
      <c r="T421">
        <v>5</v>
      </c>
      <c r="U421">
        <v>3</v>
      </c>
      <c r="V421">
        <v>5535</v>
      </c>
      <c r="W421" t="s">
        <v>6120</v>
      </c>
      <c r="X421" t="s">
        <v>6188</v>
      </c>
      <c r="Y421" t="s">
        <v>6077</v>
      </c>
      <c r="AA421" t="s">
        <v>4516</v>
      </c>
      <c r="AB421" t="s">
        <v>6434</v>
      </c>
      <c r="AK421" t="s">
        <v>6511</v>
      </c>
    </row>
    <row r="422" spans="1:37" x14ac:dyDescent="0.3">
      <c r="A422" t="s">
        <v>6058</v>
      </c>
      <c r="B422">
        <v>24</v>
      </c>
      <c r="C422" t="s">
        <v>6254</v>
      </c>
      <c r="D422" s="1032">
        <v>45981</v>
      </c>
      <c r="E422" t="s">
        <v>331</v>
      </c>
      <c r="F422" t="s">
        <v>16</v>
      </c>
      <c r="G422" t="s">
        <v>6173</v>
      </c>
      <c r="H422" t="s">
        <v>743</v>
      </c>
      <c r="I422">
        <v>2</v>
      </c>
      <c r="J422">
        <v>7</v>
      </c>
      <c r="K422">
        <v>2</v>
      </c>
      <c r="L422">
        <v>7</v>
      </c>
      <c r="M422">
        <v>14</v>
      </c>
      <c r="N422">
        <v>-22</v>
      </c>
      <c r="O422">
        <v>14</v>
      </c>
      <c r="P422">
        <v>0</v>
      </c>
      <c r="Q422">
        <v>0</v>
      </c>
      <c r="R422">
        <v>0</v>
      </c>
      <c r="S422">
        <v>2</v>
      </c>
      <c r="T422">
        <v>1</v>
      </c>
      <c r="U422">
        <v>4</v>
      </c>
      <c r="V422">
        <v>3184</v>
      </c>
      <c r="W422" t="s">
        <v>6187</v>
      </c>
      <c r="X422" t="s">
        <v>6077</v>
      </c>
      <c r="Y422" t="s">
        <v>6097</v>
      </c>
      <c r="AA422" t="s">
        <v>6513</v>
      </c>
      <c r="AB422" t="s">
        <v>6435</v>
      </c>
      <c r="AC422" t="s">
        <v>6436</v>
      </c>
      <c r="AK422" t="s">
        <v>6512</v>
      </c>
    </row>
    <row r="423" spans="1:37" x14ac:dyDescent="0.3">
      <c r="A423" t="s">
        <v>6058</v>
      </c>
      <c r="B423">
        <v>25</v>
      </c>
      <c r="C423" t="s">
        <v>6255</v>
      </c>
      <c r="D423" s="1032">
        <v>45984</v>
      </c>
      <c r="E423" t="s">
        <v>334</v>
      </c>
      <c r="F423" t="s">
        <v>17</v>
      </c>
      <c r="G423" t="s">
        <v>6133</v>
      </c>
      <c r="H423" t="s">
        <v>16</v>
      </c>
      <c r="I423">
        <v>5</v>
      </c>
      <c r="J423">
        <v>2</v>
      </c>
      <c r="K423">
        <v>5</v>
      </c>
      <c r="L423">
        <v>2</v>
      </c>
      <c r="M423">
        <v>14</v>
      </c>
      <c r="N423">
        <v>-22</v>
      </c>
      <c r="O423">
        <v>17</v>
      </c>
      <c r="P423">
        <v>1</v>
      </c>
      <c r="Q423">
        <v>1</v>
      </c>
      <c r="R423">
        <v>0</v>
      </c>
      <c r="S423">
        <v>2</v>
      </c>
      <c r="T423">
        <v>6</v>
      </c>
      <c r="U423">
        <v>8</v>
      </c>
      <c r="V423">
        <v>3233</v>
      </c>
      <c r="W423" t="s">
        <v>6118</v>
      </c>
      <c r="X423" t="s">
        <v>6100</v>
      </c>
      <c r="Y423" t="s">
        <v>6188</v>
      </c>
      <c r="AA423" t="s">
        <v>4935</v>
      </c>
      <c r="AB423" t="s">
        <v>6437</v>
      </c>
      <c r="AC423" t="s">
        <v>6438</v>
      </c>
      <c r="AD423" t="s">
        <v>6439</v>
      </c>
      <c r="AE423" t="s">
        <v>6440</v>
      </c>
      <c r="AF423" t="s">
        <v>6441</v>
      </c>
      <c r="AK423" t="s">
        <v>6514</v>
      </c>
    </row>
    <row r="424" spans="1:37" x14ac:dyDescent="0.3">
      <c r="A424" t="s">
        <v>6058</v>
      </c>
      <c r="B424">
        <v>26</v>
      </c>
      <c r="C424" t="s">
        <v>6256</v>
      </c>
      <c r="D424" s="1032">
        <v>45986</v>
      </c>
      <c r="E424" t="s">
        <v>332</v>
      </c>
      <c r="F424" t="s">
        <v>16</v>
      </c>
      <c r="G424" t="s">
        <v>208</v>
      </c>
      <c r="H424" t="s">
        <v>794</v>
      </c>
      <c r="I424">
        <v>1</v>
      </c>
      <c r="J424">
        <v>2</v>
      </c>
      <c r="K424">
        <v>1</v>
      </c>
      <c r="L424">
        <v>1</v>
      </c>
      <c r="M424">
        <v>14</v>
      </c>
      <c r="N424">
        <v>-21</v>
      </c>
      <c r="O424">
        <v>18</v>
      </c>
      <c r="P424">
        <v>0</v>
      </c>
      <c r="Q424">
        <v>0</v>
      </c>
      <c r="R424">
        <v>0</v>
      </c>
      <c r="S424">
        <v>0</v>
      </c>
      <c r="T424">
        <v>2</v>
      </c>
      <c r="U424">
        <v>3</v>
      </c>
      <c r="V424">
        <v>2426</v>
      </c>
      <c r="W424" t="s">
        <v>6188</v>
      </c>
      <c r="X424" t="s">
        <v>6120</v>
      </c>
      <c r="Y424" t="s">
        <v>6189</v>
      </c>
      <c r="Z424" t="s">
        <v>208</v>
      </c>
      <c r="AA424" t="s">
        <v>6516</v>
      </c>
      <c r="AB424" t="s">
        <v>6442</v>
      </c>
      <c r="AJ424" t="s">
        <v>6443</v>
      </c>
      <c r="AK424" t="s">
        <v>6515</v>
      </c>
    </row>
    <row r="425" spans="1:37" x14ac:dyDescent="0.3">
      <c r="A425" t="s">
        <v>6058</v>
      </c>
      <c r="B425">
        <v>27</v>
      </c>
      <c r="C425" t="s">
        <v>6257</v>
      </c>
      <c r="D425" s="1032">
        <v>45989</v>
      </c>
      <c r="E425" t="s">
        <v>6179</v>
      </c>
      <c r="F425" t="s">
        <v>17</v>
      </c>
      <c r="G425" t="s">
        <v>6137</v>
      </c>
      <c r="H425" t="s">
        <v>16</v>
      </c>
      <c r="I425">
        <v>6</v>
      </c>
      <c r="J425">
        <v>2</v>
      </c>
      <c r="K425">
        <v>6</v>
      </c>
      <c r="L425">
        <v>2</v>
      </c>
      <c r="M425">
        <v>14</v>
      </c>
      <c r="N425">
        <v>-21</v>
      </c>
      <c r="O425">
        <v>21</v>
      </c>
      <c r="P425">
        <v>1</v>
      </c>
      <c r="Q425">
        <v>0</v>
      </c>
      <c r="R425">
        <v>0</v>
      </c>
      <c r="S425">
        <v>0</v>
      </c>
      <c r="T425">
        <v>5</v>
      </c>
      <c r="U425">
        <v>2</v>
      </c>
      <c r="V425">
        <v>3442</v>
      </c>
      <c r="W425" t="s">
        <v>6110</v>
      </c>
      <c r="X425" t="s">
        <v>6118</v>
      </c>
      <c r="Y425" t="s">
        <v>6187</v>
      </c>
      <c r="AA425" t="s">
        <v>6529</v>
      </c>
      <c r="AB425" t="s">
        <v>6444</v>
      </c>
      <c r="AC425" t="s">
        <v>6445</v>
      </c>
      <c r="AD425" t="s">
        <v>6446</v>
      </c>
      <c r="AE425" t="s">
        <v>6447</v>
      </c>
      <c r="AF425" t="s">
        <v>6448</v>
      </c>
      <c r="AG425" t="s">
        <v>6449</v>
      </c>
      <c r="AK425" t="s">
        <v>6517</v>
      </c>
    </row>
    <row r="426" spans="1:37" x14ac:dyDescent="0.3">
      <c r="A426" t="s">
        <v>6058</v>
      </c>
      <c r="B426">
        <v>28</v>
      </c>
      <c r="C426" t="s">
        <v>6258</v>
      </c>
      <c r="D426" s="1032">
        <v>45991</v>
      </c>
      <c r="E426" t="s">
        <v>6076</v>
      </c>
      <c r="F426" t="s">
        <v>17</v>
      </c>
      <c r="G426" t="s">
        <v>6097</v>
      </c>
      <c r="H426" t="s">
        <v>743</v>
      </c>
      <c r="I426">
        <v>1</v>
      </c>
      <c r="J426">
        <v>2</v>
      </c>
      <c r="K426">
        <v>1</v>
      </c>
      <c r="L426">
        <v>2</v>
      </c>
      <c r="M426">
        <v>14</v>
      </c>
      <c r="N426">
        <v>-24</v>
      </c>
      <c r="O426">
        <v>21</v>
      </c>
      <c r="P426">
        <v>0</v>
      </c>
      <c r="Q426">
        <v>0</v>
      </c>
      <c r="R426">
        <v>0</v>
      </c>
      <c r="S426">
        <v>1</v>
      </c>
      <c r="T426">
        <v>2</v>
      </c>
      <c r="U426">
        <v>3</v>
      </c>
      <c r="V426">
        <v>4021</v>
      </c>
      <c r="W426" t="s">
        <v>6188</v>
      </c>
      <c r="X426" t="s">
        <v>6171</v>
      </c>
      <c r="Y426" t="s">
        <v>6120</v>
      </c>
      <c r="AA426" t="s">
        <v>4837</v>
      </c>
      <c r="AB426" t="s">
        <v>6450</v>
      </c>
      <c r="AK426" t="s">
        <v>6517</v>
      </c>
    </row>
    <row r="427" spans="1:37" x14ac:dyDescent="0.3">
      <c r="A427" t="s">
        <v>6058</v>
      </c>
      <c r="B427">
        <v>29</v>
      </c>
      <c r="C427" t="s">
        <v>6259</v>
      </c>
      <c r="D427" s="1032">
        <v>45996</v>
      </c>
      <c r="E427" t="s">
        <v>328</v>
      </c>
      <c r="F427" t="s">
        <v>17</v>
      </c>
      <c r="G427" t="s">
        <v>6104</v>
      </c>
      <c r="H427" t="s">
        <v>743</v>
      </c>
      <c r="I427">
        <v>2</v>
      </c>
      <c r="J427">
        <v>5</v>
      </c>
      <c r="K427">
        <v>2</v>
      </c>
      <c r="L427">
        <v>4</v>
      </c>
      <c r="M427">
        <v>14</v>
      </c>
      <c r="N427">
        <v>-27</v>
      </c>
      <c r="O427">
        <v>21</v>
      </c>
      <c r="P427">
        <v>0</v>
      </c>
      <c r="Q427">
        <v>0</v>
      </c>
      <c r="R427">
        <v>0</v>
      </c>
      <c r="S427">
        <v>1</v>
      </c>
      <c r="T427">
        <v>1</v>
      </c>
      <c r="U427">
        <v>2</v>
      </c>
      <c r="V427">
        <v>3012</v>
      </c>
      <c r="W427" t="s">
        <v>6120</v>
      </c>
      <c r="X427" t="s">
        <v>6187</v>
      </c>
      <c r="Y427" t="s">
        <v>6077</v>
      </c>
      <c r="AA427" t="s">
        <v>6015</v>
      </c>
      <c r="AB427" t="s">
        <v>6451</v>
      </c>
      <c r="AC427" t="s">
        <v>6452</v>
      </c>
      <c r="AK427" t="s">
        <v>6518</v>
      </c>
    </row>
    <row r="428" spans="1:37" x14ac:dyDescent="0.3">
      <c r="A428" t="s">
        <v>6058</v>
      </c>
      <c r="B428">
        <v>30</v>
      </c>
      <c r="C428" t="s">
        <v>6260</v>
      </c>
      <c r="D428" s="1032">
        <v>45998</v>
      </c>
      <c r="E428" t="s">
        <v>610</v>
      </c>
      <c r="F428" t="s">
        <v>17</v>
      </c>
      <c r="G428" t="s">
        <v>6113</v>
      </c>
      <c r="H428" t="s">
        <v>16</v>
      </c>
      <c r="I428">
        <v>3</v>
      </c>
      <c r="J428">
        <v>2</v>
      </c>
      <c r="K428">
        <v>3</v>
      </c>
      <c r="L428">
        <v>2</v>
      </c>
      <c r="M428">
        <v>14</v>
      </c>
      <c r="N428">
        <v>-27</v>
      </c>
      <c r="O428">
        <v>24</v>
      </c>
      <c r="P428">
        <v>1</v>
      </c>
      <c r="Q428">
        <v>0</v>
      </c>
      <c r="R428">
        <v>0</v>
      </c>
      <c r="S428">
        <v>0</v>
      </c>
      <c r="T428">
        <v>4</v>
      </c>
      <c r="U428">
        <v>4</v>
      </c>
      <c r="V428">
        <v>3221</v>
      </c>
      <c r="W428" t="s">
        <v>6118</v>
      </c>
      <c r="X428" t="s">
        <v>6189</v>
      </c>
      <c r="Y428" t="s">
        <v>6120</v>
      </c>
      <c r="AA428" t="s">
        <v>6530</v>
      </c>
      <c r="AB428" t="s">
        <v>6453</v>
      </c>
      <c r="AC428" t="s">
        <v>6454</v>
      </c>
      <c r="AD428" t="s">
        <v>6455</v>
      </c>
      <c r="AK428" t="s">
        <v>6519</v>
      </c>
    </row>
    <row r="429" spans="1:37" x14ac:dyDescent="0.3">
      <c r="A429" t="s">
        <v>6058</v>
      </c>
      <c r="B429">
        <v>31</v>
      </c>
      <c r="C429" t="s">
        <v>6261</v>
      </c>
      <c r="D429" s="1032">
        <v>46010</v>
      </c>
      <c r="E429" t="s">
        <v>325</v>
      </c>
      <c r="F429" t="s">
        <v>17</v>
      </c>
      <c r="G429" t="s">
        <v>6113</v>
      </c>
      <c r="H429" t="s">
        <v>16</v>
      </c>
      <c r="I429">
        <v>3</v>
      </c>
      <c r="J429">
        <v>2</v>
      </c>
      <c r="K429">
        <v>3</v>
      </c>
      <c r="L429">
        <v>2</v>
      </c>
      <c r="M429">
        <v>14</v>
      </c>
      <c r="N429">
        <v>-27</v>
      </c>
      <c r="O429">
        <v>27</v>
      </c>
      <c r="P429">
        <v>0</v>
      </c>
      <c r="Q429">
        <v>0</v>
      </c>
      <c r="R429">
        <v>0</v>
      </c>
      <c r="S429">
        <v>1</v>
      </c>
      <c r="T429">
        <v>4</v>
      </c>
      <c r="U429">
        <v>3</v>
      </c>
      <c r="V429">
        <v>4525</v>
      </c>
      <c r="W429" t="s">
        <v>6118</v>
      </c>
      <c r="X429" t="s">
        <v>6187</v>
      </c>
      <c r="Y429" t="s">
        <v>6188</v>
      </c>
      <c r="AA429" t="s">
        <v>6531</v>
      </c>
      <c r="AB429" t="s">
        <v>6456</v>
      </c>
      <c r="AC429" t="s">
        <v>6457</v>
      </c>
      <c r="AD429" t="s">
        <v>6458</v>
      </c>
      <c r="AK429" t="s">
        <v>6520</v>
      </c>
    </row>
    <row r="430" spans="1:37" x14ac:dyDescent="0.3">
      <c r="A430" t="s">
        <v>6058</v>
      </c>
      <c r="B430">
        <v>32</v>
      </c>
      <c r="C430" t="s">
        <v>6262</v>
      </c>
      <c r="D430" s="1032">
        <v>46012</v>
      </c>
      <c r="E430" t="s">
        <v>626</v>
      </c>
      <c r="F430" t="s">
        <v>16</v>
      </c>
      <c r="G430" t="s">
        <v>163</v>
      </c>
      <c r="H430" t="s">
        <v>794</v>
      </c>
      <c r="I430">
        <v>3</v>
      </c>
      <c r="J430">
        <v>4</v>
      </c>
      <c r="K430">
        <v>3</v>
      </c>
      <c r="L430">
        <v>3</v>
      </c>
      <c r="M430">
        <v>14</v>
      </c>
      <c r="N430">
        <v>-26</v>
      </c>
      <c r="O430">
        <v>28</v>
      </c>
      <c r="P430">
        <v>0</v>
      </c>
      <c r="Q430">
        <v>0</v>
      </c>
      <c r="R430">
        <v>0</v>
      </c>
      <c r="S430">
        <v>0</v>
      </c>
      <c r="T430">
        <v>3</v>
      </c>
      <c r="U430">
        <v>2</v>
      </c>
      <c r="V430">
        <v>4891</v>
      </c>
      <c r="W430" t="s">
        <v>6118</v>
      </c>
      <c r="X430" t="s">
        <v>6187</v>
      </c>
      <c r="Y430" t="s">
        <v>6189</v>
      </c>
      <c r="Z430" t="s">
        <v>3213</v>
      </c>
      <c r="AA430" t="s">
        <v>6532</v>
      </c>
      <c r="AB430" t="s">
        <v>6459</v>
      </c>
      <c r="AC430" t="s">
        <v>6460</v>
      </c>
      <c r="AD430" t="s">
        <v>6461</v>
      </c>
      <c r="AK430" t="s">
        <v>6521</v>
      </c>
    </row>
    <row r="431" spans="1:37" x14ac:dyDescent="0.3">
      <c r="A431" t="s">
        <v>6058</v>
      </c>
      <c r="B431">
        <v>33</v>
      </c>
      <c r="C431" t="s">
        <v>6263</v>
      </c>
      <c r="D431" s="1032">
        <v>46014</v>
      </c>
      <c r="E431" t="s">
        <v>6086</v>
      </c>
      <c r="F431" t="s">
        <v>17</v>
      </c>
      <c r="G431" t="s">
        <v>6144</v>
      </c>
      <c r="H431" t="s">
        <v>16</v>
      </c>
      <c r="I431">
        <v>6</v>
      </c>
      <c r="J431">
        <v>1</v>
      </c>
      <c r="K431">
        <v>6</v>
      </c>
      <c r="L431">
        <v>1</v>
      </c>
      <c r="M431">
        <v>14</v>
      </c>
      <c r="N431">
        <v>-26</v>
      </c>
      <c r="O431">
        <v>31</v>
      </c>
      <c r="P431">
        <v>0</v>
      </c>
      <c r="Q431">
        <v>1</v>
      </c>
      <c r="R431">
        <v>0</v>
      </c>
      <c r="S431">
        <v>0</v>
      </c>
      <c r="T431">
        <v>2</v>
      </c>
      <c r="U431">
        <v>1</v>
      </c>
      <c r="V431">
        <v>4229</v>
      </c>
      <c r="W431" t="s">
        <v>6089</v>
      </c>
      <c r="X431" t="s">
        <v>6118</v>
      </c>
      <c r="Y431" t="s">
        <v>6089</v>
      </c>
      <c r="AA431" t="s">
        <v>4545</v>
      </c>
      <c r="AB431" t="s">
        <v>6462</v>
      </c>
      <c r="AC431" t="s">
        <v>6463</v>
      </c>
      <c r="AD431" t="s">
        <v>6464</v>
      </c>
      <c r="AE431" t="s">
        <v>6465</v>
      </c>
      <c r="AF431" t="s">
        <v>6466</v>
      </c>
      <c r="AG431" t="s">
        <v>6467</v>
      </c>
      <c r="AK431" t="s">
        <v>6522</v>
      </c>
    </row>
    <row r="432" spans="1:37" x14ac:dyDescent="0.3">
      <c r="A432" t="s">
        <v>6058</v>
      </c>
      <c r="B432">
        <v>34</v>
      </c>
      <c r="C432" t="s">
        <v>6264</v>
      </c>
      <c r="D432" s="1032">
        <v>46017</v>
      </c>
      <c r="E432" t="s">
        <v>1274</v>
      </c>
      <c r="F432" t="s">
        <v>16</v>
      </c>
      <c r="G432" t="s">
        <v>6113</v>
      </c>
      <c r="H432" t="s">
        <v>16</v>
      </c>
      <c r="I432">
        <v>3</v>
      </c>
      <c r="J432">
        <v>2</v>
      </c>
      <c r="K432">
        <v>3</v>
      </c>
      <c r="L432">
        <v>2</v>
      </c>
      <c r="M432">
        <v>14</v>
      </c>
      <c r="N432">
        <v>-23</v>
      </c>
      <c r="O432">
        <v>34</v>
      </c>
      <c r="P432">
        <v>1</v>
      </c>
      <c r="Q432">
        <v>0</v>
      </c>
      <c r="R432">
        <v>0</v>
      </c>
      <c r="S432">
        <v>2</v>
      </c>
      <c r="T432">
        <v>6</v>
      </c>
      <c r="U432">
        <v>4</v>
      </c>
      <c r="V432">
        <v>4254</v>
      </c>
      <c r="W432" t="s">
        <v>6120</v>
      </c>
      <c r="X432" t="s">
        <v>6118</v>
      </c>
      <c r="Y432" t="s">
        <v>6189</v>
      </c>
      <c r="AA432" t="s">
        <v>4974</v>
      </c>
      <c r="AB432" t="s">
        <v>6468</v>
      </c>
      <c r="AC432" t="s">
        <v>6469</v>
      </c>
      <c r="AD432" t="s">
        <v>6470</v>
      </c>
      <c r="AK432" t="s">
        <v>6523</v>
      </c>
    </row>
    <row r="433" spans="1:37" x14ac:dyDescent="0.3">
      <c r="A433" t="s">
        <v>6058</v>
      </c>
      <c r="B433">
        <v>35</v>
      </c>
      <c r="C433" t="s">
        <v>6265</v>
      </c>
      <c r="D433" s="1032">
        <v>46019</v>
      </c>
      <c r="E433" t="s">
        <v>6091</v>
      </c>
      <c r="F433" t="s">
        <v>17</v>
      </c>
      <c r="G433" t="s">
        <v>6148</v>
      </c>
      <c r="H433" t="s">
        <v>16</v>
      </c>
      <c r="I433">
        <v>4</v>
      </c>
      <c r="J433">
        <v>1</v>
      </c>
      <c r="K433">
        <v>2</v>
      </c>
      <c r="L433">
        <v>1</v>
      </c>
      <c r="M433">
        <v>14</v>
      </c>
      <c r="N433">
        <v>-23</v>
      </c>
      <c r="O433">
        <v>37</v>
      </c>
      <c r="P433">
        <v>1</v>
      </c>
      <c r="Q433">
        <v>0</v>
      </c>
      <c r="R433">
        <v>1</v>
      </c>
      <c r="S433">
        <v>0</v>
      </c>
      <c r="T433">
        <v>4</v>
      </c>
      <c r="U433">
        <v>2</v>
      </c>
      <c r="V433">
        <v>5944</v>
      </c>
      <c r="W433" t="s">
        <v>6089</v>
      </c>
      <c r="X433" t="s">
        <v>6189</v>
      </c>
      <c r="Y433" t="s">
        <v>6089</v>
      </c>
      <c r="AA433" t="s">
        <v>4732</v>
      </c>
      <c r="AB433" t="s">
        <v>6471</v>
      </c>
      <c r="AC433" t="s">
        <v>6472</v>
      </c>
      <c r="AD433" t="s">
        <v>6474</v>
      </c>
      <c r="AE433" t="s">
        <v>6473</v>
      </c>
      <c r="AK433" t="s">
        <v>6524</v>
      </c>
    </row>
    <row r="434" spans="1:37" x14ac:dyDescent="0.3">
      <c r="A434" t="s">
        <v>6058</v>
      </c>
      <c r="B434">
        <v>36</v>
      </c>
      <c r="C434" t="s">
        <v>6266</v>
      </c>
      <c r="D434" s="1032">
        <v>46021</v>
      </c>
      <c r="E434" t="s">
        <v>327</v>
      </c>
      <c r="F434" t="s">
        <v>16</v>
      </c>
      <c r="G434" t="s">
        <v>6146</v>
      </c>
      <c r="H434" t="s">
        <v>743</v>
      </c>
      <c r="I434">
        <v>2</v>
      </c>
      <c r="J434">
        <v>3</v>
      </c>
      <c r="K434">
        <v>2</v>
      </c>
      <c r="L434">
        <v>3</v>
      </c>
      <c r="M434">
        <v>14</v>
      </c>
      <c r="N434">
        <v>-23</v>
      </c>
      <c r="O434">
        <v>37</v>
      </c>
      <c r="P434">
        <v>0</v>
      </c>
      <c r="Q434">
        <v>1</v>
      </c>
      <c r="R434">
        <v>0</v>
      </c>
      <c r="S434">
        <v>3</v>
      </c>
      <c r="T434">
        <v>2</v>
      </c>
      <c r="U434">
        <v>4</v>
      </c>
      <c r="V434">
        <v>10092</v>
      </c>
      <c r="W434" t="s">
        <v>6097</v>
      </c>
      <c r="X434" t="s">
        <v>6188</v>
      </c>
      <c r="Y434" t="s">
        <v>6187</v>
      </c>
      <c r="AA434" t="s">
        <v>3497</v>
      </c>
      <c r="AB434" t="s">
        <v>6475</v>
      </c>
      <c r="AC434" t="s">
        <v>6476</v>
      </c>
      <c r="AJ434" t="s">
        <v>6533</v>
      </c>
      <c r="AK434" t="s">
        <v>6525</v>
      </c>
    </row>
    <row r="435" spans="1:37" x14ac:dyDescent="0.3">
      <c r="A435" t="s">
        <v>6058</v>
      </c>
      <c r="B435">
        <v>37</v>
      </c>
      <c r="C435" t="s">
        <v>6267</v>
      </c>
      <c r="D435" s="1032">
        <v>46024</v>
      </c>
      <c r="E435" t="s">
        <v>331</v>
      </c>
      <c r="F435" t="s">
        <v>17</v>
      </c>
      <c r="G435" t="s">
        <v>6151</v>
      </c>
      <c r="H435" t="s">
        <v>743</v>
      </c>
      <c r="I435">
        <v>1</v>
      </c>
      <c r="J435">
        <v>8</v>
      </c>
      <c r="K435">
        <v>1</v>
      </c>
      <c r="L435">
        <v>8</v>
      </c>
      <c r="M435">
        <v>14</v>
      </c>
      <c r="N435">
        <v>-26</v>
      </c>
      <c r="O435">
        <v>37</v>
      </c>
      <c r="P435">
        <v>0</v>
      </c>
      <c r="Q435">
        <v>0</v>
      </c>
      <c r="R435">
        <v>2</v>
      </c>
      <c r="S435">
        <v>2</v>
      </c>
      <c r="T435">
        <v>4</v>
      </c>
      <c r="U435">
        <v>5</v>
      </c>
      <c r="V435">
        <v>5033</v>
      </c>
      <c r="W435" t="s">
        <v>6102</v>
      </c>
      <c r="X435" t="s">
        <v>6171</v>
      </c>
      <c r="Y435" t="s">
        <v>6102</v>
      </c>
      <c r="AA435" t="s">
        <v>6534</v>
      </c>
      <c r="AB435" t="s">
        <v>6477</v>
      </c>
      <c r="AK435" t="s">
        <v>6526</v>
      </c>
    </row>
    <row r="436" spans="1:37" x14ac:dyDescent="0.3">
      <c r="A436" t="s">
        <v>6058</v>
      </c>
      <c r="B436">
        <v>38</v>
      </c>
      <c r="C436" t="s">
        <v>6268</v>
      </c>
      <c r="D436" s="1032">
        <v>46026</v>
      </c>
      <c r="E436" t="s">
        <v>334</v>
      </c>
      <c r="F436" t="s">
        <v>16</v>
      </c>
      <c r="G436" t="s">
        <v>171</v>
      </c>
      <c r="H436" t="s">
        <v>794</v>
      </c>
      <c r="I436">
        <v>2</v>
      </c>
      <c r="J436">
        <v>3</v>
      </c>
      <c r="K436">
        <v>2</v>
      </c>
      <c r="L436">
        <v>2</v>
      </c>
      <c r="M436">
        <v>14</v>
      </c>
      <c r="N436">
        <v>-25</v>
      </c>
      <c r="O436">
        <v>38</v>
      </c>
      <c r="P436">
        <v>0</v>
      </c>
      <c r="Q436">
        <v>0</v>
      </c>
      <c r="R436">
        <v>0</v>
      </c>
      <c r="S436">
        <v>0</v>
      </c>
      <c r="T436">
        <v>2</v>
      </c>
      <c r="U436">
        <v>2</v>
      </c>
      <c r="V436">
        <v>5086</v>
      </c>
      <c r="W436" t="s">
        <v>6188</v>
      </c>
      <c r="X436" t="s">
        <v>6187</v>
      </c>
      <c r="Y436" t="s">
        <v>6187</v>
      </c>
      <c r="Z436" t="s">
        <v>3213</v>
      </c>
      <c r="AA436" t="s">
        <v>5867</v>
      </c>
      <c r="AB436" t="s">
        <v>6478</v>
      </c>
      <c r="AC436" t="s">
        <v>6479</v>
      </c>
      <c r="AK436" t="s">
        <v>6527</v>
      </c>
    </row>
    <row r="437" spans="1:37" x14ac:dyDescent="0.3">
      <c r="A437" t="s">
        <v>6058</v>
      </c>
      <c r="B437">
        <v>39</v>
      </c>
      <c r="C437" t="s">
        <v>6269</v>
      </c>
      <c r="D437" s="1032">
        <v>46028</v>
      </c>
      <c r="E437" t="s">
        <v>332</v>
      </c>
      <c r="F437" t="s">
        <v>17</v>
      </c>
      <c r="G437" t="s">
        <v>6148</v>
      </c>
      <c r="H437" t="s">
        <v>16</v>
      </c>
      <c r="I437">
        <v>4</v>
      </c>
      <c r="J437">
        <v>1</v>
      </c>
      <c r="K437">
        <v>2</v>
      </c>
      <c r="L437">
        <v>1</v>
      </c>
      <c r="M437">
        <v>14</v>
      </c>
      <c r="N437">
        <v>-25</v>
      </c>
      <c r="O437">
        <v>41</v>
      </c>
      <c r="P437">
        <v>1</v>
      </c>
      <c r="Q437">
        <v>0</v>
      </c>
      <c r="R437">
        <v>1</v>
      </c>
      <c r="S437">
        <v>0</v>
      </c>
      <c r="T437">
        <v>5</v>
      </c>
      <c r="U437">
        <v>3</v>
      </c>
      <c r="V437">
        <v>3564</v>
      </c>
      <c r="W437" t="s">
        <v>6118</v>
      </c>
      <c r="X437" t="s">
        <v>6188</v>
      </c>
      <c r="Y437" t="s">
        <v>6089</v>
      </c>
      <c r="AA437" t="s">
        <v>5912</v>
      </c>
      <c r="AB437" t="s">
        <v>6480</v>
      </c>
      <c r="AC437" t="s">
        <v>6481</v>
      </c>
      <c r="AD437" t="s">
        <v>6483</v>
      </c>
      <c r="AE437" t="s">
        <v>6482</v>
      </c>
      <c r="AK437" t="s">
        <v>6528</v>
      </c>
    </row>
    <row r="438" spans="1:37" x14ac:dyDescent="0.3">
      <c r="A438" t="s">
        <v>6058</v>
      </c>
      <c r="B438">
        <v>40</v>
      </c>
      <c r="C438" t="s">
        <v>6270</v>
      </c>
      <c r="D438" s="1032">
        <v>46031</v>
      </c>
      <c r="E438" t="s">
        <v>6179</v>
      </c>
      <c r="F438" t="s">
        <v>16</v>
      </c>
      <c r="G438" t="s">
        <v>6173</v>
      </c>
      <c r="H438" t="s">
        <v>743</v>
      </c>
      <c r="I438">
        <v>2</v>
      </c>
      <c r="J438">
        <v>7</v>
      </c>
      <c r="K438">
        <v>2</v>
      </c>
      <c r="L438">
        <v>7</v>
      </c>
      <c r="M438">
        <v>14</v>
      </c>
      <c r="N438">
        <v>-25</v>
      </c>
      <c r="O438">
        <v>41</v>
      </c>
      <c r="P438">
        <v>1</v>
      </c>
      <c r="Q438">
        <v>0</v>
      </c>
      <c r="R438">
        <v>0</v>
      </c>
      <c r="S438">
        <v>1</v>
      </c>
      <c r="T438">
        <v>2</v>
      </c>
      <c r="U438">
        <v>3</v>
      </c>
      <c r="V438">
        <v>6239</v>
      </c>
      <c r="W438" t="s">
        <v>6189</v>
      </c>
      <c r="X438" t="s">
        <v>6102</v>
      </c>
      <c r="Y438" t="s">
        <v>6102</v>
      </c>
      <c r="AA438" t="s">
        <v>6314</v>
      </c>
      <c r="AB438" t="s">
        <v>6484</v>
      </c>
      <c r="AC438" t="s">
        <v>6485</v>
      </c>
      <c r="AK438" t="s">
        <v>6308</v>
      </c>
    </row>
    <row r="439" spans="1:37" x14ac:dyDescent="0.3">
      <c r="A439" t="s">
        <v>6058</v>
      </c>
      <c r="B439">
        <v>41</v>
      </c>
      <c r="C439" t="s">
        <v>6271</v>
      </c>
      <c r="D439" s="1032">
        <v>46033</v>
      </c>
      <c r="E439" t="s">
        <v>6076</v>
      </c>
      <c r="F439" t="s">
        <v>16</v>
      </c>
      <c r="G439" t="s">
        <v>159</v>
      </c>
      <c r="H439" t="s">
        <v>793</v>
      </c>
      <c r="I439">
        <v>4</v>
      </c>
      <c r="J439">
        <v>3</v>
      </c>
      <c r="K439">
        <v>3</v>
      </c>
      <c r="L439">
        <v>3</v>
      </c>
      <c r="M439">
        <v>14</v>
      </c>
      <c r="N439">
        <v>-23</v>
      </c>
      <c r="O439">
        <v>43</v>
      </c>
      <c r="P439">
        <v>0</v>
      </c>
      <c r="Q439">
        <v>0</v>
      </c>
      <c r="R439">
        <v>0</v>
      </c>
      <c r="S439">
        <v>3</v>
      </c>
      <c r="T439">
        <v>2</v>
      </c>
      <c r="U439">
        <v>10</v>
      </c>
      <c r="V439">
        <v>5024</v>
      </c>
      <c r="W439" t="s">
        <v>6171</v>
      </c>
      <c r="X439" t="s">
        <v>6089</v>
      </c>
      <c r="Y439" t="s">
        <v>6187</v>
      </c>
      <c r="Z439" t="s">
        <v>355</v>
      </c>
      <c r="AA439" t="s">
        <v>6285</v>
      </c>
      <c r="AB439" t="s">
        <v>6486</v>
      </c>
      <c r="AC439" t="s">
        <v>6487</v>
      </c>
      <c r="AD439" t="s">
        <v>6488</v>
      </c>
      <c r="AJ439" t="s">
        <v>6286</v>
      </c>
      <c r="AK439" t="s">
        <v>6287</v>
      </c>
    </row>
    <row r="440" spans="1:37" x14ac:dyDescent="0.3">
      <c r="A440" t="s">
        <v>6058</v>
      </c>
      <c r="B440">
        <v>42</v>
      </c>
      <c r="C440" t="s">
        <v>6274</v>
      </c>
      <c r="D440" s="1032">
        <v>46035</v>
      </c>
      <c r="E440" t="s">
        <v>325</v>
      </c>
      <c r="F440" t="s">
        <v>16</v>
      </c>
      <c r="G440" t="s">
        <v>6084</v>
      </c>
      <c r="H440" t="s">
        <v>743</v>
      </c>
      <c r="I440">
        <v>1</v>
      </c>
      <c r="J440">
        <v>5</v>
      </c>
      <c r="K440">
        <v>1</v>
      </c>
      <c r="L440">
        <v>5</v>
      </c>
      <c r="M440">
        <v>14</v>
      </c>
      <c r="N440">
        <v>-23</v>
      </c>
      <c r="O440">
        <v>43</v>
      </c>
      <c r="P440">
        <v>0</v>
      </c>
      <c r="Q440">
        <v>0</v>
      </c>
      <c r="R440">
        <v>0</v>
      </c>
      <c r="S440">
        <v>3</v>
      </c>
      <c r="T440">
        <v>4</v>
      </c>
      <c r="U440">
        <v>4</v>
      </c>
      <c r="V440">
        <v>11604</v>
      </c>
      <c r="W440" t="s">
        <v>6189</v>
      </c>
      <c r="X440" t="s">
        <v>6187</v>
      </c>
      <c r="Y440" t="s">
        <v>6079</v>
      </c>
      <c r="AA440" t="s">
        <v>6289</v>
      </c>
      <c r="AB440" t="s">
        <v>6489</v>
      </c>
      <c r="AK440" t="s">
        <v>6288</v>
      </c>
    </row>
    <row r="441" spans="1:37" x14ac:dyDescent="0.3">
      <c r="A441" t="s">
        <v>6058</v>
      </c>
      <c r="B441">
        <v>43</v>
      </c>
      <c r="C441" t="s">
        <v>6272</v>
      </c>
      <c r="D441" s="1032">
        <v>46038</v>
      </c>
      <c r="E441" t="s">
        <v>328</v>
      </c>
      <c r="F441" t="s">
        <v>16</v>
      </c>
      <c r="G441" t="s">
        <v>6128</v>
      </c>
      <c r="H441" t="s">
        <v>743</v>
      </c>
      <c r="I441">
        <v>1</v>
      </c>
      <c r="J441">
        <v>4</v>
      </c>
      <c r="K441">
        <v>1</v>
      </c>
      <c r="L441">
        <v>3</v>
      </c>
      <c r="M441">
        <v>14</v>
      </c>
      <c r="N441">
        <v>-23</v>
      </c>
      <c r="O441">
        <v>43</v>
      </c>
      <c r="P441">
        <v>0</v>
      </c>
      <c r="Q441">
        <v>0</v>
      </c>
      <c r="R441">
        <v>0</v>
      </c>
      <c r="S441">
        <v>1</v>
      </c>
      <c r="T441">
        <v>4</v>
      </c>
      <c r="U441">
        <v>3</v>
      </c>
      <c r="V441">
        <v>9833</v>
      </c>
      <c r="W441" t="s">
        <v>6188</v>
      </c>
      <c r="X441" t="s">
        <v>6171</v>
      </c>
      <c r="Y441" t="s">
        <v>6097</v>
      </c>
      <c r="AA441" t="s">
        <v>6292</v>
      </c>
      <c r="AB441" t="s">
        <v>6490</v>
      </c>
      <c r="AK441" t="s">
        <v>6293</v>
      </c>
    </row>
    <row r="442" spans="1:37" x14ac:dyDescent="0.3">
      <c r="A442" t="s">
        <v>6058</v>
      </c>
      <c r="B442">
        <v>44</v>
      </c>
      <c r="C442" t="s">
        <v>6273</v>
      </c>
      <c r="D442" s="1032">
        <v>46040</v>
      </c>
      <c r="E442" t="s">
        <v>610</v>
      </c>
      <c r="F442" t="s">
        <v>16</v>
      </c>
      <c r="G442" t="s">
        <v>6128</v>
      </c>
      <c r="H442" t="s">
        <v>743</v>
      </c>
      <c r="I442">
        <v>1</v>
      </c>
      <c r="J442">
        <v>4</v>
      </c>
      <c r="K442">
        <v>1</v>
      </c>
      <c r="L442">
        <v>4</v>
      </c>
      <c r="M442">
        <v>14</v>
      </c>
      <c r="N442">
        <v>-23</v>
      </c>
      <c r="O442">
        <v>43</v>
      </c>
      <c r="P442">
        <v>0</v>
      </c>
      <c r="Q442">
        <v>0</v>
      </c>
      <c r="R442">
        <v>0</v>
      </c>
      <c r="S442">
        <v>0</v>
      </c>
      <c r="T442">
        <v>1</v>
      </c>
      <c r="U442">
        <v>5</v>
      </c>
      <c r="V442">
        <v>6625</v>
      </c>
      <c r="W442" t="s">
        <v>6171</v>
      </c>
      <c r="X442" t="s">
        <v>6171</v>
      </c>
      <c r="Y442" t="s">
        <v>6120</v>
      </c>
      <c r="AA442" t="s">
        <v>3778</v>
      </c>
      <c r="AB442" t="s">
        <v>6491</v>
      </c>
      <c r="AK442" t="s">
        <v>6315</v>
      </c>
    </row>
    <row r="443" spans="1:37" x14ac:dyDescent="0.3">
      <c r="A443" t="s">
        <v>6058</v>
      </c>
      <c r="B443">
        <v>45</v>
      </c>
      <c r="C443" t="s">
        <v>6275</v>
      </c>
      <c r="D443" s="1032">
        <v>46047</v>
      </c>
      <c r="E443" t="s">
        <v>626</v>
      </c>
      <c r="F443" t="s">
        <v>17</v>
      </c>
      <c r="G443" t="s">
        <v>6204</v>
      </c>
      <c r="H443" t="s">
        <v>743</v>
      </c>
      <c r="I443">
        <v>3</v>
      </c>
      <c r="J443">
        <v>5</v>
      </c>
      <c r="K443">
        <v>3</v>
      </c>
      <c r="L443">
        <v>4</v>
      </c>
      <c r="M443">
        <v>14</v>
      </c>
      <c r="N443">
        <v>-26</v>
      </c>
      <c r="O443">
        <v>43</v>
      </c>
      <c r="P443">
        <v>2</v>
      </c>
      <c r="Q443">
        <v>0</v>
      </c>
      <c r="R443">
        <v>1</v>
      </c>
      <c r="S443">
        <v>2</v>
      </c>
      <c r="T443">
        <v>4</v>
      </c>
      <c r="U443">
        <v>3</v>
      </c>
      <c r="V443">
        <v>3591</v>
      </c>
      <c r="W443" t="s">
        <v>6189</v>
      </c>
      <c r="X443" t="s">
        <v>6194</v>
      </c>
      <c r="Y443" t="s">
        <v>6097</v>
      </c>
      <c r="AA443" t="s">
        <v>3102</v>
      </c>
      <c r="AB443" t="s">
        <v>6492</v>
      </c>
      <c r="AC443" t="s">
        <v>6493</v>
      </c>
      <c r="AD443" t="s">
        <v>6494</v>
      </c>
      <c r="AJ443" t="s">
        <v>6290</v>
      </c>
      <c r="AK443" t="s">
        <v>6291</v>
      </c>
    </row>
    <row r="444" spans="1:37" x14ac:dyDescent="0.3">
      <c r="A444" t="s">
        <v>6058</v>
      </c>
      <c r="B444">
        <v>46</v>
      </c>
      <c r="C444" t="s">
        <v>6276</v>
      </c>
      <c r="D444" s="1032">
        <v>46049</v>
      </c>
      <c r="E444" t="s">
        <v>6086</v>
      </c>
      <c r="F444" t="s">
        <v>16</v>
      </c>
      <c r="G444" t="s">
        <v>6189</v>
      </c>
      <c r="H444" t="s">
        <v>743</v>
      </c>
      <c r="I444">
        <v>0</v>
      </c>
      <c r="J444">
        <v>1</v>
      </c>
      <c r="K444">
        <v>0</v>
      </c>
      <c r="L444">
        <v>1</v>
      </c>
      <c r="M444">
        <v>14</v>
      </c>
      <c r="N444">
        <v>-26</v>
      </c>
      <c r="O444">
        <v>43</v>
      </c>
      <c r="P444">
        <v>0</v>
      </c>
      <c r="Q444">
        <v>0</v>
      </c>
      <c r="R444">
        <v>0</v>
      </c>
      <c r="S444">
        <v>0</v>
      </c>
      <c r="T444">
        <v>2</v>
      </c>
      <c r="U444">
        <v>3</v>
      </c>
      <c r="V444">
        <v>2771</v>
      </c>
      <c r="W444" t="s">
        <v>6188</v>
      </c>
      <c r="X444" t="s">
        <v>6189</v>
      </c>
      <c r="Y444" t="s">
        <v>6188</v>
      </c>
      <c r="AA444" t="s">
        <v>6189</v>
      </c>
      <c r="AB444" t="s">
        <v>515</v>
      </c>
      <c r="AK444" t="s">
        <v>6295</v>
      </c>
    </row>
    <row r="445" spans="1:37" x14ac:dyDescent="0.3">
      <c r="A445" t="s">
        <v>6058</v>
      </c>
      <c r="B445">
        <v>47</v>
      </c>
      <c r="C445" t="s">
        <v>6277</v>
      </c>
      <c r="D445" s="1032">
        <v>46051</v>
      </c>
      <c r="E445" t="s">
        <v>1274</v>
      </c>
      <c r="F445" t="s">
        <v>17</v>
      </c>
      <c r="G445" t="s">
        <v>6092</v>
      </c>
      <c r="H445" t="s">
        <v>743</v>
      </c>
      <c r="I445">
        <v>3</v>
      </c>
      <c r="J445">
        <v>6</v>
      </c>
      <c r="K445">
        <v>3</v>
      </c>
      <c r="L445">
        <v>5</v>
      </c>
      <c r="M445">
        <v>14</v>
      </c>
      <c r="N445">
        <v>-29</v>
      </c>
      <c r="O445">
        <v>43</v>
      </c>
      <c r="P445">
        <v>1</v>
      </c>
      <c r="Q445">
        <v>0</v>
      </c>
      <c r="R445">
        <v>0</v>
      </c>
      <c r="S445">
        <v>1</v>
      </c>
      <c r="T445">
        <v>4</v>
      </c>
      <c r="U445">
        <v>1</v>
      </c>
      <c r="V445">
        <v>2810</v>
      </c>
      <c r="W445" t="s">
        <v>6097</v>
      </c>
      <c r="X445" t="s">
        <v>6171</v>
      </c>
      <c r="Y445" t="s">
        <v>6194</v>
      </c>
      <c r="AA445" t="s">
        <v>6319</v>
      </c>
      <c r="AB445" t="s">
        <v>6495</v>
      </c>
      <c r="AC445" t="s">
        <v>6496</v>
      </c>
      <c r="AD445" t="s">
        <v>6497</v>
      </c>
      <c r="AK445" t="s">
        <v>6318</v>
      </c>
    </row>
    <row r="446" spans="1:37" x14ac:dyDescent="0.3">
      <c r="D446" s="1032"/>
    </row>
    <row r="447" spans="1:37" x14ac:dyDescent="0.3">
      <c r="D447" s="1032"/>
    </row>
    <row r="448" spans="1:37" x14ac:dyDescent="0.3">
      <c r="D448" s="1032"/>
    </row>
    <row r="449" spans="4:4" x14ac:dyDescent="0.3">
      <c r="D449" s="1032"/>
    </row>
    <row r="450" spans="4:4" x14ac:dyDescent="0.3">
      <c r="D450" s="1032"/>
    </row>
    <row r="451" spans="4:4" x14ac:dyDescent="0.3">
      <c r="D451" s="1032"/>
    </row>
    <row r="452" spans="4:4" x14ac:dyDescent="0.3">
      <c r="D452" s="1032"/>
    </row>
    <row r="453" spans="4:4" x14ac:dyDescent="0.3">
      <c r="D453" s="1032"/>
    </row>
    <row r="454" spans="4:4" x14ac:dyDescent="0.3">
      <c r="D454" s="1032"/>
    </row>
    <row r="455" spans="4:4" x14ac:dyDescent="0.3">
      <c r="D455" s="1032"/>
    </row>
    <row r="456" spans="4:4" x14ac:dyDescent="0.3">
      <c r="D456" s="1032"/>
    </row>
    <row r="457" spans="4:4" x14ac:dyDescent="0.3">
      <c r="D457" s="1032"/>
    </row>
  </sheetData>
  <pageMargins left="0.7" right="0.7" top="0.78740157499999996" bottom="0.78740157499999996"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C77FB-DDE6-439A-87B5-5BF260A3F26E}">
  <dimension ref="A1:BC47"/>
  <sheetViews>
    <sheetView workbookViewId="0">
      <selection activeCell="L12" sqref="L12"/>
    </sheetView>
  </sheetViews>
  <sheetFormatPr defaultRowHeight="14.4" x14ac:dyDescent="0.3"/>
  <cols>
    <col min="1" max="1" width="3.33203125" customWidth="1"/>
    <col min="2" max="2" width="15.109375" customWidth="1"/>
    <col min="3" max="3" width="16.6640625" customWidth="1"/>
    <col min="4" max="4" width="15.44140625" customWidth="1"/>
    <col min="5" max="5" width="13.109375" customWidth="1"/>
    <col min="6" max="6" width="13.5546875" customWidth="1"/>
    <col min="7" max="7" width="15.33203125" customWidth="1"/>
    <col min="8" max="8" width="22.5546875" customWidth="1"/>
    <col min="9" max="9" width="16.6640625" customWidth="1"/>
    <col min="10" max="10" width="15.5546875" customWidth="1"/>
    <col min="11" max="11" width="20.44140625" customWidth="1"/>
    <col min="12" max="12" width="15.6640625" customWidth="1"/>
    <col min="13" max="13" width="14.33203125" customWidth="1"/>
    <col min="14" max="14" width="18.109375" customWidth="1"/>
    <col min="16" max="16" width="18.88671875" customWidth="1"/>
    <col min="17" max="17" width="13.44140625" customWidth="1"/>
    <col min="18" max="18" width="13.88671875" customWidth="1"/>
    <col min="19" max="19" width="14" customWidth="1"/>
    <col min="20" max="20" width="24.44140625" customWidth="1"/>
    <col min="21" max="21" width="19.44140625" customWidth="1"/>
    <col min="22" max="22" width="18.44140625" customWidth="1"/>
    <col min="23" max="23" width="32.109375" customWidth="1"/>
    <col min="24" max="24" width="17.5546875" customWidth="1"/>
    <col min="25" max="25" width="14.44140625" customWidth="1"/>
    <col min="26" max="26" width="13.5546875" customWidth="1"/>
    <col min="39" max="39" width="16.44140625" customWidth="1"/>
    <col min="40" max="40" width="35.33203125" customWidth="1"/>
    <col min="44" max="44" width="31.109375" customWidth="1"/>
    <col min="49" max="49" width="38" customWidth="1"/>
    <col min="52" max="52" width="31.44140625" customWidth="1"/>
    <col min="55" max="55" width="39.44140625" customWidth="1"/>
  </cols>
  <sheetData>
    <row r="1" spans="2:55" ht="14.25" customHeight="1" thickBot="1" x14ac:dyDescent="0.35"/>
    <row r="2" spans="2:55" x14ac:dyDescent="0.3">
      <c r="B2" s="303"/>
      <c r="C2" s="1142" t="s">
        <v>6052</v>
      </c>
      <c r="D2" s="1143"/>
      <c r="E2" s="1144"/>
      <c r="F2" s="1142" t="s">
        <v>6051</v>
      </c>
      <c r="G2" s="1143"/>
      <c r="H2" s="1144"/>
      <c r="I2" s="1142" t="s">
        <v>6049</v>
      </c>
      <c r="J2" s="1143"/>
      <c r="K2" s="1144"/>
      <c r="L2" s="1145" t="s">
        <v>3663</v>
      </c>
      <c r="M2" s="1143"/>
      <c r="N2" s="1144"/>
      <c r="P2" s="231"/>
      <c r="Q2" s="826" t="s">
        <v>5159</v>
      </c>
      <c r="R2" s="824" t="s">
        <v>5160</v>
      </c>
      <c r="S2" s="824" t="s">
        <v>5161</v>
      </c>
      <c r="T2" s="825" t="s">
        <v>5162</v>
      </c>
    </row>
    <row r="3" spans="2:55" ht="15" thickBot="1" x14ac:dyDescent="0.35">
      <c r="B3" s="304"/>
      <c r="C3" s="199" t="s">
        <v>999</v>
      </c>
      <c r="D3" s="200" t="s">
        <v>796</v>
      </c>
      <c r="E3" s="230" t="s">
        <v>1000</v>
      </c>
      <c r="F3" s="235" t="s">
        <v>999</v>
      </c>
      <c r="G3" s="200" t="s">
        <v>796</v>
      </c>
      <c r="H3" s="230" t="s">
        <v>1000</v>
      </c>
      <c r="I3" s="235" t="s">
        <v>999</v>
      </c>
      <c r="J3" s="200" t="s">
        <v>796</v>
      </c>
      <c r="K3" s="230" t="s">
        <v>1000</v>
      </c>
      <c r="L3" s="235" t="s">
        <v>999</v>
      </c>
      <c r="M3" s="200" t="s">
        <v>796</v>
      </c>
      <c r="N3" s="230" t="s">
        <v>1000</v>
      </c>
      <c r="P3" s="232"/>
      <c r="Q3" s="184" t="s">
        <v>5163</v>
      </c>
      <c r="R3" s="183" t="s">
        <v>5163</v>
      </c>
      <c r="S3" s="183" t="s">
        <v>5163</v>
      </c>
      <c r="T3" s="828" t="s">
        <v>5163</v>
      </c>
      <c r="AH3" s="2"/>
      <c r="AI3" s="2"/>
    </row>
    <row r="4" spans="2:55" x14ac:dyDescent="0.3">
      <c r="B4" s="280" t="s">
        <v>610</v>
      </c>
      <c r="C4" s="277">
        <v>13</v>
      </c>
      <c r="D4" s="278">
        <v>19</v>
      </c>
      <c r="E4" s="279">
        <f>D4/C4</f>
        <v>1.4615384615384615</v>
      </c>
      <c r="F4" s="171">
        <v>26</v>
      </c>
      <c r="G4" s="278">
        <v>43</v>
      </c>
      <c r="H4" s="279">
        <f t="shared" ref="H4:H17" si="0">G4/F4</f>
        <v>1.6538461538461537</v>
      </c>
      <c r="I4" s="171">
        <v>37</v>
      </c>
      <c r="J4" s="278">
        <v>58</v>
      </c>
      <c r="K4" s="279">
        <f t="shared" ref="K4:K17" si="1">J4/I4</f>
        <v>1.5675675675675675</v>
      </c>
      <c r="L4" s="171"/>
      <c r="M4" s="278"/>
      <c r="N4" s="279" t="e">
        <f t="shared" ref="N4:N17" si="2">M4/L4</f>
        <v>#DIV/0!</v>
      </c>
      <c r="P4" s="232" t="str">
        <f>B4</f>
        <v>Liberec</v>
      </c>
      <c r="Q4" s="830">
        <f>E4</f>
        <v>1.4615384615384615</v>
      </c>
      <c r="R4" s="827">
        <f>H4</f>
        <v>1.6538461538461537</v>
      </c>
      <c r="S4" s="827">
        <f>K4</f>
        <v>1.5675675675675675</v>
      </c>
      <c r="T4" s="275" t="e">
        <f>N4</f>
        <v>#DIV/0!</v>
      </c>
      <c r="AG4" s="2"/>
      <c r="AH4" s="2"/>
      <c r="AI4" s="60"/>
      <c r="AJ4" s="60"/>
      <c r="AK4" s="60"/>
      <c r="AL4" s="60"/>
      <c r="AM4" s="2"/>
      <c r="AN4" s="8"/>
      <c r="AO4" s="2"/>
      <c r="AR4" s="178"/>
      <c r="AW4" s="178"/>
      <c r="AZ4" s="178"/>
      <c r="BC4" s="178"/>
    </row>
    <row r="5" spans="2:55" x14ac:dyDescent="0.3">
      <c r="B5" s="281" t="s">
        <v>334</v>
      </c>
      <c r="C5" s="198">
        <v>12</v>
      </c>
      <c r="D5" s="183">
        <v>26</v>
      </c>
      <c r="E5" s="275">
        <f t="shared" ref="E5:E17" si="3">D5/C5</f>
        <v>2.1666666666666665</v>
      </c>
      <c r="F5" s="184">
        <v>25</v>
      </c>
      <c r="G5" s="183">
        <v>43</v>
      </c>
      <c r="H5" s="275">
        <f t="shared" si="0"/>
        <v>1.72</v>
      </c>
      <c r="I5" s="184">
        <v>39</v>
      </c>
      <c r="J5" s="183">
        <v>67</v>
      </c>
      <c r="K5" s="275">
        <f t="shared" si="1"/>
        <v>1.7179487179487178</v>
      </c>
      <c r="L5" s="184"/>
      <c r="M5" s="183"/>
      <c r="N5" s="275" t="e">
        <f t="shared" si="2"/>
        <v>#DIV/0!</v>
      </c>
      <c r="P5" s="232" t="str">
        <f t="shared" ref="P5:P17" si="4">B5</f>
        <v>Třinec</v>
      </c>
      <c r="Q5" s="830">
        <f>E5</f>
        <v>2.1666666666666665</v>
      </c>
      <c r="R5" s="827">
        <f t="shared" ref="R5:R16" si="5">H5</f>
        <v>1.72</v>
      </c>
      <c r="S5" s="827">
        <f t="shared" ref="S5:S16" si="6">K5</f>
        <v>1.7179487179487178</v>
      </c>
      <c r="T5" s="275" t="e">
        <f t="shared" ref="T5:T16" si="7">N5</f>
        <v>#DIV/0!</v>
      </c>
      <c r="AG5" s="2"/>
      <c r="AH5" s="2"/>
      <c r="AI5" s="60"/>
      <c r="AJ5" s="60"/>
      <c r="AK5" s="60"/>
      <c r="AL5" s="60"/>
      <c r="AM5" s="2"/>
      <c r="AN5" s="8"/>
      <c r="AO5" s="2"/>
      <c r="AR5" s="178"/>
      <c r="AW5" s="178"/>
      <c r="AZ5" s="8"/>
      <c r="BC5" s="178"/>
    </row>
    <row r="6" spans="2:55" x14ac:dyDescent="0.3">
      <c r="B6" s="281" t="s">
        <v>331</v>
      </c>
      <c r="C6" s="198">
        <v>12</v>
      </c>
      <c r="D6" s="183">
        <v>25</v>
      </c>
      <c r="E6" s="275">
        <f t="shared" si="3"/>
        <v>2.0833333333333335</v>
      </c>
      <c r="F6" s="184">
        <v>25</v>
      </c>
      <c r="G6" s="183">
        <v>43</v>
      </c>
      <c r="H6" s="275">
        <f t="shared" si="0"/>
        <v>1.72</v>
      </c>
      <c r="I6" s="184">
        <v>38</v>
      </c>
      <c r="J6" s="183">
        <v>66</v>
      </c>
      <c r="K6" s="275">
        <f t="shared" si="1"/>
        <v>1.736842105263158</v>
      </c>
      <c r="L6" s="171"/>
      <c r="M6" s="183"/>
      <c r="N6" s="275" t="e">
        <f t="shared" si="2"/>
        <v>#DIV/0!</v>
      </c>
      <c r="P6" s="232" t="str">
        <f t="shared" si="4"/>
        <v>Plzeň</v>
      </c>
      <c r="Q6" s="830">
        <f t="shared" ref="Q6:Q16" si="8">E6</f>
        <v>2.0833333333333335</v>
      </c>
      <c r="R6" s="827">
        <f t="shared" si="5"/>
        <v>1.72</v>
      </c>
      <c r="S6" s="827">
        <f t="shared" si="6"/>
        <v>1.736842105263158</v>
      </c>
      <c r="T6" s="275" t="e">
        <f t="shared" si="7"/>
        <v>#DIV/0!</v>
      </c>
      <c r="AG6" s="2"/>
      <c r="AH6" s="2"/>
      <c r="AI6" s="60"/>
      <c r="AJ6" s="60"/>
      <c r="AK6" s="60"/>
      <c r="AL6" s="60"/>
      <c r="AM6" s="2"/>
      <c r="AN6" s="182"/>
      <c r="AO6" s="2"/>
      <c r="AR6" s="178"/>
      <c r="AW6" s="178"/>
      <c r="AZ6" s="8"/>
      <c r="BC6" s="8"/>
    </row>
    <row r="7" spans="2:55" x14ac:dyDescent="0.3">
      <c r="B7" s="281" t="s">
        <v>1274</v>
      </c>
      <c r="C7" s="198">
        <v>12</v>
      </c>
      <c r="D7" s="183">
        <v>15</v>
      </c>
      <c r="E7" s="275">
        <f t="shared" si="3"/>
        <v>1.25</v>
      </c>
      <c r="F7" s="184">
        <v>25</v>
      </c>
      <c r="G7" s="183">
        <v>42</v>
      </c>
      <c r="H7" s="275">
        <f t="shared" si="0"/>
        <v>1.68</v>
      </c>
      <c r="I7" s="184">
        <v>37</v>
      </c>
      <c r="J7" s="183">
        <v>62</v>
      </c>
      <c r="K7" s="275">
        <f t="shared" si="1"/>
        <v>1.6756756756756757</v>
      </c>
      <c r="L7" s="184"/>
      <c r="M7" s="183"/>
      <c r="N7" s="275" t="e">
        <f t="shared" si="2"/>
        <v>#DIV/0!</v>
      </c>
      <c r="P7" s="232" t="str">
        <f t="shared" si="4"/>
        <v>Mountfield HK</v>
      </c>
      <c r="Q7" s="830">
        <f t="shared" si="8"/>
        <v>1.25</v>
      </c>
      <c r="R7" s="827">
        <f t="shared" si="5"/>
        <v>1.68</v>
      </c>
      <c r="S7" s="827">
        <f t="shared" si="6"/>
        <v>1.6756756756756757</v>
      </c>
      <c r="T7" s="275" t="e">
        <f t="shared" si="7"/>
        <v>#DIV/0!</v>
      </c>
      <c r="AG7" s="2"/>
      <c r="AH7" s="2"/>
      <c r="AI7" s="60"/>
      <c r="AJ7" s="60"/>
      <c r="AK7" s="60"/>
      <c r="AL7" s="60"/>
      <c r="AM7" s="2"/>
      <c r="AN7" s="8"/>
      <c r="AO7" s="2"/>
      <c r="AR7" s="178"/>
      <c r="AW7" s="8"/>
      <c r="AZ7" s="8"/>
      <c r="BC7" s="8"/>
    </row>
    <row r="8" spans="2:55" x14ac:dyDescent="0.3">
      <c r="B8" s="281" t="s">
        <v>6179</v>
      </c>
      <c r="C8" s="198">
        <v>13</v>
      </c>
      <c r="D8" s="183">
        <v>26</v>
      </c>
      <c r="E8" s="275">
        <f t="shared" si="3"/>
        <v>2</v>
      </c>
      <c r="F8" s="184">
        <v>25</v>
      </c>
      <c r="G8" s="183">
        <v>41</v>
      </c>
      <c r="H8" s="275">
        <f t="shared" si="0"/>
        <v>1.64</v>
      </c>
      <c r="I8" s="184">
        <v>38</v>
      </c>
      <c r="J8" s="183">
        <v>54</v>
      </c>
      <c r="K8" s="275">
        <f t="shared" si="1"/>
        <v>1.4210526315789473</v>
      </c>
      <c r="L8" s="171"/>
      <c r="M8" s="183"/>
      <c r="N8" s="275" t="e">
        <f t="shared" si="2"/>
        <v>#DIV/0!</v>
      </c>
      <c r="P8" s="232" t="str">
        <f t="shared" si="4"/>
        <v>Kometa Brno</v>
      </c>
      <c r="Q8" s="830">
        <f t="shared" si="8"/>
        <v>2</v>
      </c>
      <c r="R8" s="827">
        <f t="shared" si="5"/>
        <v>1.64</v>
      </c>
      <c r="S8" s="827">
        <f t="shared" si="6"/>
        <v>1.4210526315789473</v>
      </c>
      <c r="T8" s="275" t="e">
        <f t="shared" si="7"/>
        <v>#DIV/0!</v>
      </c>
      <c r="AG8" s="2"/>
      <c r="AH8" s="2"/>
      <c r="AI8" s="60"/>
      <c r="AJ8" s="60"/>
      <c r="AK8" s="60"/>
      <c r="AL8" s="60"/>
      <c r="AM8" s="2"/>
      <c r="AN8" s="8"/>
      <c r="AO8" s="2"/>
      <c r="AR8" s="178"/>
      <c r="AW8" s="8"/>
      <c r="AZ8" s="8"/>
      <c r="BC8" s="8"/>
    </row>
    <row r="9" spans="2:55" x14ac:dyDescent="0.3">
      <c r="B9" s="281" t="s">
        <v>626</v>
      </c>
      <c r="C9" s="198">
        <v>12</v>
      </c>
      <c r="D9" s="183">
        <v>19</v>
      </c>
      <c r="E9" s="275">
        <f t="shared" si="3"/>
        <v>1.5833333333333333</v>
      </c>
      <c r="F9" s="184">
        <v>26</v>
      </c>
      <c r="G9" s="183">
        <v>37</v>
      </c>
      <c r="H9" s="275">
        <f t="shared" si="0"/>
        <v>1.4230769230769231</v>
      </c>
      <c r="I9" s="184">
        <v>40</v>
      </c>
      <c r="J9" s="183">
        <v>56</v>
      </c>
      <c r="K9" s="275">
        <f t="shared" si="1"/>
        <v>1.4</v>
      </c>
      <c r="L9" s="184"/>
      <c r="M9" s="183"/>
      <c r="N9" s="275" t="e">
        <f t="shared" si="2"/>
        <v>#DIV/0!</v>
      </c>
      <c r="P9" s="232" t="str">
        <f t="shared" si="4"/>
        <v>Olomouc</v>
      </c>
      <c r="Q9" s="830">
        <f t="shared" si="8"/>
        <v>1.5833333333333333</v>
      </c>
      <c r="R9" s="827">
        <f t="shared" si="5"/>
        <v>1.4230769230769231</v>
      </c>
      <c r="S9" s="827">
        <f t="shared" si="6"/>
        <v>1.4</v>
      </c>
      <c r="T9" s="275" t="e">
        <f t="shared" si="7"/>
        <v>#DIV/0!</v>
      </c>
      <c r="AG9" s="2"/>
      <c r="AH9" s="2"/>
      <c r="AI9" s="60"/>
      <c r="AJ9" s="60"/>
      <c r="AK9" s="60"/>
      <c r="AL9" s="60"/>
      <c r="AM9" s="2"/>
      <c r="AN9" s="8"/>
      <c r="AO9" s="2"/>
      <c r="AR9" s="178"/>
      <c r="AW9" s="8"/>
      <c r="AZ9" s="272"/>
      <c r="BC9" s="8"/>
    </row>
    <row r="10" spans="2:55" x14ac:dyDescent="0.3">
      <c r="B10" s="281" t="s">
        <v>328</v>
      </c>
      <c r="C10" s="198">
        <v>12</v>
      </c>
      <c r="D10" s="183">
        <v>19</v>
      </c>
      <c r="E10" s="275">
        <f t="shared" si="3"/>
        <v>1.5833333333333333</v>
      </c>
      <c r="F10" s="184">
        <v>26</v>
      </c>
      <c r="G10" s="183">
        <v>41</v>
      </c>
      <c r="H10" s="275">
        <f t="shared" si="0"/>
        <v>1.5769230769230769</v>
      </c>
      <c r="I10" s="184">
        <v>41</v>
      </c>
      <c r="J10" s="183">
        <v>58</v>
      </c>
      <c r="K10" s="275">
        <f t="shared" si="1"/>
        <v>1.4146341463414633</v>
      </c>
      <c r="L10" s="171"/>
      <c r="M10" s="183"/>
      <c r="N10" s="275" t="e">
        <f t="shared" si="2"/>
        <v>#DIV/0!</v>
      </c>
      <c r="P10" s="232" t="str">
        <f t="shared" si="4"/>
        <v>Vítkovice</v>
      </c>
      <c r="Q10" s="830">
        <f t="shared" si="8"/>
        <v>1.5833333333333333</v>
      </c>
      <c r="R10" s="827">
        <f t="shared" si="5"/>
        <v>1.5769230769230769</v>
      </c>
      <c r="S10" s="827">
        <f t="shared" si="6"/>
        <v>1.4146341463414633</v>
      </c>
      <c r="T10" s="275" t="e">
        <f t="shared" si="7"/>
        <v>#DIV/0!</v>
      </c>
      <c r="AG10" s="2"/>
      <c r="AH10" s="2"/>
      <c r="AI10" s="60"/>
      <c r="AJ10" s="60"/>
      <c r="AK10" s="60"/>
      <c r="AL10" s="60"/>
      <c r="AM10" s="2"/>
      <c r="AN10" s="178"/>
      <c r="AO10" s="2"/>
      <c r="AR10" s="178"/>
      <c r="AW10" s="8"/>
      <c r="AZ10" s="8"/>
      <c r="BC10" s="8"/>
    </row>
    <row r="11" spans="2:55" x14ac:dyDescent="0.3">
      <c r="B11" s="281" t="s">
        <v>6086</v>
      </c>
      <c r="C11" s="198">
        <v>13</v>
      </c>
      <c r="D11" s="183">
        <v>13</v>
      </c>
      <c r="E11" s="275">
        <f t="shared" si="3"/>
        <v>1</v>
      </c>
      <c r="F11" s="184">
        <v>26</v>
      </c>
      <c r="G11" s="183">
        <v>35</v>
      </c>
      <c r="H11" s="275">
        <f t="shared" si="0"/>
        <v>1.3461538461538463</v>
      </c>
      <c r="I11" s="184">
        <v>37</v>
      </c>
      <c r="J11" s="183">
        <v>45</v>
      </c>
      <c r="K11" s="275">
        <f t="shared" si="1"/>
        <v>1.2162162162162162</v>
      </c>
      <c r="L11" s="184"/>
      <c r="M11" s="183"/>
      <c r="N11" s="275" t="e">
        <f t="shared" si="2"/>
        <v>#DIV/0!</v>
      </c>
      <c r="P11" s="232" t="str">
        <f t="shared" si="4"/>
        <v>Ml.Boleslav</v>
      </c>
      <c r="Q11" s="830">
        <f t="shared" si="8"/>
        <v>1</v>
      </c>
      <c r="R11" s="827">
        <f t="shared" si="5"/>
        <v>1.3461538461538463</v>
      </c>
      <c r="S11" s="827">
        <f t="shared" si="6"/>
        <v>1.2162162162162162</v>
      </c>
      <c r="T11" s="275" t="e">
        <f t="shared" si="7"/>
        <v>#DIV/0!</v>
      </c>
      <c r="AG11" s="2"/>
      <c r="AH11" s="2"/>
      <c r="AI11" s="60"/>
      <c r="AJ11" s="60"/>
      <c r="AK11" s="60"/>
      <c r="AL11" s="60"/>
      <c r="AM11" s="2"/>
      <c r="AN11" s="8"/>
      <c r="AO11" s="2"/>
      <c r="AR11" s="178"/>
      <c r="AW11" s="8"/>
      <c r="AZ11" s="8"/>
      <c r="BC11" s="8"/>
    </row>
    <row r="12" spans="2:55" x14ac:dyDescent="0.3">
      <c r="B12" s="281" t="s">
        <v>325</v>
      </c>
      <c r="C12" s="198">
        <v>13</v>
      </c>
      <c r="D12" s="183">
        <v>14</v>
      </c>
      <c r="E12" s="275">
        <f t="shared" si="3"/>
        <v>1.0769230769230769</v>
      </c>
      <c r="F12" s="184">
        <v>28</v>
      </c>
      <c r="G12" s="183">
        <v>48</v>
      </c>
      <c r="H12" s="275">
        <f t="shared" si="0"/>
        <v>1.7142857142857142</v>
      </c>
      <c r="I12" s="184">
        <v>37</v>
      </c>
      <c r="J12" s="183">
        <v>59</v>
      </c>
      <c r="K12" s="275">
        <f t="shared" si="1"/>
        <v>1.5945945945945945</v>
      </c>
      <c r="L12" s="171"/>
      <c r="M12" s="183"/>
      <c r="N12" s="275" t="e">
        <f t="shared" si="2"/>
        <v>#DIV/0!</v>
      </c>
      <c r="P12" s="232" t="str">
        <f t="shared" si="4"/>
        <v>Sparta</v>
      </c>
      <c r="Q12" s="830">
        <f t="shared" si="8"/>
        <v>1.0769230769230769</v>
      </c>
      <c r="R12" s="827">
        <f t="shared" si="5"/>
        <v>1.7142857142857142</v>
      </c>
      <c r="S12" s="827">
        <f t="shared" si="6"/>
        <v>1.5945945945945945</v>
      </c>
      <c r="T12" s="275" t="e">
        <f t="shared" si="7"/>
        <v>#DIV/0!</v>
      </c>
      <c r="AG12" s="2"/>
      <c r="AH12" s="2"/>
      <c r="AI12" s="60"/>
      <c r="AJ12" s="60"/>
      <c r="AK12" s="60"/>
      <c r="AL12" s="60"/>
      <c r="AM12" s="2"/>
      <c r="AN12" s="178"/>
      <c r="AO12" s="2"/>
      <c r="AR12" s="8"/>
      <c r="AZ12" s="8"/>
      <c r="BC12" s="8"/>
    </row>
    <row r="13" spans="2:55" x14ac:dyDescent="0.3">
      <c r="B13" s="282" t="s">
        <v>818</v>
      </c>
      <c r="C13" s="287">
        <v>12</v>
      </c>
      <c r="D13" s="288">
        <v>7</v>
      </c>
      <c r="E13" s="289">
        <f t="shared" si="3"/>
        <v>0.58333333333333337</v>
      </c>
      <c r="F13" s="237">
        <v>26</v>
      </c>
      <c r="G13" s="288">
        <v>18</v>
      </c>
      <c r="H13" s="289">
        <f>G13/F13</f>
        <v>0.69230769230769229</v>
      </c>
      <c r="I13" s="237">
        <v>39</v>
      </c>
      <c r="J13" s="288">
        <v>41</v>
      </c>
      <c r="K13" s="289">
        <f>J13/I13</f>
        <v>1.0512820512820513</v>
      </c>
      <c r="L13" s="403"/>
      <c r="M13" s="288"/>
      <c r="N13" s="289" t="e">
        <f t="shared" si="2"/>
        <v>#DIV/0!</v>
      </c>
      <c r="P13" s="239" t="str">
        <f t="shared" si="4"/>
        <v>Litvínov</v>
      </c>
      <c r="Q13" s="832">
        <f t="shared" si="8"/>
        <v>0.58333333333333337</v>
      </c>
      <c r="R13" s="833">
        <f t="shared" si="5"/>
        <v>0.69230769230769229</v>
      </c>
      <c r="S13" s="833">
        <f t="shared" si="6"/>
        <v>1.0512820512820513</v>
      </c>
      <c r="T13" s="289" t="e">
        <f t="shared" si="7"/>
        <v>#DIV/0!</v>
      </c>
      <c r="AG13" s="2"/>
      <c r="AH13" s="2"/>
      <c r="AI13" s="60"/>
      <c r="AJ13" s="60"/>
      <c r="AK13" s="60"/>
      <c r="AL13" s="60"/>
      <c r="AM13" s="2"/>
      <c r="AN13" s="178"/>
      <c r="AO13" s="2"/>
      <c r="AR13" s="8"/>
      <c r="AW13" s="182"/>
      <c r="BC13" s="8"/>
    </row>
    <row r="14" spans="2:55" x14ac:dyDescent="0.3">
      <c r="B14" s="281" t="s">
        <v>6076</v>
      </c>
      <c r="C14" s="198">
        <v>13</v>
      </c>
      <c r="D14" s="183">
        <v>19</v>
      </c>
      <c r="E14" s="275">
        <f t="shared" si="3"/>
        <v>1.4615384615384615</v>
      </c>
      <c r="F14" s="184">
        <v>25</v>
      </c>
      <c r="G14" s="183">
        <v>37</v>
      </c>
      <c r="H14" s="275">
        <f t="shared" si="0"/>
        <v>1.48</v>
      </c>
      <c r="I14" s="184">
        <v>38</v>
      </c>
      <c r="J14" s="183">
        <v>63</v>
      </c>
      <c r="K14" s="275">
        <f t="shared" si="1"/>
        <v>1.6578947368421053</v>
      </c>
      <c r="L14" s="184"/>
      <c r="M14" s="183"/>
      <c r="N14" s="275" t="e">
        <f t="shared" si="2"/>
        <v>#DIV/0!</v>
      </c>
      <c r="P14" s="232" t="str">
        <f t="shared" si="4"/>
        <v>Energie KV</v>
      </c>
      <c r="Q14" s="830">
        <f t="shared" si="8"/>
        <v>1.4615384615384615</v>
      </c>
      <c r="R14" s="827">
        <f t="shared" si="5"/>
        <v>1.48</v>
      </c>
      <c r="S14" s="827">
        <f t="shared" si="6"/>
        <v>1.6578947368421053</v>
      </c>
      <c r="T14" s="275" t="e">
        <f t="shared" si="7"/>
        <v>#DIV/0!</v>
      </c>
      <c r="AG14" s="2"/>
      <c r="AH14" s="2"/>
      <c r="AI14" s="60"/>
      <c r="AJ14" s="60"/>
      <c r="AK14" s="60"/>
      <c r="AL14" s="60"/>
      <c r="AM14" s="2"/>
      <c r="AN14" s="182"/>
      <c r="AO14" s="2"/>
      <c r="AR14" s="8"/>
      <c r="AW14" s="8"/>
      <c r="AZ14" s="178"/>
      <c r="BC14" s="8"/>
    </row>
    <row r="15" spans="2:55" x14ac:dyDescent="0.3">
      <c r="B15" s="281" t="s">
        <v>332</v>
      </c>
      <c r="C15" s="198">
        <v>13</v>
      </c>
      <c r="D15" s="183">
        <v>13</v>
      </c>
      <c r="E15" s="275">
        <f t="shared" si="3"/>
        <v>1</v>
      </c>
      <c r="F15" s="184">
        <v>26</v>
      </c>
      <c r="G15" s="183">
        <v>31</v>
      </c>
      <c r="H15" s="275">
        <f t="shared" si="0"/>
        <v>1.1923076923076923</v>
      </c>
      <c r="I15" s="184">
        <v>39</v>
      </c>
      <c r="J15" s="183">
        <v>46</v>
      </c>
      <c r="K15" s="275">
        <f t="shared" si="1"/>
        <v>1.1794871794871795</v>
      </c>
      <c r="L15" s="171"/>
      <c r="M15" s="183"/>
      <c r="N15" s="275" t="e">
        <f t="shared" si="2"/>
        <v>#DIV/0!</v>
      </c>
      <c r="P15" s="232" t="str">
        <f t="shared" si="4"/>
        <v>Kladno</v>
      </c>
      <c r="Q15" s="830">
        <f t="shared" si="8"/>
        <v>1</v>
      </c>
      <c r="R15" s="827">
        <f t="shared" si="5"/>
        <v>1.1923076923076923</v>
      </c>
      <c r="S15" s="827">
        <f t="shared" si="6"/>
        <v>1.1794871794871795</v>
      </c>
      <c r="T15" s="275" t="e">
        <f t="shared" si="7"/>
        <v>#DIV/0!</v>
      </c>
      <c r="AG15" s="2"/>
      <c r="AH15" s="2"/>
      <c r="AI15" s="60"/>
      <c r="AJ15" s="60"/>
      <c r="AK15" s="60"/>
      <c r="AL15" s="60"/>
      <c r="AM15" s="2"/>
      <c r="AN15" s="8"/>
      <c r="AO15" s="2"/>
      <c r="AR15" s="8"/>
      <c r="AW15" s="8"/>
      <c r="AZ15" s="8"/>
      <c r="BC15" s="8"/>
    </row>
    <row r="16" spans="2:55" x14ac:dyDescent="0.3">
      <c r="B16" s="281" t="s">
        <v>6091</v>
      </c>
      <c r="C16" s="198">
        <v>13</v>
      </c>
      <c r="D16" s="183">
        <v>27</v>
      </c>
      <c r="E16" s="275">
        <f t="shared" si="3"/>
        <v>2.0769230769230771</v>
      </c>
      <c r="F16" s="184">
        <v>26</v>
      </c>
      <c r="G16" s="183">
        <v>38</v>
      </c>
      <c r="H16" s="275">
        <f t="shared" si="0"/>
        <v>1.4615384615384615</v>
      </c>
      <c r="I16" s="184">
        <v>38</v>
      </c>
      <c r="J16" s="183">
        <v>55</v>
      </c>
      <c r="K16" s="275">
        <f t="shared" si="1"/>
        <v>1.4473684210526316</v>
      </c>
      <c r="L16" s="171"/>
      <c r="M16" s="183"/>
      <c r="N16" s="275" t="e">
        <f t="shared" si="2"/>
        <v>#DIV/0!</v>
      </c>
      <c r="P16" s="232" t="str">
        <f t="shared" si="4"/>
        <v>Motor ČB</v>
      </c>
      <c r="Q16" s="830">
        <f t="shared" si="8"/>
        <v>2.0769230769230771</v>
      </c>
      <c r="R16" s="827">
        <f t="shared" si="5"/>
        <v>1.4615384615384615</v>
      </c>
      <c r="S16" s="827">
        <f t="shared" si="6"/>
        <v>1.4473684210526316</v>
      </c>
      <c r="T16" s="275" t="e">
        <f t="shared" si="7"/>
        <v>#DIV/0!</v>
      </c>
      <c r="AG16" s="2"/>
      <c r="AH16" s="2"/>
      <c r="AI16" s="60"/>
      <c r="AJ16" s="60"/>
      <c r="AK16" s="60"/>
      <c r="AL16" s="60"/>
      <c r="AM16" s="2"/>
      <c r="AN16" s="178"/>
      <c r="AO16" s="2"/>
      <c r="AR16" s="8"/>
      <c r="AW16" s="182"/>
      <c r="AZ16" s="8"/>
      <c r="BC16" s="8"/>
    </row>
    <row r="17" spans="2:55" ht="15" thickBot="1" x14ac:dyDescent="0.35">
      <c r="B17" s="283" t="s">
        <v>327</v>
      </c>
      <c r="C17" s="199">
        <v>13</v>
      </c>
      <c r="D17" s="200">
        <v>22</v>
      </c>
      <c r="E17" s="276">
        <f t="shared" si="3"/>
        <v>1.6923076923076923</v>
      </c>
      <c r="F17" s="235">
        <v>25</v>
      </c>
      <c r="G17" s="200">
        <v>43</v>
      </c>
      <c r="H17" s="276">
        <f t="shared" si="0"/>
        <v>1.72</v>
      </c>
      <c r="I17" s="235">
        <v>38</v>
      </c>
      <c r="J17" s="200">
        <v>74</v>
      </c>
      <c r="K17" s="276">
        <f t="shared" si="1"/>
        <v>1.9473684210526316</v>
      </c>
      <c r="L17" s="235"/>
      <c r="M17" s="200"/>
      <c r="N17" s="276" t="e">
        <f t="shared" si="2"/>
        <v>#DIV/0!</v>
      </c>
      <c r="P17" s="233" t="str">
        <f t="shared" si="4"/>
        <v>Pardubice</v>
      </c>
      <c r="Q17" s="831">
        <f>E17</f>
        <v>1.6923076923076923</v>
      </c>
      <c r="R17" s="829">
        <f>H17</f>
        <v>1.72</v>
      </c>
      <c r="S17" s="829">
        <f>K17</f>
        <v>1.9473684210526316</v>
      </c>
      <c r="T17" s="276" t="e">
        <f>N17</f>
        <v>#DIV/0!</v>
      </c>
      <c r="AG17" s="2"/>
      <c r="AH17" s="2"/>
      <c r="AI17" s="60"/>
      <c r="AJ17" s="60"/>
      <c r="AK17" s="60"/>
      <c r="AL17" s="60"/>
      <c r="AM17" s="2"/>
      <c r="AN17" s="178"/>
      <c r="AO17" s="2"/>
      <c r="AR17" s="8"/>
      <c r="AW17" s="178"/>
      <c r="AZ17" s="8"/>
      <c r="BC17" s="8"/>
    </row>
    <row r="18" spans="2:55" ht="15" thickBot="1" x14ac:dyDescent="0.35">
      <c r="AG18" s="2"/>
      <c r="AH18" s="2"/>
      <c r="AI18" s="60"/>
      <c r="AJ18" s="60"/>
      <c r="AK18" s="60"/>
      <c r="AL18" s="60"/>
      <c r="AM18" s="2"/>
      <c r="AN18" s="8"/>
      <c r="AO18" s="2"/>
      <c r="AR18" s="8"/>
    </row>
    <row r="19" spans="2:55" ht="15" thickBot="1" x14ac:dyDescent="0.35">
      <c r="B19" s="291"/>
      <c r="C19" s="292"/>
      <c r="D19" s="292"/>
      <c r="E19" s="292"/>
      <c r="F19" s="292"/>
      <c r="G19" s="292"/>
      <c r="H19" s="292"/>
      <c r="I19" s="292"/>
      <c r="J19" s="292"/>
      <c r="K19" s="292"/>
      <c r="L19" s="292"/>
      <c r="M19" s="292"/>
      <c r="N19" s="293"/>
      <c r="AG19" s="2"/>
      <c r="AH19" s="2"/>
      <c r="AI19" s="60"/>
      <c r="AJ19" s="60"/>
      <c r="AK19" s="60"/>
      <c r="AL19" s="60"/>
      <c r="AM19" s="2"/>
      <c r="AN19" s="8"/>
      <c r="AO19" s="2"/>
      <c r="AR19" s="8"/>
    </row>
    <row r="20" spans="2:55" ht="15" thickBot="1" x14ac:dyDescent="0.35">
      <c r="AG20" s="2"/>
      <c r="AH20" s="2"/>
      <c r="AI20" s="60"/>
      <c r="AJ20" s="60"/>
      <c r="AK20" s="60"/>
      <c r="AL20" s="60"/>
      <c r="AM20" s="2"/>
      <c r="AN20" s="8"/>
      <c r="AO20" s="2"/>
      <c r="AR20" s="8"/>
    </row>
    <row r="21" spans="2:55" x14ac:dyDescent="0.3">
      <c r="B21" s="303"/>
      <c r="C21" s="1142" t="s">
        <v>6052</v>
      </c>
      <c r="D21" s="1143"/>
      <c r="E21" s="1144"/>
      <c r="F21" s="1145" t="s">
        <v>6053</v>
      </c>
      <c r="G21" s="1143"/>
      <c r="H21" s="1144"/>
      <c r="I21" s="1142" t="s">
        <v>6054</v>
      </c>
      <c r="J21" s="1143"/>
      <c r="K21" s="1144"/>
      <c r="L21" s="1142" t="s">
        <v>6055</v>
      </c>
      <c r="M21" s="1143"/>
      <c r="N21" s="1144"/>
      <c r="P21" s="231"/>
      <c r="Q21" s="826" t="s">
        <v>4180</v>
      </c>
      <c r="R21" s="824" t="s">
        <v>4181</v>
      </c>
      <c r="S21" s="824" t="s">
        <v>4182</v>
      </c>
      <c r="T21" s="825" t="s">
        <v>4183</v>
      </c>
      <c r="AG21" s="2"/>
      <c r="AH21" s="2"/>
      <c r="AI21" s="60"/>
      <c r="AJ21" s="60"/>
      <c r="AK21" s="60"/>
      <c r="AL21" s="60"/>
      <c r="AM21" s="2"/>
      <c r="AN21" s="8"/>
      <c r="AO21" s="2"/>
      <c r="AR21" s="272"/>
    </row>
    <row r="22" spans="2:55" ht="15" thickBot="1" x14ac:dyDescent="0.35">
      <c r="B22" s="304"/>
      <c r="C22" s="199" t="s">
        <v>999</v>
      </c>
      <c r="D22" s="200" t="s">
        <v>796</v>
      </c>
      <c r="E22" s="404" t="s">
        <v>1000</v>
      </c>
      <c r="F22" s="199" t="s">
        <v>999</v>
      </c>
      <c r="G22" s="200" t="s">
        <v>796</v>
      </c>
      <c r="H22" s="404" t="s">
        <v>1000</v>
      </c>
      <c r="I22" s="199" t="s">
        <v>999</v>
      </c>
      <c r="J22" s="200" t="s">
        <v>796</v>
      </c>
      <c r="K22" s="408" t="s">
        <v>1000</v>
      </c>
      <c r="L22" s="199" t="s">
        <v>999</v>
      </c>
      <c r="M22" s="200" t="s">
        <v>796</v>
      </c>
      <c r="N22" s="408" t="s">
        <v>1000</v>
      </c>
      <c r="P22" s="232"/>
      <c r="Q22" s="184" t="s">
        <v>5163</v>
      </c>
      <c r="R22" s="183" t="s">
        <v>5163</v>
      </c>
      <c r="S22" s="183" t="s">
        <v>5163</v>
      </c>
      <c r="T22" s="828" t="s">
        <v>5163</v>
      </c>
      <c r="AG22" s="2"/>
      <c r="AH22" s="2"/>
      <c r="AI22" s="60"/>
      <c r="AJ22" s="60"/>
      <c r="AK22" s="60"/>
      <c r="AL22" s="60"/>
      <c r="AM22" s="2"/>
      <c r="AN22" s="8"/>
      <c r="AO22" s="2"/>
      <c r="AR22" s="8"/>
    </row>
    <row r="23" spans="2:55" x14ac:dyDescent="0.3">
      <c r="B23" s="280" t="s">
        <v>610</v>
      </c>
      <c r="C23" s="277">
        <f>C4</f>
        <v>13</v>
      </c>
      <c r="D23" s="278">
        <f>D4</f>
        <v>19</v>
      </c>
      <c r="E23" s="405">
        <f t="shared" ref="E23:E36" si="9">D23/C23</f>
        <v>1.4615384615384615</v>
      </c>
      <c r="F23" s="277">
        <f>F4-C4</f>
        <v>13</v>
      </c>
      <c r="G23" s="278">
        <f t="shared" ref="F23:G36" si="10">G4-D4</f>
        <v>24</v>
      </c>
      <c r="H23" s="405">
        <f t="shared" ref="H23:H36" si="11">G23/F23</f>
        <v>1.8461538461538463</v>
      </c>
      <c r="I23" s="277">
        <f>I4-F4</f>
        <v>11</v>
      </c>
      <c r="J23" s="278">
        <f t="shared" ref="I23:J36" si="12">J4-G4</f>
        <v>15</v>
      </c>
      <c r="K23" s="405">
        <f t="shared" ref="K23:K36" si="13">J23/I23</f>
        <v>1.3636363636363635</v>
      </c>
      <c r="L23" s="277">
        <f>L4-I4</f>
        <v>-37</v>
      </c>
      <c r="M23" s="278">
        <f t="shared" ref="L23:M36" si="14">M4-J4</f>
        <v>-58</v>
      </c>
      <c r="N23" s="405">
        <f t="shared" ref="N23:N36" si="15">M23/L23</f>
        <v>1.5675675675675675</v>
      </c>
      <c r="P23" s="232" t="str">
        <f t="shared" ref="P23:P36" si="16">B23</f>
        <v>Liberec</v>
      </c>
      <c r="Q23" s="830">
        <f t="shared" ref="Q23:Q36" si="17">E23</f>
        <v>1.4615384615384615</v>
      </c>
      <c r="R23" s="827">
        <f t="shared" ref="R23:R36" si="18">H23</f>
        <v>1.8461538461538463</v>
      </c>
      <c r="S23" s="827">
        <f t="shared" ref="S23:S36" si="19">K23</f>
        <v>1.3636363636363635</v>
      </c>
      <c r="T23" s="275">
        <f t="shared" ref="T23:T36" si="20">N23</f>
        <v>1.5675675675675675</v>
      </c>
      <c r="AG23" s="2"/>
      <c r="AH23" s="2"/>
      <c r="AI23" s="60"/>
      <c r="AJ23" s="60"/>
      <c r="AK23" s="60"/>
      <c r="AL23" s="60"/>
      <c r="AM23" s="2"/>
      <c r="AN23" s="8"/>
      <c r="AO23" s="2"/>
      <c r="AR23" s="8"/>
    </row>
    <row r="24" spans="2:55" x14ac:dyDescent="0.3">
      <c r="B24" s="281" t="s">
        <v>334</v>
      </c>
      <c r="C24" s="277">
        <f t="shared" ref="C24:D35" si="21">C5</f>
        <v>12</v>
      </c>
      <c r="D24" s="278">
        <f t="shared" si="21"/>
        <v>26</v>
      </c>
      <c r="E24" s="406">
        <f t="shared" si="9"/>
        <v>2.1666666666666665</v>
      </c>
      <c r="F24" s="277">
        <f t="shared" si="10"/>
        <v>13</v>
      </c>
      <c r="G24" s="278">
        <f t="shared" si="10"/>
        <v>17</v>
      </c>
      <c r="H24" s="406">
        <f t="shared" si="11"/>
        <v>1.3076923076923077</v>
      </c>
      <c r="I24" s="277">
        <f t="shared" si="12"/>
        <v>14</v>
      </c>
      <c r="J24" s="278">
        <f t="shared" si="12"/>
        <v>24</v>
      </c>
      <c r="K24" s="406">
        <f t="shared" si="13"/>
        <v>1.7142857142857142</v>
      </c>
      <c r="L24" s="277">
        <f t="shared" si="14"/>
        <v>-39</v>
      </c>
      <c r="M24" s="278">
        <f t="shared" si="14"/>
        <v>-67</v>
      </c>
      <c r="N24" s="406">
        <f t="shared" si="15"/>
        <v>1.7179487179487178</v>
      </c>
      <c r="P24" s="232" t="str">
        <f t="shared" si="16"/>
        <v>Třinec</v>
      </c>
      <c r="Q24" s="830">
        <f t="shared" si="17"/>
        <v>2.1666666666666665</v>
      </c>
      <c r="R24" s="827">
        <f t="shared" si="18"/>
        <v>1.3076923076923077</v>
      </c>
      <c r="S24" s="827">
        <f t="shared" si="19"/>
        <v>1.7142857142857142</v>
      </c>
      <c r="T24" s="275">
        <f t="shared" si="20"/>
        <v>1.7179487179487178</v>
      </c>
      <c r="AG24" s="2"/>
      <c r="AH24" s="2"/>
      <c r="AI24" s="60"/>
      <c r="AJ24" s="60"/>
      <c r="AK24" s="60"/>
      <c r="AL24" s="60"/>
      <c r="AM24" s="2"/>
      <c r="AN24" s="8"/>
      <c r="AO24" s="2"/>
      <c r="AR24" s="8"/>
    </row>
    <row r="25" spans="2:55" x14ac:dyDescent="0.3">
      <c r="B25" s="281" t="s">
        <v>331</v>
      </c>
      <c r="C25" s="277">
        <f t="shared" si="21"/>
        <v>12</v>
      </c>
      <c r="D25" s="278">
        <f t="shared" si="21"/>
        <v>25</v>
      </c>
      <c r="E25" s="406">
        <f t="shared" si="9"/>
        <v>2.0833333333333335</v>
      </c>
      <c r="F25" s="277">
        <f t="shared" si="10"/>
        <v>13</v>
      </c>
      <c r="G25" s="278">
        <f t="shared" si="10"/>
        <v>18</v>
      </c>
      <c r="H25" s="406">
        <f t="shared" si="11"/>
        <v>1.3846153846153846</v>
      </c>
      <c r="I25" s="277">
        <f t="shared" si="12"/>
        <v>13</v>
      </c>
      <c r="J25" s="278">
        <f t="shared" si="12"/>
        <v>23</v>
      </c>
      <c r="K25" s="406">
        <f t="shared" si="13"/>
        <v>1.7692307692307692</v>
      </c>
      <c r="L25" s="277">
        <f t="shared" si="14"/>
        <v>-38</v>
      </c>
      <c r="M25" s="278">
        <f t="shared" si="14"/>
        <v>-66</v>
      </c>
      <c r="N25" s="406">
        <f t="shared" si="15"/>
        <v>1.736842105263158</v>
      </c>
      <c r="P25" s="232" t="str">
        <f t="shared" si="16"/>
        <v>Plzeň</v>
      </c>
      <c r="Q25" s="830">
        <f t="shared" si="17"/>
        <v>2.0833333333333335</v>
      </c>
      <c r="R25" s="827">
        <f t="shared" si="18"/>
        <v>1.3846153846153846</v>
      </c>
      <c r="S25" s="827">
        <f t="shared" si="19"/>
        <v>1.7692307692307692</v>
      </c>
      <c r="T25" s="275">
        <f t="shared" si="20"/>
        <v>1.736842105263158</v>
      </c>
      <c r="AG25" s="2"/>
      <c r="AH25" s="2"/>
      <c r="AI25" s="60"/>
      <c r="AJ25" s="60"/>
      <c r="AK25" s="60"/>
      <c r="AL25" s="60"/>
      <c r="AM25" s="2"/>
      <c r="AN25" s="272"/>
      <c r="AO25" s="2"/>
      <c r="AR25" s="8"/>
    </row>
    <row r="26" spans="2:55" x14ac:dyDescent="0.3">
      <c r="B26" s="281" t="s">
        <v>1274</v>
      </c>
      <c r="C26" s="277">
        <f t="shared" si="21"/>
        <v>12</v>
      </c>
      <c r="D26" s="278">
        <f t="shared" si="21"/>
        <v>15</v>
      </c>
      <c r="E26" s="406">
        <f t="shared" si="9"/>
        <v>1.25</v>
      </c>
      <c r="F26" s="277">
        <f t="shared" si="10"/>
        <v>13</v>
      </c>
      <c r="G26" s="278">
        <f t="shared" si="10"/>
        <v>27</v>
      </c>
      <c r="H26" s="406">
        <f t="shared" si="11"/>
        <v>2.0769230769230771</v>
      </c>
      <c r="I26" s="277">
        <f t="shared" si="12"/>
        <v>12</v>
      </c>
      <c r="J26" s="278">
        <f t="shared" si="12"/>
        <v>20</v>
      </c>
      <c r="K26" s="406">
        <f t="shared" si="13"/>
        <v>1.6666666666666667</v>
      </c>
      <c r="L26" s="277">
        <f t="shared" si="14"/>
        <v>-37</v>
      </c>
      <c r="M26" s="278">
        <f t="shared" si="14"/>
        <v>-62</v>
      </c>
      <c r="N26" s="406">
        <f t="shared" si="15"/>
        <v>1.6756756756756757</v>
      </c>
      <c r="P26" s="232" t="str">
        <f t="shared" si="16"/>
        <v>Mountfield HK</v>
      </c>
      <c r="Q26" s="830">
        <f t="shared" si="17"/>
        <v>1.25</v>
      </c>
      <c r="R26" s="827">
        <f t="shared" si="18"/>
        <v>2.0769230769230771</v>
      </c>
      <c r="S26" s="827">
        <f t="shared" si="19"/>
        <v>1.6666666666666667</v>
      </c>
      <c r="T26" s="275">
        <f t="shared" si="20"/>
        <v>1.6756756756756757</v>
      </c>
      <c r="AG26" s="2"/>
      <c r="AH26" s="2"/>
      <c r="AI26" s="60"/>
      <c r="AJ26" s="60"/>
      <c r="AK26" s="60"/>
      <c r="AL26" s="60"/>
      <c r="AM26" s="2"/>
      <c r="AN26" s="8"/>
      <c r="AO26" s="2"/>
      <c r="AR26" s="8"/>
    </row>
    <row r="27" spans="2:55" x14ac:dyDescent="0.3">
      <c r="B27" s="281" t="s">
        <v>6179</v>
      </c>
      <c r="C27" s="277">
        <f t="shared" si="21"/>
        <v>13</v>
      </c>
      <c r="D27" s="278">
        <f t="shared" si="21"/>
        <v>26</v>
      </c>
      <c r="E27" s="406">
        <f t="shared" si="9"/>
        <v>2</v>
      </c>
      <c r="F27" s="277">
        <f t="shared" si="10"/>
        <v>12</v>
      </c>
      <c r="G27" s="278">
        <f t="shared" si="10"/>
        <v>15</v>
      </c>
      <c r="H27" s="406">
        <f t="shared" si="11"/>
        <v>1.25</v>
      </c>
      <c r="I27" s="277">
        <f t="shared" si="12"/>
        <v>13</v>
      </c>
      <c r="J27" s="278">
        <f t="shared" si="12"/>
        <v>13</v>
      </c>
      <c r="K27" s="406">
        <f t="shared" si="13"/>
        <v>1</v>
      </c>
      <c r="L27" s="277">
        <f t="shared" si="14"/>
        <v>-38</v>
      </c>
      <c r="M27" s="278">
        <f t="shared" si="14"/>
        <v>-54</v>
      </c>
      <c r="N27" s="406">
        <f t="shared" si="15"/>
        <v>1.4210526315789473</v>
      </c>
      <c r="P27" s="232" t="str">
        <f t="shared" si="16"/>
        <v>Kometa Brno</v>
      </c>
      <c r="Q27" s="830">
        <f t="shared" si="17"/>
        <v>2</v>
      </c>
      <c r="R27" s="827">
        <f t="shared" si="18"/>
        <v>1.25</v>
      </c>
      <c r="S27" s="827">
        <f t="shared" si="19"/>
        <v>1</v>
      </c>
      <c r="T27" s="275">
        <f t="shared" si="20"/>
        <v>1.4210526315789473</v>
      </c>
      <c r="AG27" s="2"/>
      <c r="AH27" s="2"/>
      <c r="AI27" s="2"/>
      <c r="AJ27" s="60"/>
      <c r="AK27" s="60"/>
      <c r="AL27" s="60"/>
      <c r="AM27" s="2"/>
      <c r="AN27" s="8"/>
      <c r="AO27" s="2"/>
      <c r="AR27" s="8"/>
    </row>
    <row r="28" spans="2:55" x14ac:dyDescent="0.3">
      <c r="B28" s="281" t="s">
        <v>626</v>
      </c>
      <c r="C28" s="277">
        <f t="shared" si="21"/>
        <v>12</v>
      </c>
      <c r="D28" s="278">
        <f t="shared" si="21"/>
        <v>19</v>
      </c>
      <c r="E28" s="406">
        <f t="shared" si="9"/>
        <v>1.5833333333333333</v>
      </c>
      <c r="F28" s="277">
        <f t="shared" si="10"/>
        <v>14</v>
      </c>
      <c r="G28" s="278">
        <f t="shared" si="10"/>
        <v>18</v>
      </c>
      <c r="H28" s="406">
        <f t="shared" si="11"/>
        <v>1.2857142857142858</v>
      </c>
      <c r="I28" s="277">
        <f t="shared" si="12"/>
        <v>14</v>
      </c>
      <c r="J28" s="278">
        <f t="shared" si="12"/>
        <v>19</v>
      </c>
      <c r="K28" s="406">
        <f>J28/I28</f>
        <v>1.3571428571428572</v>
      </c>
      <c r="L28" s="277">
        <f t="shared" si="14"/>
        <v>-40</v>
      </c>
      <c r="M28" s="278">
        <f t="shared" si="14"/>
        <v>-56</v>
      </c>
      <c r="N28" s="406">
        <f t="shared" si="15"/>
        <v>1.4</v>
      </c>
      <c r="P28" s="232" t="str">
        <f t="shared" si="16"/>
        <v>Olomouc</v>
      </c>
      <c r="Q28" s="830">
        <f t="shared" si="17"/>
        <v>1.5833333333333333</v>
      </c>
      <c r="R28" s="827">
        <f t="shared" si="18"/>
        <v>1.2857142857142858</v>
      </c>
      <c r="S28" s="827">
        <f t="shared" si="19"/>
        <v>1.3571428571428572</v>
      </c>
      <c r="T28" s="275">
        <f t="shared" si="20"/>
        <v>1.4</v>
      </c>
      <c r="AG28" s="2"/>
      <c r="AH28" s="2"/>
      <c r="AI28" s="60"/>
      <c r="AJ28" s="60"/>
      <c r="AK28" s="60"/>
      <c r="AL28" s="60"/>
      <c r="AM28" s="2"/>
      <c r="AN28" s="178"/>
      <c r="AO28" s="2"/>
      <c r="AR28" s="8"/>
    </row>
    <row r="29" spans="2:55" x14ac:dyDescent="0.3">
      <c r="B29" s="281" t="s">
        <v>328</v>
      </c>
      <c r="C29" s="277">
        <f t="shared" si="21"/>
        <v>12</v>
      </c>
      <c r="D29" s="278">
        <f t="shared" si="21"/>
        <v>19</v>
      </c>
      <c r="E29" s="406">
        <f t="shared" si="9"/>
        <v>1.5833333333333333</v>
      </c>
      <c r="F29" s="277">
        <f t="shared" si="10"/>
        <v>14</v>
      </c>
      <c r="G29" s="278">
        <f t="shared" si="10"/>
        <v>22</v>
      </c>
      <c r="H29" s="406">
        <f t="shared" si="11"/>
        <v>1.5714285714285714</v>
      </c>
      <c r="I29" s="277">
        <f t="shared" si="12"/>
        <v>15</v>
      </c>
      <c r="J29" s="278">
        <f t="shared" si="12"/>
        <v>17</v>
      </c>
      <c r="K29" s="406">
        <f t="shared" si="13"/>
        <v>1.1333333333333333</v>
      </c>
      <c r="L29" s="277">
        <f t="shared" si="14"/>
        <v>-41</v>
      </c>
      <c r="M29" s="278">
        <f t="shared" si="14"/>
        <v>-58</v>
      </c>
      <c r="N29" s="406">
        <f t="shared" si="15"/>
        <v>1.4146341463414633</v>
      </c>
      <c r="P29" s="232" t="str">
        <f t="shared" si="16"/>
        <v>Vítkovice</v>
      </c>
      <c r="Q29" s="830">
        <f t="shared" si="17"/>
        <v>1.5833333333333333</v>
      </c>
      <c r="R29" s="827">
        <f t="shared" si="18"/>
        <v>1.5714285714285714</v>
      </c>
      <c r="S29" s="827">
        <f t="shared" si="19"/>
        <v>1.1333333333333333</v>
      </c>
      <c r="T29" s="275">
        <f t="shared" si="20"/>
        <v>1.4146341463414633</v>
      </c>
      <c r="AG29" s="2"/>
      <c r="AH29" s="2"/>
      <c r="AI29" s="60"/>
      <c r="AJ29" s="60"/>
      <c r="AK29" s="60"/>
      <c r="AL29" s="60"/>
      <c r="AM29" s="2"/>
      <c r="AN29" s="8"/>
      <c r="AO29" s="2"/>
      <c r="AR29" s="8"/>
    </row>
    <row r="30" spans="2:55" x14ac:dyDescent="0.3">
      <c r="B30" s="281" t="s">
        <v>6086</v>
      </c>
      <c r="C30" s="277">
        <f t="shared" si="21"/>
        <v>13</v>
      </c>
      <c r="D30" s="278">
        <f t="shared" si="21"/>
        <v>13</v>
      </c>
      <c r="E30" s="406">
        <f t="shared" si="9"/>
        <v>1</v>
      </c>
      <c r="F30" s="277">
        <f t="shared" si="10"/>
        <v>13</v>
      </c>
      <c r="G30" s="278">
        <f t="shared" si="10"/>
        <v>22</v>
      </c>
      <c r="H30" s="406">
        <f t="shared" si="11"/>
        <v>1.6923076923076923</v>
      </c>
      <c r="I30" s="277">
        <f t="shared" si="12"/>
        <v>11</v>
      </c>
      <c r="J30" s="278">
        <f t="shared" si="12"/>
        <v>10</v>
      </c>
      <c r="K30" s="406">
        <f t="shared" si="13"/>
        <v>0.90909090909090906</v>
      </c>
      <c r="L30" s="277">
        <f t="shared" si="14"/>
        <v>-37</v>
      </c>
      <c r="M30" s="278">
        <f t="shared" si="14"/>
        <v>-45</v>
      </c>
      <c r="N30" s="406">
        <f t="shared" si="15"/>
        <v>1.2162162162162162</v>
      </c>
      <c r="P30" s="232" t="str">
        <f t="shared" si="16"/>
        <v>Ml.Boleslav</v>
      </c>
      <c r="Q30" s="830">
        <f t="shared" si="17"/>
        <v>1</v>
      </c>
      <c r="R30" s="827">
        <f t="shared" si="18"/>
        <v>1.6923076923076923</v>
      </c>
      <c r="S30" s="827">
        <f t="shared" si="19"/>
        <v>0.90909090909090906</v>
      </c>
      <c r="T30" s="275">
        <f t="shared" si="20"/>
        <v>1.2162162162162162</v>
      </c>
      <c r="AG30" s="2"/>
      <c r="AH30" s="2"/>
      <c r="AI30" s="60"/>
      <c r="AJ30" s="60"/>
      <c r="AK30" s="60"/>
      <c r="AL30" s="60"/>
      <c r="AM30" s="2"/>
      <c r="AN30" s="8"/>
      <c r="AO30" s="2"/>
      <c r="AR30" s="8"/>
    </row>
    <row r="31" spans="2:55" x14ac:dyDescent="0.3">
      <c r="B31" s="281" t="s">
        <v>325</v>
      </c>
      <c r="C31" s="277">
        <f t="shared" si="21"/>
        <v>13</v>
      </c>
      <c r="D31" s="278">
        <f t="shared" si="21"/>
        <v>14</v>
      </c>
      <c r="E31" s="406">
        <f t="shared" si="9"/>
        <v>1.0769230769230769</v>
      </c>
      <c r="F31" s="277">
        <f t="shared" si="10"/>
        <v>15</v>
      </c>
      <c r="G31" s="278">
        <f t="shared" si="10"/>
        <v>34</v>
      </c>
      <c r="H31" s="406">
        <f t="shared" si="11"/>
        <v>2.2666666666666666</v>
      </c>
      <c r="I31" s="277">
        <f t="shared" si="12"/>
        <v>9</v>
      </c>
      <c r="J31" s="278">
        <f t="shared" si="12"/>
        <v>11</v>
      </c>
      <c r="K31" s="406">
        <f t="shared" si="13"/>
        <v>1.2222222222222223</v>
      </c>
      <c r="L31" s="277">
        <f t="shared" si="14"/>
        <v>-37</v>
      </c>
      <c r="M31" s="278">
        <f t="shared" si="14"/>
        <v>-59</v>
      </c>
      <c r="N31" s="406">
        <f>M31/L31</f>
        <v>1.5945945945945945</v>
      </c>
      <c r="P31" s="232" t="str">
        <f t="shared" si="16"/>
        <v>Sparta</v>
      </c>
      <c r="Q31" s="830">
        <f t="shared" si="17"/>
        <v>1.0769230769230769</v>
      </c>
      <c r="R31" s="827">
        <f t="shared" si="18"/>
        <v>2.2666666666666666</v>
      </c>
      <c r="S31" s="827">
        <f t="shared" si="19"/>
        <v>1.2222222222222223</v>
      </c>
      <c r="T31" s="275">
        <f t="shared" si="20"/>
        <v>1.5945945945945945</v>
      </c>
      <c r="AG31" s="2"/>
      <c r="AH31" s="2"/>
      <c r="AI31" s="60"/>
      <c r="AJ31" s="60"/>
      <c r="AK31" s="60"/>
      <c r="AL31" s="60"/>
      <c r="AM31" s="2"/>
      <c r="AN31" s="178"/>
      <c r="AO31" s="2"/>
      <c r="AR31" s="8"/>
    </row>
    <row r="32" spans="2:55" x14ac:dyDescent="0.3">
      <c r="B32" s="282" t="s">
        <v>818</v>
      </c>
      <c r="C32" s="401">
        <f t="shared" si="21"/>
        <v>12</v>
      </c>
      <c r="D32" s="402">
        <f t="shared" si="21"/>
        <v>7</v>
      </c>
      <c r="E32" s="289">
        <f t="shared" si="9"/>
        <v>0.58333333333333337</v>
      </c>
      <c r="F32" s="401">
        <f t="shared" si="10"/>
        <v>14</v>
      </c>
      <c r="G32" s="402">
        <f t="shared" si="10"/>
        <v>11</v>
      </c>
      <c r="H32" s="289">
        <f>G32/F32</f>
        <v>0.7857142857142857</v>
      </c>
      <c r="I32" s="401">
        <f t="shared" si="12"/>
        <v>13</v>
      </c>
      <c r="J32" s="402">
        <f t="shared" si="12"/>
        <v>23</v>
      </c>
      <c r="K32" s="289">
        <f>J32/I32</f>
        <v>1.7692307692307692</v>
      </c>
      <c r="L32" s="401">
        <f t="shared" si="14"/>
        <v>-39</v>
      </c>
      <c r="M32" s="402">
        <f t="shared" si="14"/>
        <v>-41</v>
      </c>
      <c r="N32" s="289">
        <f t="shared" si="15"/>
        <v>1.0512820512820513</v>
      </c>
      <c r="P32" s="239" t="str">
        <f t="shared" si="16"/>
        <v>Litvínov</v>
      </c>
      <c r="Q32" s="832">
        <f t="shared" si="17"/>
        <v>0.58333333333333337</v>
      </c>
      <c r="R32" s="833">
        <f t="shared" si="18"/>
        <v>0.7857142857142857</v>
      </c>
      <c r="S32" s="833">
        <f t="shared" si="19"/>
        <v>1.7692307692307692</v>
      </c>
      <c r="T32" s="289">
        <f t="shared" si="20"/>
        <v>1.0512820512820513</v>
      </c>
      <c r="AG32" s="2"/>
      <c r="AH32" s="2"/>
      <c r="AI32" s="60"/>
      <c r="AJ32" s="60"/>
      <c r="AK32" s="60"/>
      <c r="AL32" s="60"/>
      <c r="AM32" s="2"/>
      <c r="AN32" s="8"/>
      <c r="AO32" s="2"/>
      <c r="AR32" s="8"/>
    </row>
    <row r="33" spans="1:44" x14ac:dyDescent="0.3">
      <c r="B33" s="281" t="s">
        <v>6076</v>
      </c>
      <c r="C33" s="277">
        <f t="shared" si="21"/>
        <v>13</v>
      </c>
      <c r="D33" s="278">
        <f t="shared" si="21"/>
        <v>19</v>
      </c>
      <c r="E33" s="406">
        <f t="shared" si="9"/>
        <v>1.4615384615384615</v>
      </c>
      <c r="F33" s="277">
        <f t="shared" si="10"/>
        <v>12</v>
      </c>
      <c r="G33" s="278">
        <f t="shared" si="10"/>
        <v>18</v>
      </c>
      <c r="H33" s="406">
        <f t="shared" si="11"/>
        <v>1.5</v>
      </c>
      <c r="I33" s="277">
        <f t="shared" si="12"/>
        <v>13</v>
      </c>
      <c r="J33" s="278">
        <f t="shared" si="12"/>
        <v>26</v>
      </c>
      <c r="K33" s="406">
        <f t="shared" si="13"/>
        <v>2</v>
      </c>
      <c r="L33" s="277">
        <f t="shared" si="14"/>
        <v>-38</v>
      </c>
      <c r="M33" s="278">
        <f t="shared" si="14"/>
        <v>-63</v>
      </c>
      <c r="N33" s="406">
        <f t="shared" si="15"/>
        <v>1.6578947368421053</v>
      </c>
      <c r="P33" s="232" t="str">
        <f t="shared" si="16"/>
        <v>Energie KV</v>
      </c>
      <c r="Q33" s="830">
        <f t="shared" si="17"/>
        <v>1.4615384615384615</v>
      </c>
      <c r="R33" s="827">
        <f t="shared" si="18"/>
        <v>1.5</v>
      </c>
      <c r="S33" s="827">
        <f t="shared" si="19"/>
        <v>2</v>
      </c>
      <c r="T33" s="275">
        <f t="shared" si="20"/>
        <v>1.6578947368421053</v>
      </c>
      <c r="AG33" s="2"/>
      <c r="AH33" s="2"/>
      <c r="AI33" s="60"/>
      <c r="AJ33" s="60"/>
      <c r="AK33" s="60"/>
      <c r="AL33" s="60"/>
      <c r="AM33" s="2"/>
      <c r="AN33" s="8"/>
      <c r="AO33" s="2"/>
      <c r="AR33" s="8"/>
    </row>
    <row r="34" spans="1:44" x14ac:dyDescent="0.3">
      <c r="B34" s="281" t="s">
        <v>332</v>
      </c>
      <c r="C34" s="277">
        <f t="shared" si="21"/>
        <v>13</v>
      </c>
      <c r="D34" s="278">
        <f t="shared" si="21"/>
        <v>13</v>
      </c>
      <c r="E34" s="406">
        <f t="shared" si="9"/>
        <v>1</v>
      </c>
      <c r="F34" s="277">
        <f t="shared" si="10"/>
        <v>13</v>
      </c>
      <c r="G34" s="278">
        <f t="shared" si="10"/>
        <v>18</v>
      </c>
      <c r="H34" s="406">
        <f t="shared" si="11"/>
        <v>1.3846153846153846</v>
      </c>
      <c r="I34" s="277">
        <f t="shared" si="12"/>
        <v>13</v>
      </c>
      <c r="J34" s="278">
        <f t="shared" si="12"/>
        <v>15</v>
      </c>
      <c r="K34" s="406">
        <f t="shared" si="13"/>
        <v>1.1538461538461537</v>
      </c>
      <c r="L34" s="277">
        <f t="shared" si="14"/>
        <v>-39</v>
      </c>
      <c r="M34" s="278">
        <f t="shared" si="14"/>
        <v>-46</v>
      </c>
      <c r="N34" s="406">
        <f>M34/L34</f>
        <v>1.1794871794871795</v>
      </c>
      <c r="P34" s="232" t="str">
        <f t="shared" si="16"/>
        <v>Kladno</v>
      </c>
      <c r="Q34" s="830">
        <f t="shared" si="17"/>
        <v>1</v>
      </c>
      <c r="R34" s="827">
        <f t="shared" si="18"/>
        <v>1.3846153846153846</v>
      </c>
      <c r="S34" s="827">
        <f t="shared" si="19"/>
        <v>1.1538461538461537</v>
      </c>
      <c r="T34" s="275">
        <f t="shared" si="20"/>
        <v>1.1794871794871795</v>
      </c>
      <c r="AG34" s="2"/>
      <c r="AH34" s="2"/>
      <c r="AI34" s="60"/>
      <c r="AJ34" s="60"/>
      <c r="AK34" s="60"/>
      <c r="AL34" s="60"/>
      <c r="AM34" s="2"/>
      <c r="AN34" s="8"/>
      <c r="AO34" s="2"/>
      <c r="AR34" s="8"/>
    </row>
    <row r="35" spans="1:44" x14ac:dyDescent="0.3">
      <c r="B35" s="281" t="s">
        <v>6091</v>
      </c>
      <c r="C35" s="277">
        <f t="shared" si="21"/>
        <v>13</v>
      </c>
      <c r="D35" s="278">
        <f t="shared" si="21"/>
        <v>27</v>
      </c>
      <c r="E35" s="406">
        <f t="shared" si="9"/>
        <v>2.0769230769230771</v>
      </c>
      <c r="F35" s="277">
        <f t="shared" si="10"/>
        <v>13</v>
      </c>
      <c r="G35" s="278">
        <f t="shared" si="10"/>
        <v>11</v>
      </c>
      <c r="H35" s="406">
        <f t="shared" si="11"/>
        <v>0.84615384615384615</v>
      </c>
      <c r="I35" s="277">
        <f t="shared" si="12"/>
        <v>12</v>
      </c>
      <c r="J35" s="278">
        <f t="shared" si="12"/>
        <v>17</v>
      </c>
      <c r="K35" s="406">
        <f t="shared" si="13"/>
        <v>1.4166666666666667</v>
      </c>
      <c r="L35" s="277">
        <f t="shared" si="14"/>
        <v>-38</v>
      </c>
      <c r="M35" s="278">
        <f t="shared" si="14"/>
        <v>-55</v>
      </c>
      <c r="N35" s="406">
        <f t="shared" si="15"/>
        <v>1.4473684210526316</v>
      </c>
      <c r="P35" s="232" t="str">
        <f t="shared" si="16"/>
        <v>Motor ČB</v>
      </c>
      <c r="Q35" s="830">
        <f t="shared" si="17"/>
        <v>2.0769230769230771</v>
      </c>
      <c r="R35" s="827">
        <f t="shared" si="18"/>
        <v>0.84615384615384615</v>
      </c>
      <c r="S35" s="827">
        <f t="shared" si="19"/>
        <v>1.4166666666666667</v>
      </c>
      <c r="T35" s="275">
        <f t="shared" si="20"/>
        <v>1.4473684210526316</v>
      </c>
      <c r="X35" s="129"/>
      <c r="Y35" s="130"/>
      <c r="Z35" s="130"/>
      <c r="AG35" s="2"/>
      <c r="AH35" s="2"/>
      <c r="AI35" s="60"/>
      <c r="AJ35" s="60"/>
      <c r="AK35" s="60"/>
      <c r="AL35" s="60"/>
      <c r="AM35" s="2"/>
      <c r="AN35" s="8"/>
      <c r="AO35" s="2"/>
      <c r="AR35" s="182"/>
    </row>
    <row r="36" spans="1:44" ht="15" thickBot="1" x14ac:dyDescent="0.35">
      <c r="B36" s="283" t="s">
        <v>327</v>
      </c>
      <c r="C36" s="199">
        <f>C17</f>
        <v>13</v>
      </c>
      <c r="D36" s="200">
        <f>D17</f>
        <v>22</v>
      </c>
      <c r="E36" s="407">
        <f t="shared" si="9"/>
        <v>1.6923076923076923</v>
      </c>
      <c r="F36" s="199">
        <f t="shared" si="10"/>
        <v>12</v>
      </c>
      <c r="G36" s="200">
        <f t="shared" si="10"/>
        <v>21</v>
      </c>
      <c r="H36" s="407">
        <f t="shared" si="11"/>
        <v>1.75</v>
      </c>
      <c r="I36" s="199">
        <f t="shared" si="12"/>
        <v>13</v>
      </c>
      <c r="J36" s="200">
        <f t="shared" si="12"/>
        <v>31</v>
      </c>
      <c r="K36" s="407">
        <f t="shared" si="13"/>
        <v>2.3846153846153846</v>
      </c>
      <c r="L36" s="199">
        <f t="shared" si="14"/>
        <v>-38</v>
      </c>
      <c r="M36" s="200">
        <f t="shared" si="14"/>
        <v>-74</v>
      </c>
      <c r="N36" s="407">
        <f t="shared" si="15"/>
        <v>1.9473684210526316</v>
      </c>
      <c r="P36" s="233" t="str">
        <f t="shared" si="16"/>
        <v>Pardubice</v>
      </c>
      <c r="Q36" s="831">
        <f t="shared" si="17"/>
        <v>1.6923076923076923</v>
      </c>
      <c r="R36" s="829">
        <f t="shared" si="18"/>
        <v>1.75</v>
      </c>
      <c r="S36" s="829">
        <f t="shared" si="19"/>
        <v>2.3846153846153846</v>
      </c>
      <c r="T36" s="276">
        <f t="shared" si="20"/>
        <v>1.9473684210526316</v>
      </c>
      <c r="V36" s="130"/>
      <c r="W36" s="130"/>
      <c r="AG36" s="2"/>
      <c r="AH36" s="2"/>
      <c r="AI36" s="60"/>
      <c r="AJ36" s="60"/>
      <c r="AK36" s="60"/>
      <c r="AL36" s="60"/>
      <c r="AM36" s="2"/>
      <c r="AN36" s="8"/>
      <c r="AO36" s="2"/>
      <c r="AR36" s="8"/>
    </row>
    <row r="37" spans="1:44" x14ac:dyDescent="0.3">
      <c r="V37" s="130"/>
      <c r="W37" s="130"/>
      <c r="AG37" s="2"/>
      <c r="AH37" s="2"/>
      <c r="AI37" s="60"/>
      <c r="AJ37" s="60"/>
      <c r="AK37" s="60"/>
      <c r="AL37" s="60"/>
      <c r="AM37" s="2"/>
      <c r="AN37" s="8"/>
      <c r="AO37" s="2"/>
      <c r="AR37" s="8"/>
    </row>
    <row r="38" spans="1:44" ht="8.25" customHeight="1" x14ac:dyDescent="0.3"/>
    <row r="39" spans="1:44" ht="8.25" customHeight="1" x14ac:dyDescent="0.3"/>
    <row r="40" spans="1:44" ht="7.5" customHeight="1" x14ac:dyDescent="0.3"/>
    <row r="47" spans="1:44" x14ac:dyDescent="0.3">
      <c r="A47">
        <v>14</v>
      </c>
    </row>
  </sheetData>
  <mergeCells count="8">
    <mergeCell ref="C2:E2"/>
    <mergeCell ref="F2:H2"/>
    <mergeCell ref="I2:K2"/>
    <mergeCell ref="L2:N2"/>
    <mergeCell ref="C21:E21"/>
    <mergeCell ref="F21:H21"/>
    <mergeCell ref="I21:K21"/>
    <mergeCell ref="L21:N21"/>
  </mergeCells>
  <pageMargins left="0.7" right="0.7" top="0.78740157499999996" bottom="0.78740157499999996"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T474"/>
  <sheetViews>
    <sheetView topLeftCell="A28" workbookViewId="0">
      <selection activeCell="L12" sqref="L12"/>
    </sheetView>
  </sheetViews>
  <sheetFormatPr defaultRowHeight="14.4" x14ac:dyDescent="0.3"/>
  <cols>
    <col min="1" max="1" width="9.109375" style="2"/>
    <col min="2" max="4" width="22.44140625" style="2" customWidth="1"/>
    <col min="5" max="5" width="19.109375" style="2" customWidth="1"/>
    <col min="6" max="6" width="26.109375" style="2" customWidth="1"/>
    <col min="7" max="7" width="22.33203125" style="2" customWidth="1"/>
    <col min="8" max="8" width="17.5546875" style="2" customWidth="1"/>
    <col min="9" max="9" width="27.109375" style="8" customWidth="1"/>
    <col min="10" max="10" width="11.88671875" customWidth="1"/>
    <col min="11" max="11" width="17.6640625" customWidth="1"/>
    <col min="12" max="12" width="24.33203125" customWidth="1"/>
    <col min="13" max="13" width="13.88671875" customWidth="1"/>
    <col min="14" max="14" width="12.44140625" customWidth="1"/>
    <col min="15" max="15" width="13" customWidth="1"/>
    <col min="16" max="16" width="12.6640625" customWidth="1"/>
    <col min="17" max="17" width="14.6640625" customWidth="1"/>
    <col min="18" max="18" width="14.109375" customWidth="1"/>
    <col min="19" max="20" width="12.44140625" customWidth="1"/>
  </cols>
  <sheetData>
    <row r="1" spans="1:18" x14ac:dyDescent="0.3">
      <c r="E1" s="4"/>
      <c r="F1" s="120"/>
      <c r="J1" s="4"/>
      <c r="K1" s="259"/>
    </row>
    <row r="2" spans="1:18" x14ac:dyDescent="0.3">
      <c r="B2" s="1153" t="s">
        <v>5274</v>
      </c>
      <c r="C2" s="1153"/>
      <c r="D2" s="4">
        <v>45412</v>
      </c>
      <c r="E2" s="4"/>
      <c r="F2" s="120"/>
      <c r="J2" s="4"/>
      <c r="K2" s="259"/>
    </row>
    <row r="3" spans="1:18" x14ac:dyDescent="0.3">
      <c r="C3" s="4"/>
      <c r="D3" s="4"/>
      <c r="E3" s="4"/>
      <c r="F3" s="120"/>
    </row>
    <row r="5" spans="1:18" x14ac:dyDescent="0.3">
      <c r="A5" s="2" t="s">
        <v>3661</v>
      </c>
      <c r="B5" s="2" t="s">
        <v>0</v>
      </c>
      <c r="C5" s="2" t="s">
        <v>53</v>
      </c>
      <c r="D5" s="2" t="s">
        <v>823</v>
      </c>
      <c r="E5" s="2" t="s">
        <v>1</v>
      </c>
      <c r="F5" s="2" t="s">
        <v>2</v>
      </c>
      <c r="G5" s="2" t="s">
        <v>3</v>
      </c>
      <c r="H5" s="2" t="s">
        <v>309</v>
      </c>
      <c r="I5" s="2"/>
    </row>
    <row r="6" spans="1:18" x14ac:dyDescent="0.3">
      <c r="A6" s="2">
        <v>1</v>
      </c>
      <c r="B6" s="2" t="s">
        <v>4740</v>
      </c>
      <c r="C6" s="4">
        <v>35574</v>
      </c>
      <c r="D6" s="241">
        <f ca="1">(TODAY()-C6)/365</f>
        <v>28.75068493150685</v>
      </c>
      <c r="E6" s="1">
        <v>45047</v>
      </c>
      <c r="F6" s="2">
        <v>1</v>
      </c>
      <c r="G6" s="4">
        <v>45412</v>
      </c>
      <c r="I6" s="3"/>
    </row>
    <row r="7" spans="1:18" x14ac:dyDescent="0.3">
      <c r="A7" s="2">
        <v>2</v>
      </c>
      <c r="B7" s="2" t="s">
        <v>3373</v>
      </c>
      <c r="C7" s="4">
        <v>37067</v>
      </c>
      <c r="D7" s="241">
        <f ca="1">(TODAY()-C7)/365</f>
        <v>24.660273972602738</v>
      </c>
      <c r="E7" s="1">
        <v>45080</v>
      </c>
      <c r="F7" s="2">
        <v>2</v>
      </c>
      <c r="G7" s="4">
        <v>45777</v>
      </c>
      <c r="H7" s="2">
        <v>2</v>
      </c>
      <c r="I7" s="423"/>
    </row>
    <row r="8" spans="1:18" x14ac:dyDescent="0.3">
      <c r="A8" s="2">
        <v>3</v>
      </c>
      <c r="C8" s="4"/>
      <c r="D8" s="241"/>
      <c r="E8" s="1"/>
      <c r="G8" s="4"/>
      <c r="I8" s="3"/>
      <c r="R8" s="2"/>
    </row>
    <row r="9" spans="1:18" x14ac:dyDescent="0.3">
      <c r="A9" s="2">
        <v>4</v>
      </c>
      <c r="C9" s="4"/>
      <c r="D9" s="241"/>
      <c r="E9" s="1"/>
      <c r="G9" s="4"/>
      <c r="I9" s="2"/>
      <c r="R9" s="2"/>
    </row>
    <row r="10" spans="1:18" x14ac:dyDescent="0.3">
      <c r="A10" s="2">
        <v>5</v>
      </c>
      <c r="C10" s="4"/>
      <c r="D10" s="241"/>
      <c r="E10" s="1"/>
      <c r="G10" s="4"/>
      <c r="I10" s="2"/>
      <c r="R10" s="2"/>
    </row>
    <row r="11" spans="1:18" x14ac:dyDescent="0.3">
      <c r="C11" s="4"/>
      <c r="D11" s="241"/>
      <c r="E11" s="1"/>
      <c r="G11" s="4"/>
      <c r="I11" s="2"/>
      <c r="R11" s="2"/>
    </row>
    <row r="12" spans="1:18" x14ac:dyDescent="0.3">
      <c r="B12" s="443"/>
      <c r="C12" s="444"/>
      <c r="D12" s="445"/>
      <c r="I12"/>
      <c r="R12" s="2"/>
    </row>
    <row r="13" spans="1:18" x14ac:dyDescent="0.3">
      <c r="D13" s="241"/>
      <c r="I13"/>
      <c r="R13" s="2"/>
    </row>
    <row r="14" spans="1:18" x14ac:dyDescent="0.3">
      <c r="A14" s="2" t="s">
        <v>230</v>
      </c>
      <c r="B14" s="2" t="s">
        <v>0</v>
      </c>
      <c r="C14" s="2" t="s">
        <v>53</v>
      </c>
      <c r="D14" s="2" t="s">
        <v>823</v>
      </c>
      <c r="E14" s="2" t="s">
        <v>1</v>
      </c>
      <c r="F14" s="2" t="s">
        <v>2</v>
      </c>
      <c r="G14" s="2" t="s">
        <v>3</v>
      </c>
      <c r="H14" s="2" t="s">
        <v>309</v>
      </c>
      <c r="I14" s="2" t="s">
        <v>4704</v>
      </c>
      <c r="R14" s="2"/>
    </row>
    <row r="15" spans="1:18" x14ac:dyDescent="0.3">
      <c r="A15" s="2">
        <v>1</v>
      </c>
      <c r="B15" s="965" t="s">
        <v>1189</v>
      </c>
      <c r="C15" s="716">
        <v>37586</v>
      </c>
      <c r="D15" s="725">
        <f t="shared" ref="D15:D22" ca="1" si="0">(TODAY()-C15)/365</f>
        <v>23.238356164383561</v>
      </c>
      <c r="E15" s="1">
        <v>45046</v>
      </c>
      <c r="F15" s="2">
        <v>2</v>
      </c>
      <c r="G15" s="4">
        <v>45777</v>
      </c>
      <c r="I15" s="2">
        <f>IF(Tabulka2[[#This Row],[Kdy vyprší smlouva]]&gt;45413,1,IF(Tabulka2[[#This Row],[Opce (roky)]]&gt;0,0,-1))</f>
        <v>1</v>
      </c>
      <c r="R15" s="2"/>
    </row>
    <row r="16" spans="1:18" x14ac:dyDescent="0.3">
      <c r="A16" s="2">
        <v>2</v>
      </c>
      <c r="B16" s="2" t="s">
        <v>5778</v>
      </c>
      <c r="C16" s="4">
        <v>37049</v>
      </c>
      <c r="D16" s="725">
        <f t="shared" ca="1" si="0"/>
        <v>24.709589041095889</v>
      </c>
      <c r="E16" s="1">
        <v>45413</v>
      </c>
      <c r="F16" s="385">
        <v>1</v>
      </c>
      <c r="G16" s="4">
        <v>45777</v>
      </c>
      <c r="H16" s="385"/>
      <c r="I16" s="2">
        <f>IF(Tabulka2[[#This Row],[Kdy vyprší smlouva]]&gt;45413,1,IF(Tabulka2[[#This Row],[Opce (roky)]]&gt;0,0,-1))</f>
        <v>1</v>
      </c>
      <c r="R16" s="2"/>
    </row>
    <row r="17" spans="1:20" x14ac:dyDescent="0.3">
      <c r="A17" s="2">
        <v>3</v>
      </c>
      <c r="B17" s="477" t="s">
        <v>3794</v>
      </c>
      <c r="C17" s="478">
        <v>36866</v>
      </c>
      <c r="D17" s="966">
        <f t="shared" ca="1" si="0"/>
        <v>25.210958904109589</v>
      </c>
      <c r="E17" s="1">
        <v>45446</v>
      </c>
      <c r="F17" s="385">
        <v>1</v>
      </c>
      <c r="G17" s="4">
        <v>45777</v>
      </c>
      <c r="I17" s="2">
        <f>IF(Tabulka2[[#This Row],[Kdy vyprší smlouva]]&gt;45413,1,IF(Tabulka2[[#This Row],[Opce (roky)]]&gt;0,0,-1))</f>
        <v>1</v>
      </c>
      <c r="R17" s="2"/>
    </row>
    <row r="18" spans="1:20" x14ac:dyDescent="0.3">
      <c r="A18" s="2">
        <v>4</v>
      </c>
      <c r="B18" s="447" t="s">
        <v>4700</v>
      </c>
      <c r="C18" s="448">
        <v>35788</v>
      </c>
      <c r="D18" s="460">
        <f t="shared" ca="1" si="0"/>
        <v>28.164383561643834</v>
      </c>
      <c r="E18" s="1">
        <v>45292</v>
      </c>
      <c r="F18" s="2">
        <v>1</v>
      </c>
      <c r="G18" s="716">
        <v>45777</v>
      </c>
      <c r="I18" s="2">
        <f>IF(Tabulka2[[#This Row],[Kdy vyprší smlouva]]&gt;45413,1,IF(Tabulka2[[#This Row],[Opce (roky)]]&gt;0,0,-1))</f>
        <v>1</v>
      </c>
      <c r="R18" s="2"/>
    </row>
    <row r="19" spans="1:20" x14ac:dyDescent="0.3">
      <c r="A19" s="2">
        <v>5</v>
      </c>
      <c r="B19" s="2" t="s">
        <v>44</v>
      </c>
      <c r="C19" s="4">
        <v>34759</v>
      </c>
      <c r="D19" s="241">
        <f t="shared" ca="1" si="0"/>
        <v>30.983561643835618</v>
      </c>
      <c r="E19" s="1">
        <v>45047</v>
      </c>
      <c r="F19" s="2">
        <v>2</v>
      </c>
      <c r="G19" s="4">
        <v>45777</v>
      </c>
      <c r="I19" s="2">
        <f>IF(Tabulka2[[#This Row],[Kdy vyprší smlouva]]&gt;45413,1,IF(Tabulka2[[#This Row],[Opce (roky)]]&gt;0,0,-1))</f>
        <v>1</v>
      </c>
      <c r="R19" s="2"/>
    </row>
    <row r="20" spans="1:20" x14ac:dyDescent="0.3">
      <c r="A20" s="2">
        <v>6</v>
      </c>
      <c r="B20" s="447" t="s">
        <v>5790</v>
      </c>
      <c r="C20" s="448">
        <v>33431</v>
      </c>
      <c r="D20" s="460">
        <f t="shared" ca="1" si="0"/>
        <v>34.62191780821918</v>
      </c>
      <c r="E20" s="1">
        <v>45446</v>
      </c>
      <c r="F20" s="385">
        <v>1</v>
      </c>
      <c r="G20" s="4">
        <v>45777</v>
      </c>
      <c r="I20" s="2">
        <f>IF(Tabulka2[[#This Row],[Kdy vyprší smlouva]]&gt;45413,1,IF(Tabulka2[[#This Row],[Opce (roky)]]&gt;0,0,-1))</f>
        <v>1</v>
      </c>
      <c r="R20" s="2"/>
    </row>
    <row r="21" spans="1:20" x14ac:dyDescent="0.3">
      <c r="A21" s="2">
        <v>7</v>
      </c>
      <c r="B21" s="2" t="s">
        <v>5278</v>
      </c>
      <c r="C21" s="4">
        <v>33247</v>
      </c>
      <c r="D21" s="427">
        <f t="shared" ca="1" si="0"/>
        <v>35.126027397260273</v>
      </c>
      <c r="E21" s="1">
        <v>45292</v>
      </c>
      <c r="F21" s="2">
        <v>1</v>
      </c>
      <c r="G21" s="716">
        <v>45777</v>
      </c>
      <c r="I21" s="2">
        <f>IF(Tabulka2[[#This Row],[Kdy vyprší smlouva]]&gt;45413,1,IF(Tabulka2[[#This Row],[Opce (roky)]]&gt;0,0,-1))</f>
        <v>1</v>
      </c>
      <c r="R21" s="2"/>
    </row>
    <row r="22" spans="1:20" x14ac:dyDescent="0.3">
      <c r="A22" s="2">
        <v>8</v>
      </c>
      <c r="B22" s="2" t="s">
        <v>5793</v>
      </c>
      <c r="C22" s="4">
        <v>36592</v>
      </c>
      <c r="D22" s="427">
        <f t="shared" ca="1" si="0"/>
        <v>25.961643835616439</v>
      </c>
      <c r="E22" s="1">
        <v>45509</v>
      </c>
      <c r="F22" s="2">
        <v>1</v>
      </c>
      <c r="G22" s="716">
        <v>45777</v>
      </c>
      <c r="I22" s="2">
        <f>IF(Tabulka2[[#This Row],[Kdy vyprší smlouva]]&gt;45413,1,IF(Tabulka2[[#This Row],[Opce (roky)]]&gt;0,0,-1))</f>
        <v>1</v>
      </c>
      <c r="R22" s="2"/>
    </row>
    <row r="23" spans="1:20" x14ac:dyDescent="0.3">
      <c r="A23" s="2">
        <v>9</v>
      </c>
      <c r="B23" s="477"/>
      <c r="C23" s="478"/>
      <c r="D23" s="725"/>
      <c r="E23" s="1"/>
      <c r="G23" s="4"/>
      <c r="I23" s="2"/>
      <c r="R23" s="2"/>
      <c r="S23" s="2"/>
      <c r="T23" s="2"/>
    </row>
    <row r="24" spans="1:20" x14ac:dyDescent="0.3">
      <c r="A24" s="2">
        <v>10</v>
      </c>
      <c r="B24" s="447"/>
      <c r="C24" s="448"/>
      <c r="D24" s="241"/>
      <c r="E24" s="714"/>
      <c r="F24" s="715"/>
      <c r="G24" s="716"/>
      <c r="I24" s="2"/>
      <c r="R24" s="2"/>
      <c r="S24" s="2"/>
      <c r="T24" s="2"/>
    </row>
    <row r="25" spans="1:20" x14ac:dyDescent="0.3">
      <c r="C25" s="795"/>
      <c r="D25" s="241"/>
      <c r="E25" s="1"/>
      <c r="G25" s="795"/>
      <c r="I25" s="2"/>
      <c r="R25" s="2"/>
      <c r="S25" s="2"/>
      <c r="T25" s="2"/>
    </row>
    <row r="26" spans="1:20" x14ac:dyDescent="0.3">
      <c r="B26" s="2" t="s">
        <v>3666</v>
      </c>
      <c r="D26" s="241">
        <f ca="1">SUBTOTAL(101,Tabulka2[Věk])</f>
        <v>28.502054794520546</v>
      </c>
      <c r="I26" s="2"/>
      <c r="R26" s="2"/>
      <c r="S26" s="2"/>
      <c r="T26" s="2"/>
    </row>
    <row r="27" spans="1:20" x14ac:dyDescent="0.3">
      <c r="R27" s="2"/>
      <c r="S27" s="2"/>
      <c r="T27" s="2"/>
    </row>
    <row r="28" spans="1:20" x14ac:dyDescent="0.3">
      <c r="S28" s="2"/>
      <c r="T28" s="2"/>
    </row>
    <row r="29" spans="1:20" x14ac:dyDescent="0.3">
      <c r="B29" s="887" t="s">
        <v>50</v>
      </c>
      <c r="C29" s="963">
        <v>34281</v>
      </c>
      <c r="D29" s="427">
        <f t="shared" ref="D29" ca="1" si="1">(TODAY()-C29)/365</f>
        <v>32.293150684931504</v>
      </c>
      <c r="S29" s="2"/>
      <c r="T29" s="2"/>
    </row>
    <row r="30" spans="1:20" x14ac:dyDescent="0.3">
      <c r="B30"/>
      <c r="C30"/>
      <c r="D30"/>
      <c r="S30" s="2"/>
    </row>
    <row r="31" spans="1:20" x14ac:dyDescent="0.3">
      <c r="B31" s="458"/>
      <c r="C31" s="459"/>
      <c r="D31" s="460"/>
      <c r="S31" s="2"/>
    </row>
    <row r="32" spans="1:20" x14ac:dyDescent="0.3">
      <c r="B32"/>
      <c r="C32"/>
      <c r="D32"/>
      <c r="E32"/>
      <c r="F32"/>
      <c r="G32"/>
      <c r="I32" s="2"/>
      <c r="S32" s="2"/>
    </row>
    <row r="33" spans="1:19" x14ac:dyDescent="0.3">
      <c r="E33" s="1"/>
      <c r="F33" s="385"/>
      <c r="G33" s="4"/>
      <c r="I33" s="4"/>
      <c r="S33" s="2"/>
    </row>
    <row r="34" spans="1:19" x14ac:dyDescent="0.3">
      <c r="E34" s="1"/>
      <c r="F34" s="385"/>
      <c r="G34" s="4"/>
      <c r="I34" s="2"/>
      <c r="S34" s="2"/>
    </row>
    <row r="35" spans="1:19" x14ac:dyDescent="0.3">
      <c r="A35" s="2" t="s">
        <v>231</v>
      </c>
      <c r="C35" s="4"/>
      <c r="D35" s="241"/>
      <c r="E35" s="1"/>
      <c r="G35" s="3"/>
      <c r="I35"/>
      <c r="S35" s="2"/>
    </row>
    <row r="36" spans="1:19" x14ac:dyDescent="0.3">
      <c r="B36" s="2" t="s">
        <v>5782</v>
      </c>
      <c r="C36" s="2" t="s">
        <v>5783</v>
      </c>
      <c r="D36" s="2" t="s">
        <v>5784</v>
      </c>
      <c r="E36" s="2" t="s">
        <v>5785</v>
      </c>
      <c r="F36" s="2" t="s">
        <v>5786</v>
      </c>
      <c r="G36" s="2" t="s">
        <v>5787</v>
      </c>
      <c r="H36" s="2" t="s">
        <v>5788</v>
      </c>
      <c r="I36" s="2" t="s">
        <v>5789</v>
      </c>
    </row>
    <row r="37" spans="1:19" x14ac:dyDescent="0.3">
      <c r="A37" s="2">
        <v>1</v>
      </c>
      <c r="B37" s="2" t="s">
        <v>5281</v>
      </c>
      <c r="C37" s="4">
        <v>38543</v>
      </c>
      <c r="D37" s="241">
        <f t="shared" ref="D37:D51" ca="1" si="2">(TODAY()-C37)/365</f>
        <v>20.616438356164384</v>
      </c>
      <c r="E37" s="1">
        <v>45316</v>
      </c>
      <c r="F37" s="2">
        <v>1</v>
      </c>
      <c r="G37" s="4">
        <v>45778</v>
      </c>
      <c r="I37" s="2">
        <f>IF(Tabulka9[[#This Row],[Sloupec6]]&gt;45413,1,IF(Tabulka9[[#This Row],[Sloupec7]]&gt;0,0,-1))</f>
        <v>1</v>
      </c>
    </row>
    <row r="38" spans="1:19" x14ac:dyDescent="0.3">
      <c r="A38" s="2">
        <v>2</v>
      </c>
      <c r="B38" s="424" t="s">
        <v>3981</v>
      </c>
      <c r="C38" s="452">
        <v>37484</v>
      </c>
      <c r="D38" s="453">
        <f t="shared" ca="1" si="2"/>
        <v>23.517808219178082</v>
      </c>
      <c r="E38" s="1">
        <v>45413</v>
      </c>
      <c r="F38" s="2">
        <v>1</v>
      </c>
      <c r="G38" s="4">
        <v>45777</v>
      </c>
      <c r="I38" s="2">
        <f>IF(Tabulka9[[#This Row],[Sloupec6]]&gt;45413,1,IF(Tabulka9[[#This Row],[Sloupec7]]&gt;0,0,-1))</f>
        <v>1</v>
      </c>
    </row>
    <row r="39" spans="1:19" x14ac:dyDescent="0.3">
      <c r="A39" s="2">
        <v>3</v>
      </c>
      <c r="B39" s="2" t="s">
        <v>5791</v>
      </c>
      <c r="C39" s="4">
        <v>36894</v>
      </c>
      <c r="D39" s="241">
        <f t="shared" ca="1" si="2"/>
        <v>25.134246575342466</v>
      </c>
      <c r="E39" s="1">
        <v>45476</v>
      </c>
      <c r="F39" s="2">
        <v>1</v>
      </c>
      <c r="G39" s="4">
        <v>45777</v>
      </c>
      <c r="I39" s="2">
        <f>IF(Tabulka9[[#This Row],[Sloupec6]]&gt;45413,1,IF(Tabulka9[[#This Row],[Sloupec7]]&gt;0,0,-1))</f>
        <v>1</v>
      </c>
    </row>
    <row r="40" spans="1:19" x14ac:dyDescent="0.3">
      <c r="A40" s="2">
        <v>4</v>
      </c>
      <c r="B40" s="2" t="s">
        <v>5779</v>
      </c>
      <c r="C40" s="4">
        <v>36566</v>
      </c>
      <c r="D40" s="241">
        <f t="shared" ca="1" si="2"/>
        <v>26.032876712328768</v>
      </c>
      <c r="E40" s="1">
        <v>45439</v>
      </c>
      <c r="F40" s="2">
        <v>1</v>
      </c>
      <c r="G40" s="4">
        <v>45777</v>
      </c>
      <c r="I40" s="2">
        <f>IF(Tabulka9[[#This Row],[Sloupec6]]&gt;45413,1,IF(Tabulka9[[#This Row],[Sloupec7]]&gt;0,0,-1))</f>
        <v>1</v>
      </c>
    </row>
    <row r="41" spans="1:19" x14ac:dyDescent="0.3">
      <c r="A41" s="2">
        <v>5</v>
      </c>
      <c r="B41" s="2" t="s">
        <v>1244</v>
      </c>
      <c r="C41" s="4">
        <v>36483</v>
      </c>
      <c r="D41" s="241">
        <f t="shared" ca="1" si="2"/>
        <v>26.260273972602739</v>
      </c>
      <c r="E41" s="1">
        <v>45498</v>
      </c>
      <c r="F41" s="2">
        <v>1</v>
      </c>
      <c r="G41" s="4">
        <v>45777</v>
      </c>
      <c r="I41" s="2">
        <f>IF(Tabulka9[[#This Row],[Sloupec6]]&gt;45413,1,IF(Tabulka9[[#This Row],[Sloupec7]]&gt;0,0,-1))</f>
        <v>1</v>
      </c>
    </row>
    <row r="42" spans="1:19" x14ac:dyDescent="0.3">
      <c r="A42" s="2">
        <v>6</v>
      </c>
      <c r="B42" s="2" t="s">
        <v>48</v>
      </c>
      <c r="C42" s="4">
        <v>35922</v>
      </c>
      <c r="D42" s="241">
        <f t="shared" ca="1" si="2"/>
        <v>27.797260273972604</v>
      </c>
      <c r="E42" s="1">
        <v>44927</v>
      </c>
      <c r="F42" s="2">
        <v>2</v>
      </c>
      <c r="G42" s="4">
        <v>45777</v>
      </c>
      <c r="I42" s="2">
        <f>IF(Tabulka9[[#This Row],[Sloupec6]]&gt;45413,1,IF(Tabulka9[[#This Row],[Sloupec7]]&gt;0,0,-1))</f>
        <v>1</v>
      </c>
    </row>
    <row r="43" spans="1:19" x14ac:dyDescent="0.3">
      <c r="A43" s="2">
        <v>7</v>
      </c>
      <c r="B43" s="2" t="s">
        <v>5271</v>
      </c>
      <c r="C43" s="4">
        <v>35458</v>
      </c>
      <c r="D43" s="241">
        <f t="shared" ca="1" si="2"/>
        <v>29.068493150684933</v>
      </c>
      <c r="E43" s="1">
        <v>45047</v>
      </c>
      <c r="F43" s="2">
        <v>3</v>
      </c>
      <c r="G43" s="4">
        <v>46142</v>
      </c>
      <c r="I43" s="2">
        <f>IF(Tabulka9[[#This Row],[Sloupec6]]&gt;45413,1,IF(Tabulka9[[#This Row],[Sloupec7]]&gt;0,0,-1))</f>
        <v>1</v>
      </c>
    </row>
    <row r="44" spans="1:19" x14ac:dyDescent="0.3">
      <c r="A44" s="2">
        <v>8</v>
      </c>
      <c r="B44" s="2" t="s">
        <v>69</v>
      </c>
      <c r="C44" s="4">
        <v>35454</v>
      </c>
      <c r="D44" s="241">
        <f t="shared" ca="1" si="2"/>
        <v>29.079452054794519</v>
      </c>
      <c r="E44" s="1">
        <v>45413</v>
      </c>
      <c r="F44" s="2">
        <v>1</v>
      </c>
      <c r="G44" s="4">
        <v>45777</v>
      </c>
      <c r="I44" s="2">
        <f>IF(Tabulka9[[#This Row],[Sloupec6]]&gt;45413,1,IF(Tabulka9[[#This Row],[Sloupec7]]&gt;0,0,-1))</f>
        <v>1</v>
      </c>
    </row>
    <row r="45" spans="1:19" x14ac:dyDescent="0.3">
      <c r="A45" s="2">
        <v>9</v>
      </c>
      <c r="B45" s="424" t="s">
        <v>3979</v>
      </c>
      <c r="C45" s="452">
        <v>35087</v>
      </c>
      <c r="D45" s="453">
        <f t="shared" ca="1" si="2"/>
        <v>30.084931506849315</v>
      </c>
      <c r="E45" s="1">
        <v>44919</v>
      </c>
      <c r="F45" s="2">
        <v>2</v>
      </c>
      <c r="G45" s="4">
        <v>45777</v>
      </c>
      <c r="I45" s="2">
        <f>IF(Tabulka9[[#This Row],[Sloupec6]]&gt;45413,1,IF(Tabulka9[[#This Row],[Sloupec7]]&gt;0,0,-1))</f>
        <v>1</v>
      </c>
    </row>
    <row r="46" spans="1:19" x14ac:dyDescent="0.3">
      <c r="A46" s="2">
        <v>10</v>
      </c>
      <c r="B46" s="424" t="s">
        <v>5277</v>
      </c>
      <c r="C46" s="452">
        <v>35011</v>
      </c>
      <c r="D46" s="453">
        <f t="shared" ca="1" si="2"/>
        <v>30.293150684931508</v>
      </c>
      <c r="E46" s="1">
        <v>45499</v>
      </c>
      <c r="F46" s="2">
        <v>1</v>
      </c>
      <c r="G46" s="4">
        <v>45777</v>
      </c>
      <c r="I46" s="2">
        <f>IF(Tabulka9[[#This Row],[Sloupec6]]&gt;45413,1,IF(Tabulka9[[#This Row],[Sloupec7]]&gt;0,0,-1))</f>
        <v>1</v>
      </c>
    </row>
    <row r="47" spans="1:19" x14ac:dyDescent="0.3">
      <c r="A47" s="2">
        <v>11</v>
      </c>
      <c r="B47" s="2" t="s">
        <v>5781</v>
      </c>
      <c r="C47" s="4">
        <v>34538</v>
      </c>
      <c r="D47" s="241">
        <f t="shared" ca="1" si="2"/>
        <v>31.589041095890412</v>
      </c>
      <c r="E47" s="1">
        <v>45475</v>
      </c>
      <c r="F47" s="2">
        <v>1</v>
      </c>
      <c r="G47" s="4">
        <v>45777</v>
      </c>
      <c r="I47" s="2">
        <f>IF(Tabulka9[[#This Row],[Sloupec6]]&gt;45413,1,IF(Tabulka9[[#This Row],[Sloupec7]]&gt;0,0,-1))</f>
        <v>1</v>
      </c>
    </row>
    <row r="48" spans="1:19" x14ac:dyDescent="0.3">
      <c r="A48" s="2">
        <v>12</v>
      </c>
      <c r="B48" s="424" t="s">
        <v>4611</v>
      </c>
      <c r="C48" s="452">
        <v>34471</v>
      </c>
      <c r="D48" s="241">
        <f t="shared" ca="1" si="2"/>
        <v>31.772602739726029</v>
      </c>
      <c r="E48" s="1">
        <v>45292</v>
      </c>
      <c r="F48" s="2">
        <v>1</v>
      </c>
      <c r="G48" s="4">
        <v>45777</v>
      </c>
      <c r="I48" s="2">
        <f>IF(Tabulka9[[#This Row],[Sloupec6]]&gt;45413,1,IF(Tabulka9[[#This Row],[Sloupec7]]&gt;0,0,-1))</f>
        <v>1</v>
      </c>
    </row>
    <row r="49" spans="1:10" x14ac:dyDescent="0.3">
      <c r="A49" s="2">
        <v>13</v>
      </c>
      <c r="B49" s="2" t="s">
        <v>5270</v>
      </c>
      <c r="C49" s="4">
        <v>34280</v>
      </c>
      <c r="D49" s="241">
        <f t="shared" ca="1" si="2"/>
        <v>32.295890410958904</v>
      </c>
      <c r="E49" s="1">
        <v>45047</v>
      </c>
      <c r="F49" s="2">
        <v>2</v>
      </c>
      <c r="G49" s="4">
        <v>45777</v>
      </c>
      <c r="I49" s="2">
        <f>IF(Tabulka9[[#This Row],[Sloupec6]]&gt;45413,1,IF(Tabulka9[[#This Row],[Sloupec7]]&gt;0,0,-1))</f>
        <v>1</v>
      </c>
    </row>
    <row r="50" spans="1:10" x14ac:dyDescent="0.3">
      <c r="A50" s="2">
        <v>14</v>
      </c>
      <c r="B50" s="424" t="s">
        <v>40</v>
      </c>
      <c r="C50" s="452">
        <v>33783</v>
      </c>
      <c r="D50" s="453">
        <f t="shared" ca="1" si="2"/>
        <v>33.657534246575345</v>
      </c>
      <c r="E50" s="1">
        <v>44940</v>
      </c>
      <c r="F50" s="2">
        <v>3</v>
      </c>
      <c r="G50" s="4">
        <v>45777</v>
      </c>
      <c r="I50" s="2">
        <f>IF(Tabulka9[[#This Row],[Sloupec6]]&gt;45413,1,IF(Tabulka9[[#This Row],[Sloupec7]]&gt;0,0,-1))</f>
        <v>1</v>
      </c>
    </row>
    <row r="51" spans="1:10" x14ac:dyDescent="0.3">
      <c r="A51" s="2">
        <v>15</v>
      </c>
      <c r="B51" s="424" t="s">
        <v>5794</v>
      </c>
      <c r="C51" s="452">
        <v>35126</v>
      </c>
      <c r="D51" s="453">
        <f t="shared" ca="1" si="2"/>
        <v>29.978082191780821</v>
      </c>
      <c r="E51" s="1">
        <v>45530</v>
      </c>
      <c r="F51" s="2">
        <v>1</v>
      </c>
      <c r="G51" s="4">
        <v>45777</v>
      </c>
      <c r="I51" s="2">
        <f>IF(Tabulka9[[#This Row],[Sloupec6]]&gt;45413,1,IF(Tabulka9[[#This Row],[Sloupec7]]&gt;0,0,-1))</f>
        <v>1</v>
      </c>
    </row>
    <row r="52" spans="1:10" x14ac:dyDescent="0.3">
      <c r="A52" s="2">
        <v>16</v>
      </c>
      <c r="C52" s="4"/>
      <c r="D52" s="241"/>
      <c r="E52" s="1"/>
      <c r="G52" s="4"/>
      <c r="I52" s="2"/>
    </row>
    <row r="53" spans="1:10" x14ac:dyDescent="0.3">
      <c r="A53" s="2">
        <v>17</v>
      </c>
      <c r="B53" s="424"/>
      <c r="C53" s="452"/>
      <c r="D53" s="453"/>
      <c r="E53" s="1"/>
      <c r="G53" s="4"/>
      <c r="I53" s="2"/>
      <c r="J53" s="2"/>
    </row>
    <row r="54" spans="1:10" x14ac:dyDescent="0.3">
      <c r="A54" s="2">
        <v>18</v>
      </c>
      <c r="C54" s="4"/>
      <c r="D54" s="241"/>
      <c r="E54" s="1"/>
      <c r="G54" s="4"/>
      <c r="I54" s="2"/>
    </row>
    <row r="55" spans="1:10" x14ac:dyDescent="0.3">
      <c r="C55" s="4"/>
      <c r="D55" s="241"/>
      <c r="E55" s="1"/>
      <c r="G55" s="4"/>
      <c r="I55" s="2"/>
    </row>
    <row r="56" spans="1:10" x14ac:dyDescent="0.3">
      <c r="B56" s="2" t="s">
        <v>3666</v>
      </c>
      <c r="D56" s="241">
        <f ca="1">SUBTOTAL(101,Tabulka9[Sloupec3])</f>
        <v>28.478538812785391</v>
      </c>
      <c r="I56" s="2"/>
    </row>
    <row r="57" spans="1:10" x14ac:dyDescent="0.3">
      <c r="D57" s="241"/>
    </row>
    <row r="58" spans="1:10" x14ac:dyDescent="0.3">
      <c r="B58" s="424" t="s">
        <v>5277</v>
      </c>
      <c r="C58" s="452">
        <v>35011</v>
      </c>
      <c r="D58" s="453">
        <f t="shared" ref="D58" ca="1" si="3">(TODAY()-C58)/365</f>
        <v>30.293150684931508</v>
      </c>
      <c r="I58"/>
    </row>
    <row r="59" spans="1:10" x14ac:dyDescent="0.3">
      <c r="A59"/>
      <c r="B59" s="424" t="s">
        <v>4645</v>
      </c>
      <c r="C59" s="452">
        <v>38409</v>
      </c>
      <c r="D59" s="453">
        <f ca="1">(TODAY()-C59)/365</f>
        <v>20.983561643835618</v>
      </c>
      <c r="E59" s="454"/>
      <c r="F59" s="476"/>
      <c r="G59" s="452"/>
    </row>
    <row r="60" spans="1:10" x14ac:dyDescent="0.3">
      <c r="B60" s="424"/>
      <c r="C60" s="452"/>
      <c r="D60" s="453"/>
      <c r="E60" s="454"/>
      <c r="F60" s="476"/>
      <c r="G60" s="452"/>
    </row>
    <row r="61" spans="1:10" x14ac:dyDescent="0.3">
      <c r="A61"/>
    </row>
    <row r="63" spans="1:10" x14ac:dyDescent="0.3">
      <c r="C63" s="4"/>
      <c r="D63" s="241"/>
      <c r="E63" s="1"/>
      <c r="G63" s="4"/>
    </row>
    <row r="64" spans="1:10" ht="21" x14ac:dyDescent="0.4">
      <c r="B64" s="1171" t="s">
        <v>5280</v>
      </c>
      <c r="C64" s="1171"/>
      <c r="D64" s="1171"/>
      <c r="E64" s="1171"/>
      <c r="F64" s="888"/>
      <c r="G64" s="888"/>
      <c r="H64" s="888"/>
      <c r="I64" s="888"/>
    </row>
    <row r="65" spans="1:10" x14ac:dyDescent="0.3">
      <c r="B65" s="449" t="s">
        <v>0</v>
      </c>
      <c r="C65" s="450" t="s">
        <v>53</v>
      </c>
      <c r="D65" s="450" t="s">
        <v>823</v>
      </c>
      <c r="E65" s="451" t="s">
        <v>3976</v>
      </c>
      <c r="F65"/>
      <c r="G65"/>
      <c r="H65"/>
    </row>
    <row r="66" spans="1:10" x14ac:dyDescent="0.3">
      <c r="B66" s="2" t="s">
        <v>235</v>
      </c>
      <c r="C66" s="4">
        <v>37625</v>
      </c>
      <c r="D66" s="241">
        <f t="shared" ref="D66:D68" ca="1" si="4">(TODAY()-C66)/365</f>
        <v>23.13150684931507</v>
      </c>
      <c r="E66" s="2" t="s">
        <v>333</v>
      </c>
      <c r="F66"/>
      <c r="G66"/>
      <c r="H66"/>
    </row>
    <row r="67" spans="1:10" x14ac:dyDescent="0.3">
      <c r="C67" s="4"/>
      <c r="D67" s="241"/>
      <c r="F67"/>
      <c r="G67"/>
      <c r="H67"/>
    </row>
    <row r="68" spans="1:10" x14ac:dyDescent="0.3">
      <c r="B68" s="2" t="s">
        <v>4022</v>
      </c>
      <c r="C68" s="4">
        <v>37670</v>
      </c>
      <c r="D68" s="241">
        <f t="shared" ca="1" si="4"/>
        <v>23.008219178082193</v>
      </c>
      <c r="E68" s="2" t="s">
        <v>1231</v>
      </c>
      <c r="F68"/>
      <c r="G68"/>
      <c r="H68"/>
    </row>
    <row r="69" spans="1:10" x14ac:dyDescent="0.3">
      <c r="B69" s="424" t="s">
        <v>234</v>
      </c>
      <c r="C69" s="452">
        <v>37466</v>
      </c>
      <c r="D69" s="453">
        <f t="shared" ref="D69" ca="1" si="5">(TODAY()-C69)/365</f>
        <v>23.567123287671233</v>
      </c>
      <c r="E69" s="548"/>
      <c r="F69"/>
      <c r="G69"/>
      <c r="H69"/>
    </row>
    <row r="70" spans="1:10" x14ac:dyDescent="0.3">
      <c r="B70" s="424"/>
      <c r="C70" s="452"/>
      <c r="D70" s="453"/>
      <c r="E70" s="1"/>
      <c r="F70"/>
      <c r="G70"/>
      <c r="H70"/>
    </row>
    <row r="71" spans="1:10" x14ac:dyDescent="0.3">
      <c r="B71" s="424" t="s">
        <v>1015</v>
      </c>
      <c r="C71" s="452">
        <v>36857</v>
      </c>
      <c r="D71" s="453">
        <f t="shared" ref="D71:D72" ca="1" si="6">(TODAY()-C71)/365</f>
        <v>25.235616438356164</v>
      </c>
      <c r="E71" s="1" t="s">
        <v>5780</v>
      </c>
      <c r="F71"/>
      <c r="G71"/>
      <c r="H71"/>
    </row>
    <row r="72" spans="1:10" x14ac:dyDescent="0.3">
      <c r="B72" s="424" t="s">
        <v>1192</v>
      </c>
      <c r="C72" s="452">
        <v>36913</v>
      </c>
      <c r="D72" s="453">
        <f t="shared" ca="1" si="6"/>
        <v>25.082191780821919</v>
      </c>
      <c r="E72" s="2" t="s">
        <v>612</v>
      </c>
    </row>
    <row r="75" spans="1:10" x14ac:dyDescent="0.3">
      <c r="C75" s="4"/>
      <c r="D75" s="241"/>
    </row>
    <row r="76" spans="1:10" x14ac:dyDescent="0.3">
      <c r="C76" s="4"/>
      <c r="D76" s="241"/>
    </row>
    <row r="77" spans="1:10" x14ac:dyDescent="0.3">
      <c r="B77" s="2" t="s">
        <v>4644</v>
      </c>
      <c r="C77" s="4">
        <v>36909</v>
      </c>
      <c r="D77" s="241">
        <f ca="1">(TODAY()-C77)/365</f>
        <v>25.093150684931508</v>
      </c>
      <c r="E77" s="2" t="s">
        <v>4029</v>
      </c>
      <c r="H77"/>
    </row>
    <row r="78" spans="1:10" x14ac:dyDescent="0.3">
      <c r="A78"/>
      <c r="B78" s="2" t="s">
        <v>4021</v>
      </c>
      <c r="C78" s="4">
        <v>37641</v>
      </c>
      <c r="D78" s="241">
        <f ca="1">(TODAY()-C78)/365</f>
        <v>23.087671232876712</v>
      </c>
      <c r="E78" s="2" t="s">
        <v>3792</v>
      </c>
      <c r="F78"/>
      <c r="G78"/>
      <c r="H78"/>
    </row>
    <row r="79" spans="1:10" x14ac:dyDescent="0.3">
      <c r="F79"/>
      <c r="G79"/>
      <c r="H79"/>
      <c r="I79" s="2"/>
      <c r="J79" s="2"/>
    </row>
    <row r="80" spans="1:10" x14ac:dyDescent="0.3">
      <c r="C80" s="4"/>
      <c r="D80" s="241"/>
      <c r="E80" s="8"/>
      <c r="F80"/>
      <c r="G80"/>
      <c r="H80"/>
      <c r="I80" s="2"/>
      <c r="J80" s="2"/>
    </row>
    <row r="82" spans="2:10" x14ac:dyDescent="0.3">
      <c r="G82" s="3"/>
      <c r="I82" s="2"/>
    </row>
    <row r="83" spans="2:10" x14ac:dyDescent="0.3">
      <c r="B83" s="424" t="s">
        <v>43</v>
      </c>
      <c r="C83" s="452">
        <v>35894</v>
      </c>
      <c r="D83" s="453">
        <f t="shared" ref="D83:D84" ca="1" si="7">(TODAY()-C83)/365</f>
        <v>27.873972602739727</v>
      </c>
      <c r="J83" s="2"/>
    </row>
    <row r="84" spans="2:10" x14ac:dyDescent="0.3">
      <c r="B84" s="424" t="s">
        <v>41</v>
      </c>
      <c r="C84" s="452">
        <v>34496</v>
      </c>
      <c r="D84" s="453">
        <f t="shared" ca="1" si="7"/>
        <v>31.704109589041096</v>
      </c>
      <c r="I84" s="2"/>
    </row>
    <row r="85" spans="2:10" x14ac:dyDescent="0.3">
      <c r="B85" s="424"/>
      <c r="C85" s="452"/>
      <c r="D85" s="453"/>
      <c r="F85"/>
      <c r="G85"/>
      <c r="H85"/>
      <c r="I85"/>
    </row>
    <row r="86" spans="2:10" x14ac:dyDescent="0.3">
      <c r="B86"/>
      <c r="C86"/>
      <c r="D86"/>
      <c r="E86"/>
      <c r="F86"/>
      <c r="G86"/>
      <c r="H86"/>
      <c r="I86"/>
    </row>
    <row r="87" spans="2:10" x14ac:dyDescent="0.3">
      <c r="B87"/>
      <c r="C87"/>
      <c r="D87"/>
      <c r="E87"/>
      <c r="F87"/>
      <c r="G87"/>
      <c r="H87"/>
      <c r="I87"/>
    </row>
    <row r="88" spans="2:10" x14ac:dyDescent="0.3">
      <c r="B88" s="447" t="s">
        <v>4646</v>
      </c>
      <c r="C88" s="448">
        <v>37732</v>
      </c>
      <c r="D88" s="479">
        <f t="shared" ref="D88" ca="1" si="8">(TODAY()-C88)/365</f>
        <v>22.838356164383562</v>
      </c>
      <c r="E88"/>
      <c r="F88"/>
      <c r="G88"/>
      <c r="H88"/>
      <c r="I88"/>
    </row>
    <row r="89" spans="2:10" x14ac:dyDescent="0.3">
      <c r="B89" s="447" t="s">
        <v>237</v>
      </c>
      <c r="C89" s="448">
        <v>35562</v>
      </c>
      <c r="D89" s="479">
        <f ca="1">(TODAY()-C89)/365</f>
        <v>28.783561643835615</v>
      </c>
      <c r="E89"/>
      <c r="F89"/>
      <c r="G89"/>
      <c r="H89"/>
      <c r="I89"/>
    </row>
    <row r="90" spans="2:10" x14ac:dyDescent="0.3">
      <c r="B90" s="447" t="s">
        <v>1191</v>
      </c>
      <c r="C90" s="448">
        <v>37269</v>
      </c>
      <c r="D90" s="479">
        <f ca="1">(TODAY()-C90)/365</f>
        <v>24.106849315068494</v>
      </c>
      <c r="E90"/>
      <c r="F90"/>
      <c r="G90"/>
      <c r="H90"/>
      <c r="I90"/>
    </row>
    <row r="91" spans="2:10" x14ac:dyDescent="0.3">
      <c r="B91" s="2" t="s">
        <v>1190</v>
      </c>
      <c r="C91" s="4">
        <v>36754</v>
      </c>
      <c r="D91" s="241">
        <f t="shared" ref="D91:D97" ca="1" si="9">(TODAY()-C91)/365</f>
        <v>25.517808219178082</v>
      </c>
      <c r="F91" s="8"/>
      <c r="I91" s="2"/>
    </row>
    <row r="92" spans="2:10" x14ac:dyDescent="0.3">
      <c r="B92" s="2" t="s">
        <v>1251</v>
      </c>
      <c r="C92" s="4">
        <v>36140</v>
      </c>
      <c r="D92" s="241">
        <f t="shared" ca="1" si="9"/>
        <v>27.2</v>
      </c>
      <c r="E92" s="454"/>
    </row>
    <row r="93" spans="2:10" x14ac:dyDescent="0.3">
      <c r="B93" s="2" t="s">
        <v>236</v>
      </c>
      <c r="C93" s="4">
        <v>36060</v>
      </c>
      <c r="D93" s="241">
        <f t="shared" ca="1" si="9"/>
        <v>27.419178082191781</v>
      </c>
      <c r="E93" s="454"/>
    </row>
    <row r="94" spans="2:10" x14ac:dyDescent="0.3">
      <c r="B94" s="2" t="s">
        <v>317</v>
      </c>
      <c r="C94" s="4">
        <v>36184</v>
      </c>
      <c r="D94" s="241">
        <f t="shared" ca="1" si="9"/>
        <v>27.079452054794519</v>
      </c>
      <c r="E94" s="454"/>
    </row>
    <row r="95" spans="2:10" x14ac:dyDescent="0.3">
      <c r="B95" s="2" t="s">
        <v>1193</v>
      </c>
      <c r="C95" s="4">
        <v>36961</v>
      </c>
      <c r="D95" s="241">
        <f t="shared" ca="1" si="9"/>
        <v>24.950684931506849</v>
      </c>
      <c r="E95" s="454"/>
    </row>
    <row r="96" spans="2:10" x14ac:dyDescent="0.3">
      <c r="B96" s="2" t="s">
        <v>1194</v>
      </c>
      <c r="C96" s="4">
        <v>36945</v>
      </c>
      <c r="D96" s="241">
        <f t="shared" ca="1" si="9"/>
        <v>24.994520547945207</v>
      </c>
      <c r="I96"/>
    </row>
    <row r="97" spans="1:9" x14ac:dyDescent="0.3">
      <c r="B97" s="2" t="s">
        <v>3674</v>
      </c>
      <c r="C97" s="4">
        <v>37126</v>
      </c>
      <c r="D97" s="241">
        <f t="shared" ca="1" si="9"/>
        <v>24.4986301369863</v>
      </c>
      <c r="I97"/>
    </row>
    <row r="98" spans="1:9" x14ac:dyDescent="0.3">
      <c r="B98" s="2" t="s">
        <v>4028</v>
      </c>
      <c r="C98" s="4">
        <v>37765</v>
      </c>
      <c r="D98" s="241">
        <f ca="1">(TODAY()-C98)/365</f>
        <v>22.747945205479454</v>
      </c>
      <c r="I98"/>
    </row>
    <row r="99" spans="1:9" x14ac:dyDescent="0.3">
      <c r="I99"/>
    </row>
    <row r="100" spans="1:9" x14ac:dyDescent="0.3">
      <c r="H100"/>
      <c r="I100"/>
    </row>
    <row r="101" spans="1:9" x14ac:dyDescent="0.3">
      <c r="E101"/>
      <c r="F101"/>
      <c r="G101"/>
      <c r="H101"/>
      <c r="I101"/>
    </row>
    <row r="102" spans="1:9" x14ac:dyDescent="0.3">
      <c r="E102"/>
      <c r="F102"/>
      <c r="G102"/>
      <c r="H102"/>
      <c r="I102"/>
    </row>
    <row r="103" spans="1:9" x14ac:dyDescent="0.3">
      <c r="E103"/>
      <c r="F103"/>
      <c r="G103"/>
      <c r="H103"/>
    </row>
    <row r="104" spans="1:9" x14ac:dyDescent="0.3">
      <c r="E104"/>
      <c r="F104"/>
      <c r="G104"/>
      <c r="H104"/>
    </row>
    <row r="105" spans="1:9" x14ac:dyDescent="0.3">
      <c r="B105" s="424"/>
      <c r="C105" s="452"/>
      <c r="D105" s="453"/>
      <c r="E105"/>
      <c r="F105"/>
      <c r="G105"/>
      <c r="H105"/>
    </row>
    <row r="106" spans="1:9" x14ac:dyDescent="0.3">
      <c r="B106" s="424"/>
      <c r="C106" s="452"/>
      <c r="D106" s="453"/>
      <c r="E106"/>
      <c r="F106"/>
      <c r="G106"/>
      <c r="H106"/>
    </row>
    <row r="107" spans="1:9" x14ac:dyDescent="0.3">
      <c r="A107" s="424"/>
      <c r="B107" s="452"/>
      <c r="C107" s="453"/>
      <c r="D107" s="454"/>
      <c r="E107" s="476"/>
      <c r="F107" s="452"/>
      <c r="G107" s="480"/>
      <c r="H107" s="8"/>
    </row>
    <row r="108" spans="1:9" x14ac:dyDescent="0.3">
      <c r="B108" s="455"/>
      <c r="C108" s="456"/>
      <c r="D108" s="457"/>
      <c r="E108"/>
      <c r="F108"/>
      <c r="G108"/>
      <c r="H108"/>
    </row>
    <row r="109" spans="1:9" x14ac:dyDescent="0.3">
      <c r="B109" s="424"/>
      <c r="C109" s="452"/>
      <c r="D109" s="453"/>
      <c r="E109"/>
      <c r="F109"/>
      <c r="G109"/>
      <c r="H109"/>
    </row>
    <row r="110" spans="1:9" x14ac:dyDescent="0.3">
      <c r="D110"/>
      <c r="E110"/>
      <c r="F110"/>
      <c r="G110"/>
      <c r="H110"/>
    </row>
    <row r="111" spans="1:9" x14ac:dyDescent="0.3">
      <c r="D111"/>
      <c r="E111"/>
      <c r="F111"/>
      <c r="G111"/>
      <c r="H111"/>
    </row>
    <row r="112" spans="1:9" x14ac:dyDescent="0.3">
      <c r="D112"/>
      <c r="E112"/>
      <c r="F112"/>
      <c r="G112"/>
      <c r="H112"/>
    </row>
    <row r="113" spans="4:8" x14ac:dyDescent="0.3">
      <c r="D113"/>
      <c r="E113"/>
      <c r="F113"/>
      <c r="G113"/>
      <c r="H113"/>
    </row>
    <row r="114" spans="4:8" x14ac:dyDescent="0.3">
      <c r="D114"/>
      <c r="E114"/>
      <c r="F114"/>
      <c r="G114"/>
      <c r="H114"/>
    </row>
    <row r="115" spans="4:8" x14ac:dyDescent="0.3">
      <c r="D115"/>
      <c r="E115"/>
      <c r="F115"/>
      <c r="G115"/>
      <c r="H115"/>
    </row>
    <row r="116" spans="4:8" x14ac:dyDescent="0.3">
      <c r="D116"/>
      <c r="E116"/>
      <c r="F116"/>
      <c r="G116"/>
      <c r="H116"/>
    </row>
    <row r="117" spans="4:8" x14ac:dyDescent="0.3">
      <c r="D117"/>
      <c r="E117"/>
      <c r="F117"/>
      <c r="G117"/>
      <c r="H117"/>
    </row>
    <row r="118" spans="4:8" x14ac:dyDescent="0.3">
      <c r="D118"/>
      <c r="E118"/>
      <c r="F118"/>
      <c r="G118"/>
      <c r="H118"/>
    </row>
    <row r="119" spans="4:8" x14ac:dyDescent="0.3">
      <c r="D119"/>
      <c r="E119"/>
      <c r="F119"/>
      <c r="G119"/>
      <c r="H119"/>
    </row>
    <row r="120" spans="4:8" x14ac:dyDescent="0.3">
      <c r="D120"/>
      <c r="E120"/>
      <c r="F120"/>
      <c r="G120"/>
      <c r="H120"/>
    </row>
    <row r="121" spans="4:8" x14ac:dyDescent="0.3">
      <c r="D121"/>
      <c r="E121"/>
      <c r="F121"/>
      <c r="G121"/>
      <c r="H121"/>
    </row>
    <row r="122" spans="4:8" x14ac:dyDescent="0.3">
      <c r="D122"/>
      <c r="E122"/>
      <c r="F122"/>
      <c r="G122"/>
      <c r="H122"/>
    </row>
    <row r="123" spans="4:8" x14ac:dyDescent="0.3">
      <c r="D123"/>
      <c r="E123"/>
      <c r="F123"/>
      <c r="G123"/>
      <c r="H123"/>
    </row>
    <row r="124" spans="4:8" x14ac:dyDescent="0.3">
      <c r="D124"/>
      <c r="E124"/>
      <c r="F124"/>
      <c r="G124"/>
      <c r="H124"/>
    </row>
    <row r="125" spans="4:8" x14ac:dyDescent="0.3">
      <c r="D125"/>
      <c r="E125"/>
      <c r="F125"/>
      <c r="G125"/>
      <c r="H125"/>
    </row>
    <row r="126" spans="4:8" x14ac:dyDescent="0.3">
      <c r="D126"/>
      <c r="E126"/>
      <c r="F126"/>
      <c r="G126"/>
      <c r="H126"/>
    </row>
    <row r="127" spans="4:8" x14ac:dyDescent="0.3">
      <c r="D127"/>
      <c r="E127"/>
      <c r="F127"/>
      <c r="G127"/>
      <c r="H127"/>
    </row>
    <row r="128" spans="4:8" x14ac:dyDescent="0.3">
      <c r="D128"/>
      <c r="E128"/>
      <c r="F128"/>
      <c r="G128"/>
      <c r="H128"/>
    </row>
    <row r="129" spans="4:8" x14ac:dyDescent="0.3">
      <c r="D129"/>
      <c r="E129"/>
      <c r="F129"/>
      <c r="G129"/>
      <c r="H129"/>
    </row>
    <row r="130" spans="4:8" x14ac:dyDescent="0.3">
      <c r="D130"/>
      <c r="E130"/>
      <c r="F130"/>
      <c r="G130"/>
      <c r="H130"/>
    </row>
    <row r="131" spans="4:8" x14ac:dyDescent="0.3">
      <c r="D131"/>
      <c r="E131"/>
      <c r="F131"/>
      <c r="G131"/>
      <c r="H131"/>
    </row>
    <row r="132" spans="4:8" x14ac:dyDescent="0.3">
      <c r="D132"/>
      <c r="E132"/>
      <c r="F132"/>
      <c r="G132"/>
      <c r="H132"/>
    </row>
    <row r="133" spans="4:8" x14ac:dyDescent="0.3">
      <c r="D133"/>
      <c r="E133"/>
      <c r="F133"/>
      <c r="G133"/>
      <c r="H133"/>
    </row>
    <row r="134" spans="4:8" x14ac:dyDescent="0.3">
      <c r="D134"/>
      <c r="E134"/>
      <c r="F134"/>
      <c r="G134"/>
      <c r="H134"/>
    </row>
    <row r="135" spans="4:8" x14ac:dyDescent="0.3">
      <c r="D135"/>
      <c r="E135"/>
      <c r="F135"/>
      <c r="G135"/>
      <c r="H135"/>
    </row>
    <row r="136" spans="4:8" x14ac:dyDescent="0.3">
      <c r="D136"/>
      <c r="E136"/>
      <c r="F136"/>
      <c r="G136"/>
      <c r="H136"/>
    </row>
    <row r="137" spans="4:8" x14ac:dyDescent="0.3">
      <c r="D137"/>
      <c r="E137"/>
      <c r="F137"/>
      <c r="G137"/>
      <c r="H137"/>
    </row>
    <row r="138" spans="4:8" x14ac:dyDescent="0.3">
      <c r="D138"/>
      <c r="E138"/>
      <c r="F138"/>
      <c r="G138"/>
      <c r="H138"/>
    </row>
    <row r="139" spans="4:8" x14ac:dyDescent="0.3">
      <c r="D139"/>
      <c r="E139"/>
      <c r="F139"/>
      <c r="G139"/>
      <c r="H139"/>
    </row>
    <row r="140" spans="4:8" x14ac:dyDescent="0.3">
      <c r="D140"/>
      <c r="E140"/>
      <c r="F140"/>
      <c r="G140"/>
      <c r="H140"/>
    </row>
    <row r="141" spans="4:8" x14ac:dyDescent="0.3">
      <c r="D141"/>
      <c r="E141"/>
      <c r="F141"/>
      <c r="G141"/>
      <c r="H141"/>
    </row>
    <row r="142" spans="4:8" x14ac:dyDescent="0.3">
      <c r="D142"/>
      <c r="E142"/>
      <c r="F142"/>
      <c r="G142"/>
      <c r="H142"/>
    </row>
    <row r="143" spans="4:8" x14ac:dyDescent="0.3">
      <c r="D143"/>
      <c r="E143"/>
      <c r="F143"/>
      <c r="G143"/>
      <c r="H143"/>
    </row>
    <row r="144" spans="4:8" x14ac:dyDescent="0.3">
      <c r="D144"/>
      <c r="E144"/>
      <c r="F144"/>
      <c r="G144"/>
      <c r="H144"/>
    </row>
    <row r="145" spans="4:8" x14ac:dyDescent="0.3">
      <c r="D145"/>
      <c r="E145"/>
      <c r="F145"/>
      <c r="G145"/>
      <c r="H145"/>
    </row>
    <row r="146" spans="4:8" x14ac:dyDescent="0.3">
      <c r="D146"/>
      <c r="E146"/>
      <c r="F146"/>
      <c r="G146"/>
      <c r="H146"/>
    </row>
    <row r="147" spans="4:8" x14ac:dyDescent="0.3">
      <c r="D147"/>
      <c r="E147"/>
      <c r="F147"/>
      <c r="G147"/>
      <c r="H147"/>
    </row>
    <row r="148" spans="4:8" x14ac:dyDescent="0.3">
      <c r="D148"/>
      <c r="E148"/>
      <c r="F148"/>
      <c r="G148"/>
      <c r="H148"/>
    </row>
    <row r="149" spans="4:8" x14ac:dyDescent="0.3">
      <c r="D149"/>
      <c r="E149"/>
      <c r="F149"/>
      <c r="G149"/>
      <c r="H149"/>
    </row>
    <row r="150" spans="4:8" x14ac:dyDescent="0.3">
      <c r="D150"/>
      <c r="E150"/>
      <c r="F150"/>
      <c r="G150"/>
      <c r="H150"/>
    </row>
    <row r="151" spans="4:8" x14ac:dyDescent="0.3">
      <c r="D151"/>
      <c r="E151"/>
      <c r="F151"/>
      <c r="G151"/>
      <c r="H151"/>
    </row>
    <row r="152" spans="4:8" x14ac:dyDescent="0.3">
      <c r="D152"/>
      <c r="E152"/>
      <c r="F152"/>
      <c r="G152"/>
      <c r="H152"/>
    </row>
    <row r="153" spans="4:8" x14ac:dyDescent="0.3">
      <c r="D153"/>
      <c r="E153"/>
      <c r="F153"/>
      <c r="G153"/>
      <c r="H153"/>
    </row>
    <row r="154" spans="4:8" x14ac:dyDescent="0.3">
      <c r="D154"/>
      <c r="E154"/>
      <c r="F154"/>
      <c r="G154"/>
      <c r="H154"/>
    </row>
    <row r="155" spans="4:8" x14ac:dyDescent="0.3">
      <c r="D155"/>
      <c r="E155"/>
      <c r="F155"/>
      <c r="G155"/>
      <c r="H155"/>
    </row>
    <row r="156" spans="4:8" x14ac:dyDescent="0.3">
      <c r="D156"/>
      <c r="E156"/>
      <c r="F156"/>
      <c r="G156"/>
      <c r="H156"/>
    </row>
    <row r="157" spans="4:8" x14ac:dyDescent="0.3">
      <c r="D157"/>
      <c r="E157"/>
      <c r="F157"/>
      <c r="G157"/>
      <c r="H157"/>
    </row>
    <row r="158" spans="4:8" x14ac:dyDescent="0.3">
      <c r="D158"/>
      <c r="E158"/>
      <c r="F158"/>
      <c r="G158"/>
      <c r="H158"/>
    </row>
    <row r="159" spans="4:8" x14ac:dyDescent="0.3">
      <c r="D159"/>
      <c r="E159"/>
      <c r="F159"/>
      <c r="G159"/>
      <c r="H159"/>
    </row>
    <row r="160" spans="4:8" x14ac:dyDescent="0.3">
      <c r="D160"/>
      <c r="E160"/>
      <c r="F160"/>
      <c r="G160"/>
      <c r="H160"/>
    </row>
    <row r="161" spans="4:8" x14ac:dyDescent="0.3">
      <c r="D161"/>
      <c r="E161"/>
      <c r="F161"/>
      <c r="G161"/>
      <c r="H161"/>
    </row>
    <row r="162" spans="4:8" x14ac:dyDescent="0.3">
      <c r="D162"/>
      <c r="E162"/>
      <c r="F162"/>
      <c r="G162"/>
      <c r="H162"/>
    </row>
    <row r="163" spans="4:8" x14ac:dyDescent="0.3">
      <c r="D163"/>
      <c r="E163"/>
      <c r="F163"/>
      <c r="G163"/>
      <c r="H163"/>
    </row>
    <row r="164" spans="4:8" x14ac:dyDescent="0.3">
      <c r="D164"/>
      <c r="E164"/>
      <c r="F164"/>
      <c r="G164"/>
      <c r="H164"/>
    </row>
    <row r="165" spans="4:8" x14ac:dyDescent="0.3">
      <c r="D165"/>
      <c r="E165"/>
      <c r="F165"/>
      <c r="G165"/>
      <c r="H165"/>
    </row>
    <row r="166" spans="4:8" x14ac:dyDescent="0.3">
      <c r="D166"/>
      <c r="E166"/>
      <c r="F166"/>
      <c r="G166"/>
      <c r="H166"/>
    </row>
    <row r="167" spans="4:8" x14ac:dyDescent="0.3">
      <c r="D167"/>
      <c r="E167"/>
      <c r="F167"/>
      <c r="G167"/>
      <c r="H167"/>
    </row>
    <row r="168" spans="4:8" x14ac:dyDescent="0.3">
      <c r="D168"/>
      <c r="E168"/>
      <c r="F168"/>
      <c r="G168"/>
      <c r="H168"/>
    </row>
    <row r="169" spans="4:8" x14ac:dyDescent="0.3">
      <c r="D169"/>
      <c r="E169"/>
      <c r="F169"/>
      <c r="G169"/>
      <c r="H169"/>
    </row>
    <row r="170" spans="4:8" x14ac:dyDescent="0.3">
      <c r="D170"/>
      <c r="E170"/>
      <c r="F170"/>
      <c r="G170"/>
      <c r="H170"/>
    </row>
    <row r="171" spans="4:8" x14ac:dyDescent="0.3">
      <c r="D171"/>
      <c r="E171"/>
      <c r="F171"/>
      <c r="G171"/>
      <c r="H171"/>
    </row>
    <row r="172" spans="4:8" x14ac:dyDescent="0.3">
      <c r="D172"/>
      <c r="E172"/>
      <c r="F172"/>
      <c r="G172"/>
      <c r="H172"/>
    </row>
    <row r="173" spans="4:8" x14ac:dyDescent="0.3">
      <c r="D173"/>
      <c r="E173"/>
      <c r="F173"/>
      <c r="G173"/>
      <c r="H173"/>
    </row>
    <row r="174" spans="4:8" x14ac:dyDescent="0.3">
      <c r="D174"/>
      <c r="E174"/>
      <c r="F174"/>
      <c r="G174"/>
      <c r="H174"/>
    </row>
    <row r="175" spans="4:8" x14ac:dyDescent="0.3">
      <c r="D175"/>
      <c r="E175"/>
      <c r="F175"/>
      <c r="G175"/>
      <c r="H175"/>
    </row>
    <row r="176" spans="4:8" x14ac:dyDescent="0.3">
      <c r="D176"/>
      <c r="E176"/>
      <c r="F176"/>
      <c r="G176"/>
      <c r="H176"/>
    </row>
    <row r="177" spans="4:8" x14ac:dyDescent="0.3">
      <c r="D177"/>
      <c r="E177"/>
      <c r="F177"/>
      <c r="G177"/>
      <c r="H177"/>
    </row>
    <row r="178" spans="4:8" x14ac:dyDescent="0.3">
      <c r="D178"/>
      <c r="E178"/>
      <c r="F178"/>
      <c r="G178"/>
      <c r="H178"/>
    </row>
    <row r="179" spans="4:8" x14ac:dyDescent="0.3">
      <c r="D179"/>
      <c r="E179"/>
      <c r="F179"/>
      <c r="G179"/>
      <c r="H179"/>
    </row>
    <row r="180" spans="4:8" x14ac:dyDescent="0.3">
      <c r="D180"/>
      <c r="E180"/>
      <c r="F180"/>
      <c r="G180"/>
      <c r="H180"/>
    </row>
    <row r="181" spans="4:8" x14ac:dyDescent="0.3">
      <c r="D181"/>
      <c r="E181"/>
      <c r="F181"/>
      <c r="G181"/>
      <c r="H181"/>
    </row>
    <row r="182" spans="4:8" x14ac:dyDescent="0.3">
      <c r="D182"/>
      <c r="E182"/>
      <c r="F182"/>
      <c r="G182"/>
      <c r="H182"/>
    </row>
    <row r="183" spans="4:8" x14ac:dyDescent="0.3">
      <c r="D183"/>
      <c r="E183"/>
      <c r="F183"/>
      <c r="G183"/>
      <c r="H183"/>
    </row>
    <row r="184" spans="4:8" x14ac:dyDescent="0.3">
      <c r="D184"/>
      <c r="E184"/>
      <c r="F184"/>
      <c r="G184"/>
      <c r="H184"/>
    </row>
    <row r="185" spans="4:8" x14ac:dyDescent="0.3">
      <c r="D185"/>
      <c r="E185"/>
      <c r="F185"/>
      <c r="G185"/>
      <c r="H185"/>
    </row>
    <row r="186" spans="4:8" x14ac:dyDescent="0.3">
      <c r="D186"/>
      <c r="E186"/>
      <c r="F186"/>
      <c r="G186"/>
      <c r="H186"/>
    </row>
    <row r="187" spans="4:8" x14ac:dyDescent="0.3">
      <c r="D187"/>
      <c r="E187"/>
      <c r="F187"/>
      <c r="G187"/>
      <c r="H187"/>
    </row>
    <row r="188" spans="4:8" x14ac:dyDescent="0.3">
      <c r="D188"/>
      <c r="E188"/>
      <c r="F188"/>
      <c r="G188"/>
      <c r="H188"/>
    </row>
    <row r="189" spans="4:8" x14ac:dyDescent="0.3">
      <c r="D189"/>
      <c r="E189"/>
      <c r="F189"/>
      <c r="G189"/>
      <c r="H189"/>
    </row>
    <row r="190" spans="4:8" x14ac:dyDescent="0.3">
      <c r="D190"/>
      <c r="E190"/>
      <c r="F190"/>
      <c r="G190"/>
      <c r="H190"/>
    </row>
    <row r="191" spans="4:8" x14ac:dyDescent="0.3">
      <c r="D191"/>
      <c r="E191"/>
      <c r="F191"/>
      <c r="G191"/>
      <c r="H191"/>
    </row>
    <row r="192" spans="4:8" x14ac:dyDescent="0.3">
      <c r="D192"/>
      <c r="E192"/>
      <c r="F192"/>
      <c r="G192"/>
      <c r="H192"/>
    </row>
    <row r="193" spans="4:8" x14ac:dyDescent="0.3">
      <c r="D193"/>
      <c r="E193"/>
      <c r="F193"/>
      <c r="G193"/>
      <c r="H193"/>
    </row>
    <row r="194" spans="4:8" x14ac:dyDescent="0.3">
      <c r="D194"/>
      <c r="E194"/>
      <c r="F194"/>
      <c r="G194"/>
      <c r="H194"/>
    </row>
    <row r="195" spans="4:8" x14ac:dyDescent="0.3">
      <c r="D195"/>
      <c r="E195"/>
      <c r="F195"/>
      <c r="G195"/>
      <c r="H195"/>
    </row>
    <row r="196" spans="4:8" x14ac:dyDescent="0.3">
      <c r="D196"/>
      <c r="E196"/>
      <c r="F196"/>
      <c r="G196"/>
      <c r="H196"/>
    </row>
    <row r="197" spans="4:8" x14ac:dyDescent="0.3">
      <c r="D197"/>
      <c r="E197"/>
      <c r="F197"/>
      <c r="G197"/>
      <c r="H197"/>
    </row>
    <row r="198" spans="4:8" x14ac:dyDescent="0.3">
      <c r="D198"/>
      <c r="E198"/>
      <c r="F198"/>
      <c r="G198"/>
      <c r="H198"/>
    </row>
    <row r="199" spans="4:8" x14ac:dyDescent="0.3">
      <c r="D199"/>
      <c r="E199"/>
      <c r="F199"/>
      <c r="G199"/>
      <c r="H199"/>
    </row>
    <row r="200" spans="4:8" x14ac:dyDescent="0.3">
      <c r="D200"/>
      <c r="E200"/>
      <c r="F200"/>
      <c r="G200"/>
      <c r="H200"/>
    </row>
    <row r="201" spans="4:8" x14ac:dyDescent="0.3">
      <c r="D201"/>
      <c r="E201"/>
      <c r="F201"/>
      <c r="G201"/>
      <c r="H201"/>
    </row>
    <row r="202" spans="4:8" x14ac:dyDescent="0.3">
      <c r="D202"/>
      <c r="E202"/>
      <c r="F202"/>
      <c r="G202"/>
      <c r="H202"/>
    </row>
    <row r="203" spans="4:8" x14ac:dyDescent="0.3">
      <c r="D203"/>
      <c r="E203"/>
      <c r="F203"/>
      <c r="G203"/>
      <c r="H203"/>
    </row>
    <row r="204" spans="4:8" x14ac:dyDescent="0.3">
      <c r="D204"/>
      <c r="E204"/>
      <c r="F204"/>
      <c r="G204"/>
      <c r="H204"/>
    </row>
    <row r="205" spans="4:8" x14ac:dyDescent="0.3">
      <c r="D205"/>
      <c r="E205"/>
      <c r="F205"/>
      <c r="G205"/>
      <c r="H205"/>
    </row>
    <row r="206" spans="4:8" x14ac:dyDescent="0.3">
      <c r="D206"/>
      <c r="E206"/>
      <c r="F206"/>
      <c r="G206"/>
      <c r="H206"/>
    </row>
    <row r="207" spans="4:8" x14ac:dyDescent="0.3">
      <c r="D207"/>
      <c r="E207"/>
      <c r="F207"/>
      <c r="G207"/>
      <c r="H207"/>
    </row>
    <row r="208" spans="4:8" x14ac:dyDescent="0.3">
      <c r="D208"/>
      <c r="E208"/>
      <c r="F208"/>
      <c r="G208"/>
      <c r="H208"/>
    </row>
    <row r="209" spans="4:8" x14ac:dyDescent="0.3">
      <c r="D209"/>
      <c r="E209"/>
      <c r="F209"/>
      <c r="G209"/>
      <c r="H209"/>
    </row>
    <row r="210" spans="4:8" x14ac:dyDescent="0.3">
      <c r="D210"/>
      <c r="E210"/>
      <c r="F210"/>
      <c r="G210"/>
      <c r="H210"/>
    </row>
    <row r="211" spans="4:8" x14ac:dyDescent="0.3">
      <c r="D211"/>
      <c r="E211"/>
      <c r="F211"/>
      <c r="G211"/>
      <c r="H211"/>
    </row>
    <row r="212" spans="4:8" x14ac:dyDescent="0.3">
      <c r="D212"/>
      <c r="E212"/>
      <c r="F212"/>
      <c r="G212"/>
      <c r="H212"/>
    </row>
    <row r="213" spans="4:8" x14ac:dyDescent="0.3">
      <c r="D213"/>
      <c r="E213"/>
      <c r="F213"/>
      <c r="G213"/>
      <c r="H213"/>
    </row>
    <row r="214" spans="4:8" x14ac:dyDescent="0.3">
      <c r="D214"/>
      <c r="E214"/>
      <c r="F214"/>
      <c r="G214"/>
      <c r="H214"/>
    </row>
    <row r="215" spans="4:8" x14ac:dyDescent="0.3">
      <c r="D215"/>
      <c r="E215"/>
      <c r="F215"/>
      <c r="G215"/>
      <c r="H215"/>
    </row>
    <row r="216" spans="4:8" x14ac:dyDescent="0.3">
      <c r="D216"/>
      <c r="E216"/>
      <c r="F216"/>
      <c r="G216"/>
      <c r="H216"/>
    </row>
    <row r="217" spans="4:8" x14ac:dyDescent="0.3">
      <c r="D217"/>
      <c r="E217"/>
      <c r="F217"/>
      <c r="G217"/>
      <c r="H217"/>
    </row>
    <row r="218" spans="4:8" x14ac:dyDescent="0.3">
      <c r="D218"/>
      <c r="E218"/>
      <c r="F218"/>
      <c r="G218"/>
      <c r="H218"/>
    </row>
    <row r="219" spans="4:8" x14ac:dyDescent="0.3">
      <c r="D219"/>
      <c r="E219"/>
      <c r="F219"/>
      <c r="G219"/>
      <c r="H219"/>
    </row>
    <row r="220" spans="4:8" x14ac:dyDescent="0.3">
      <c r="D220"/>
      <c r="E220"/>
      <c r="F220"/>
      <c r="G220"/>
      <c r="H220"/>
    </row>
    <row r="221" spans="4:8" x14ac:dyDescent="0.3">
      <c r="D221"/>
      <c r="E221"/>
      <c r="F221"/>
      <c r="G221"/>
      <c r="H221"/>
    </row>
    <row r="222" spans="4:8" x14ac:dyDescent="0.3">
      <c r="D222"/>
      <c r="E222"/>
      <c r="F222"/>
      <c r="G222"/>
      <c r="H222"/>
    </row>
    <row r="223" spans="4:8" x14ac:dyDescent="0.3">
      <c r="D223"/>
      <c r="E223"/>
      <c r="F223"/>
      <c r="G223"/>
      <c r="H223"/>
    </row>
    <row r="224" spans="4:8" x14ac:dyDescent="0.3">
      <c r="D224"/>
      <c r="E224"/>
      <c r="F224"/>
      <c r="G224"/>
      <c r="H224"/>
    </row>
    <row r="225" spans="4:8" x14ac:dyDescent="0.3">
      <c r="D225"/>
      <c r="E225"/>
      <c r="F225"/>
      <c r="G225"/>
      <c r="H225"/>
    </row>
    <row r="226" spans="4:8" x14ac:dyDescent="0.3">
      <c r="D226"/>
      <c r="E226"/>
      <c r="F226"/>
      <c r="G226"/>
      <c r="H226"/>
    </row>
    <row r="227" spans="4:8" x14ac:dyDescent="0.3">
      <c r="D227"/>
      <c r="E227"/>
      <c r="F227"/>
      <c r="G227"/>
      <c r="H227"/>
    </row>
    <row r="228" spans="4:8" x14ac:dyDescent="0.3">
      <c r="D228"/>
      <c r="E228"/>
      <c r="F228"/>
      <c r="G228"/>
      <c r="H228"/>
    </row>
    <row r="229" spans="4:8" x14ac:dyDescent="0.3">
      <c r="D229"/>
      <c r="E229"/>
      <c r="F229"/>
      <c r="G229"/>
      <c r="H229"/>
    </row>
    <row r="230" spans="4:8" x14ac:dyDescent="0.3">
      <c r="D230"/>
      <c r="E230"/>
      <c r="F230"/>
      <c r="G230"/>
      <c r="H230"/>
    </row>
    <row r="231" spans="4:8" x14ac:dyDescent="0.3">
      <c r="D231"/>
      <c r="E231"/>
      <c r="F231"/>
      <c r="G231"/>
      <c r="H231"/>
    </row>
    <row r="232" spans="4:8" x14ac:dyDescent="0.3">
      <c r="D232"/>
      <c r="E232"/>
      <c r="F232"/>
      <c r="G232"/>
      <c r="H232"/>
    </row>
    <row r="233" spans="4:8" x14ac:dyDescent="0.3">
      <c r="D233"/>
      <c r="E233"/>
      <c r="F233"/>
      <c r="G233"/>
      <c r="H233"/>
    </row>
    <row r="234" spans="4:8" x14ac:dyDescent="0.3">
      <c r="D234"/>
      <c r="E234"/>
      <c r="F234"/>
      <c r="G234"/>
      <c r="H234"/>
    </row>
    <row r="235" spans="4:8" x14ac:dyDescent="0.3">
      <c r="D235"/>
      <c r="E235"/>
      <c r="F235"/>
      <c r="G235"/>
      <c r="H235"/>
    </row>
    <row r="236" spans="4:8" x14ac:dyDescent="0.3">
      <c r="D236"/>
      <c r="E236"/>
      <c r="F236"/>
      <c r="G236"/>
      <c r="H236"/>
    </row>
    <row r="237" spans="4:8" x14ac:dyDescent="0.3">
      <c r="D237"/>
      <c r="E237"/>
      <c r="F237"/>
      <c r="G237"/>
      <c r="H237"/>
    </row>
    <row r="238" spans="4:8" x14ac:dyDescent="0.3">
      <c r="D238"/>
      <c r="E238"/>
      <c r="F238"/>
      <c r="G238"/>
      <c r="H238"/>
    </row>
    <row r="239" spans="4:8" x14ac:dyDescent="0.3">
      <c r="D239"/>
      <c r="E239"/>
      <c r="F239"/>
      <c r="G239"/>
      <c r="H239"/>
    </row>
    <row r="240" spans="4:8" x14ac:dyDescent="0.3">
      <c r="D240"/>
      <c r="E240"/>
      <c r="F240"/>
      <c r="G240"/>
      <c r="H240"/>
    </row>
    <row r="241" spans="4:8" x14ac:dyDescent="0.3">
      <c r="D241"/>
      <c r="E241"/>
      <c r="F241"/>
      <c r="G241"/>
      <c r="H241"/>
    </row>
    <row r="242" spans="4:8" x14ac:dyDescent="0.3">
      <c r="D242"/>
      <c r="E242"/>
      <c r="F242"/>
      <c r="G242"/>
      <c r="H242"/>
    </row>
    <row r="243" spans="4:8" x14ac:dyDescent="0.3">
      <c r="D243"/>
      <c r="E243"/>
      <c r="F243"/>
      <c r="G243"/>
      <c r="H243"/>
    </row>
    <row r="244" spans="4:8" x14ac:dyDescent="0.3">
      <c r="D244"/>
      <c r="E244"/>
      <c r="F244"/>
      <c r="G244"/>
      <c r="H244"/>
    </row>
    <row r="245" spans="4:8" x14ac:dyDescent="0.3">
      <c r="D245"/>
      <c r="E245"/>
      <c r="F245"/>
      <c r="G245"/>
      <c r="H245"/>
    </row>
    <row r="246" spans="4:8" x14ac:dyDescent="0.3">
      <c r="D246"/>
      <c r="E246"/>
      <c r="F246"/>
      <c r="G246"/>
      <c r="H246"/>
    </row>
    <row r="247" spans="4:8" x14ac:dyDescent="0.3">
      <c r="D247"/>
      <c r="E247"/>
      <c r="F247"/>
      <c r="G247"/>
      <c r="H247"/>
    </row>
    <row r="248" spans="4:8" x14ac:dyDescent="0.3">
      <c r="D248"/>
      <c r="E248"/>
      <c r="F248"/>
      <c r="G248"/>
      <c r="H248"/>
    </row>
    <row r="249" spans="4:8" x14ac:dyDescent="0.3">
      <c r="D249"/>
      <c r="E249"/>
      <c r="F249"/>
      <c r="G249"/>
      <c r="H249"/>
    </row>
    <row r="250" spans="4:8" x14ac:dyDescent="0.3">
      <c r="D250"/>
      <c r="E250"/>
      <c r="F250"/>
      <c r="G250"/>
      <c r="H250"/>
    </row>
    <row r="251" spans="4:8" x14ac:dyDescent="0.3">
      <c r="D251"/>
      <c r="E251"/>
      <c r="F251"/>
      <c r="G251"/>
      <c r="H251"/>
    </row>
    <row r="252" spans="4:8" x14ac:dyDescent="0.3">
      <c r="D252"/>
      <c r="E252"/>
      <c r="F252"/>
      <c r="G252"/>
      <c r="H252"/>
    </row>
    <row r="253" spans="4:8" x14ac:dyDescent="0.3">
      <c r="D253"/>
      <c r="E253"/>
      <c r="F253"/>
      <c r="G253"/>
      <c r="H253"/>
    </row>
    <row r="254" spans="4:8" x14ac:dyDescent="0.3">
      <c r="D254"/>
      <c r="E254"/>
      <c r="F254"/>
      <c r="G254"/>
      <c r="H254"/>
    </row>
    <row r="255" spans="4:8" x14ac:dyDescent="0.3">
      <c r="D255"/>
      <c r="E255"/>
      <c r="F255"/>
      <c r="G255"/>
      <c r="H255"/>
    </row>
    <row r="256" spans="4:8" x14ac:dyDescent="0.3">
      <c r="D256"/>
      <c r="E256"/>
      <c r="F256"/>
      <c r="G256"/>
      <c r="H256"/>
    </row>
    <row r="257" spans="4:8" x14ac:dyDescent="0.3">
      <c r="D257"/>
      <c r="E257"/>
      <c r="F257"/>
      <c r="G257"/>
      <c r="H257"/>
    </row>
    <row r="258" spans="4:8" x14ac:dyDescent="0.3">
      <c r="D258"/>
      <c r="E258"/>
      <c r="F258"/>
      <c r="G258"/>
      <c r="H258"/>
    </row>
    <row r="259" spans="4:8" x14ac:dyDescent="0.3">
      <c r="D259"/>
      <c r="E259"/>
      <c r="F259"/>
      <c r="G259"/>
      <c r="H259"/>
    </row>
    <row r="260" spans="4:8" x14ac:dyDescent="0.3">
      <c r="D260"/>
      <c r="E260"/>
      <c r="F260"/>
      <c r="G260"/>
      <c r="H260"/>
    </row>
    <row r="261" spans="4:8" x14ac:dyDescent="0.3">
      <c r="D261"/>
      <c r="E261"/>
      <c r="F261"/>
      <c r="G261"/>
      <c r="H261"/>
    </row>
    <row r="262" spans="4:8" x14ac:dyDescent="0.3">
      <c r="D262"/>
      <c r="E262"/>
      <c r="F262"/>
      <c r="G262"/>
      <c r="H262"/>
    </row>
    <row r="263" spans="4:8" x14ac:dyDescent="0.3">
      <c r="D263"/>
      <c r="E263"/>
      <c r="F263"/>
      <c r="G263"/>
      <c r="H263"/>
    </row>
    <row r="264" spans="4:8" x14ac:dyDescent="0.3">
      <c r="D264"/>
      <c r="E264"/>
      <c r="F264"/>
      <c r="G264"/>
      <c r="H264"/>
    </row>
    <row r="265" spans="4:8" x14ac:dyDescent="0.3">
      <c r="D265"/>
      <c r="E265"/>
      <c r="F265"/>
      <c r="G265"/>
      <c r="H265"/>
    </row>
    <row r="266" spans="4:8" x14ac:dyDescent="0.3">
      <c r="D266"/>
      <c r="E266"/>
      <c r="F266"/>
      <c r="G266"/>
      <c r="H266"/>
    </row>
    <row r="267" spans="4:8" x14ac:dyDescent="0.3">
      <c r="D267"/>
      <c r="E267"/>
      <c r="F267"/>
      <c r="G267"/>
      <c r="H267"/>
    </row>
    <row r="268" spans="4:8" x14ac:dyDescent="0.3">
      <c r="D268"/>
      <c r="E268"/>
      <c r="F268"/>
      <c r="G268"/>
      <c r="H268"/>
    </row>
    <row r="269" spans="4:8" x14ac:dyDescent="0.3">
      <c r="D269"/>
      <c r="E269"/>
      <c r="F269"/>
      <c r="G269"/>
      <c r="H269"/>
    </row>
    <row r="270" spans="4:8" x14ac:dyDescent="0.3">
      <c r="D270"/>
      <c r="E270"/>
      <c r="F270"/>
      <c r="G270"/>
      <c r="H270"/>
    </row>
    <row r="271" spans="4:8" x14ac:dyDescent="0.3">
      <c r="D271"/>
      <c r="E271"/>
      <c r="F271"/>
      <c r="G271"/>
      <c r="H271"/>
    </row>
    <row r="272" spans="4:8" x14ac:dyDescent="0.3">
      <c r="D272"/>
      <c r="E272"/>
      <c r="F272"/>
      <c r="G272"/>
      <c r="H272"/>
    </row>
    <row r="273" spans="4:8" x14ac:dyDescent="0.3">
      <c r="D273"/>
      <c r="E273"/>
      <c r="F273"/>
      <c r="G273"/>
      <c r="H273"/>
    </row>
    <row r="274" spans="4:8" x14ac:dyDescent="0.3">
      <c r="D274"/>
      <c r="E274"/>
      <c r="F274"/>
      <c r="G274"/>
      <c r="H274"/>
    </row>
    <row r="275" spans="4:8" x14ac:dyDescent="0.3">
      <c r="D275"/>
      <c r="E275"/>
      <c r="F275"/>
      <c r="G275"/>
      <c r="H275"/>
    </row>
    <row r="276" spans="4:8" x14ac:dyDescent="0.3">
      <c r="D276"/>
      <c r="E276"/>
      <c r="F276"/>
      <c r="G276"/>
      <c r="H276"/>
    </row>
    <row r="277" spans="4:8" x14ac:dyDescent="0.3">
      <c r="D277"/>
      <c r="E277"/>
      <c r="F277"/>
      <c r="G277"/>
      <c r="H277"/>
    </row>
    <row r="278" spans="4:8" x14ac:dyDescent="0.3">
      <c r="D278"/>
      <c r="E278"/>
      <c r="F278"/>
      <c r="G278"/>
      <c r="H278"/>
    </row>
    <row r="279" spans="4:8" x14ac:dyDescent="0.3">
      <c r="D279"/>
      <c r="E279"/>
      <c r="F279"/>
      <c r="G279"/>
      <c r="H279"/>
    </row>
    <row r="280" spans="4:8" x14ac:dyDescent="0.3">
      <c r="D280"/>
      <c r="E280"/>
      <c r="F280"/>
      <c r="G280"/>
      <c r="H280"/>
    </row>
    <row r="281" spans="4:8" x14ac:dyDescent="0.3">
      <c r="D281"/>
      <c r="E281"/>
      <c r="F281"/>
      <c r="G281"/>
      <c r="H281"/>
    </row>
    <row r="282" spans="4:8" x14ac:dyDescent="0.3">
      <c r="D282"/>
      <c r="E282"/>
      <c r="F282"/>
      <c r="G282"/>
      <c r="H282"/>
    </row>
    <row r="283" spans="4:8" x14ac:dyDescent="0.3">
      <c r="D283"/>
      <c r="E283"/>
      <c r="F283"/>
      <c r="G283"/>
      <c r="H283"/>
    </row>
    <row r="284" spans="4:8" x14ac:dyDescent="0.3">
      <c r="D284"/>
      <c r="E284"/>
      <c r="F284"/>
      <c r="G284"/>
      <c r="H284"/>
    </row>
    <row r="285" spans="4:8" x14ac:dyDescent="0.3">
      <c r="D285"/>
      <c r="E285"/>
      <c r="F285"/>
      <c r="G285"/>
      <c r="H285"/>
    </row>
    <row r="286" spans="4:8" x14ac:dyDescent="0.3">
      <c r="D286"/>
      <c r="E286"/>
      <c r="F286"/>
      <c r="G286"/>
      <c r="H286"/>
    </row>
    <row r="287" spans="4:8" x14ac:dyDescent="0.3">
      <c r="D287"/>
      <c r="E287"/>
      <c r="F287"/>
      <c r="G287"/>
      <c r="H287"/>
    </row>
    <row r="288" spans="4:8" x14ac:dyDescent="0.3">
      <c r="D288"/>
      <c r="E288"/>
      <c r="F288"/>
      <c r="G288"/>
      <c r="H288"/>
    </row>
    <row r="289" spans="4:8" x14ac:dyDescent="0.3">
      <c r="D289"/>
      <c r="E289"/>
      <c r="F289"/>
      <c r="G289"/>
      <c r="H289"/>
    </row>
    <row r="290" spans="4:8" x14ac:dyDescent="0.3">
      <c r="D290"/>
      <c r="E290"/>
      <c r="F290"/>
      <c r="G290"/>
      <c r="H290"/>
    </row>
    <row r="291" spans="4:8" x14ac:dyDescent="0.3">
      <c r="D291"/>
      <c r="E291"/>
      <c r="F291"/>
      <c r="G291"/>
      <c r="H291"/>
    </row>
    <row r="292" spans="4:8" x14ac:dyDescent="0.3">
      <c r="D292"/>
      <c r="E292"/>
      <c r="F292"/>
      <c r="G292"/>
      <c r="H292"/>
    </row>
    <row r="293" spans="4:8" x14ac:dyDescent="0.3">
      <c r="D293"/>
      <c r="E293"/>
      <c r="F293"/>
      <c r="G293"/>
      <c r="H293"/>
    </row>
    <row r="294" spans="4:8" x14ac:dyDescent="0.3">
      <c r="D294"/>
      <c r="E294"/>
      <c r="F294"/>
      <c r="G294"/>
      <c r="H294"/>
    </row>
    <row r="295" spans="4:8" x14ac:dyDescent="0.3">
      <c r="D295"/>
      <c r="E295"/>
      <c r="F295"/>
      <c r="G295"/>
      <c r="H295"/>
    </row>
    <row r="296" spans="4:8" x14ac:dyDescent="0.3">
      <c r="D296"/>
      <c r="E296"/>
      <c r="F296"/>
      <c r="G296"/>
      <c r="H296"/>
    </row>
    <row r="297" spans="4:8" x14ac:dyDescent="0.3">
      <c r="D297"/>
      <c r="E297"/>
      <c r="F297"/>
      <c r="G297"/>
      <c r="H297"/>
    </row>
    <row r="298" spans="4:8" x14ac:dyDescent="0.3">
      <c r="D298"/>
      <c r="E298"/>
      <c r="F298"/>
      <c r="G298"/>
      <c r="H298"/>
    </row>
    <row r="299" spans="4:8" x14ac:dyDescent="0.3">
      <c r="D299"/>
      <c r="E299"/>
      <c r="F299"/>
      <c r="G299"/>
      <c r="H299"/>
    </row>
    <row r="300" spans="4:8" x14ac:dyDescent="0.3">
      <c r="D300"/>
      <c r="E300"/>
      <c r="F300"/>
      <c r="G300"/>
      <c r="H300"/>
    </row>
    <row r="301" spans="4:8" x14ac:dyDescent="0.3">
      <c r="D301"/>
      <c r="E301"/>
      <c r="F301"/>
      <c r="G301"/>
      <c r="H301"/>
    </row>
    <row r="302" spans="4:8" x14ac:dyDescent="0.3">
      <c r="D302"/>
      <c r="E302"/>
      <c r="F302"/>
      <c r="G302"/>
      <c r="H302"/>
    </row>
    <row r="303" spans="4:8" x14ac:dyDescent="0.3">
      <c r="D303"/>
      <c r="E303"/>
      <c r="F303"/>
      <c r="G303"/>
      <c r="H303"/>
    </row>
    <row r="304" spans="4:8" x14ac:dyDescent="0.3">
      <c r="D304"/>
      <c r="E304"/>
      <c r="F304"/>
      <c r="G304"/>
      <c r="H304"/>
    </row>
    <row r="305" spans="4:8" x14ac:dyDescent="0.3">
      <c r="D305"/>
      <c r="E305"/>
      <c r="F305"/>
      <c r="G305"/>
      <c r="H305"/>
    </row>
    <row r="306" spans="4:8" x14ac:dyDescent="0.3">
      <c r="D306"/>
      <c r="E306"/>
      <c r="F306"/>
      <c r="G306"/>
      <c r="H306"/>
    </row>
    <row r="307" spans="4:8" x14ac:dyDescent="0.3">
      <c r="D307"/>
      <c r="E307"/>
      <c r="F307"/>
      <c r="G307"/>
      <c r="H307"/>
    </row>
    <row r="308" spans="4:8" x14ac:dyDescent="0.3">
      <c r="D308"/>
      <c r="E308"/>
      <c r="F308"/>
      <c r="G308"/>
      <c r="H308"/>
    </row>
    <row r="309" spans="4:8" x14ac:dyDescent="0.3">
      <c r="D309"/>
      <c r="E309"/>
      <c r="F309"/>
      <c r="G309"/>
      <c r="H309"/>
    </row>
    <row r="310" spans="4:8" x14ac:dyDescent="0.3">
      <c r="D310"/>
      <c r="E310"/>
      <c r="F310"/>
      <c r="G310"/>
      <c r="H310"/>
    </row>
    <row r="311" spans="4:8" x14ac:dyDescent="0.3">
      <c r="D311"/>
      <c r="E311"/>
      <c r="F311"/>
      <c r="G311"/>
      <c r="H311"/>
    </row>
    <row r="312" spans="4:8" x14ac:dyDescent="0.3">
      <c r="D312"/>
      <c r="E312"/>
      <c r="F312"/>
      <c r="G312"/>
      <c r="H312"/>
    </row>
    <row r="313" spans="4:8" x14ac:dyDescent="0.3">
      <c r="D313"/>
      <c r="E313"/>
      <c r="F313"/>
      <c r="G313"/>
      <c r="H313"/>
    </row>
    <row r="314" spans="4:8" x14ac:dyDescent="0.3">
      <c r="D314"/>
      <c r="E314"/>
      <c r="F314"/>
      <c r="G314"/>
      <c r="H314"/>
    </row>
    <row r="315" spans="4:8" x14ac:dyDescent="0.3">
      <c r="D315"/>
      <c r="E315"/>
      <c r="F315"/>
      <c r="G315"/>
      <c r="H315"/>
    </row>
    <row r="316" spans="4:8" x14ac:dyDescent="0.3">
      <c r="D316"/>
      <c r="E316"/>
      <c r="F316"/>
      <c r="G316"/>
      <c r="H316"/>
    </row>
    <row r="317" spans="4:8" x14ac:dyDescent="0.3">
      <c r="D317"/>
      <c r="E317"/>
      <c r="F317"/>
      <c r="G317"/>
      <c r="H317"/>
    </row>
    <row r="318" spans="4:8" x14ac:dyDescent="0.3">
      <c r="D318"/>
      <c r="E318"/>
      <c r="F318"/>
      <c r="G318"/>
      <c r="H318"/>
    </row>
    <row r="319" spans="4:8" x14ac:dyDescent="0.3">
      <c r="D319"/>
      <c r="E319"/>
      <c r="F319"/>
      <c r="G319"/>
      <c r="H319"/>
    </row>
    <row r="320" spans="4:8" x14ac:dyDescent="0.3">
      <c r="D320"/>
      <c r="E320"/>
      <c r="F320"/>
      <c r="G320"/>
      <c r="H320"/>
    </row>
    <row r="321" spans="4:8" x14ac:dyDescent="0.3">
      <c r="D321"/>
      <c r="E321"/>
      <c r="F321"/>
      <c r="G321"/>
      <c r="H321"/>
    </row>
    <row r="322" spans="4:8" x14ac:dyDescent="0.3">
      <c r="D322"/>
      <c r="E322"/>
      <c r="F322"/>
      <c r="G322"/>
      <c r="H322"/>
    </row>
    <row r="323" spans="4:8" x14ac:dyDescent="0.3">
      <c r="D323"/>
      <c r="E323"/>
      <c r="F323"/>
      <c r="G323"/>
      <c r="H323"/>
    </row>
    <row r="324" spans="4:8" x14ac:dyDescent="0.3">
      <c r="D324"/>
      <c r="E324"/>
      <c r="F324"/>
      <c r="G324"/>
      <c r="H324"/>
    </row>
    <row r="325" spans="4:8" x14ac:dyDescent="0.3">
      <c r="D325"/>
      <c r="E325"/>
      <c r="F325"/>
      <c r="G325"/>
      <c r="H325"/>
    </row>
    <row r="326" spans="4:8" x14ac:dyDescent="0.3">
      <c r="D326"/>
      <c r="E326"/>
      <c r="F326"/>
      <c r="G326"/>
      <c r="H326"/>
    </row>
    <row r="327" spans="4:8" x14ac:dyDescent="0.3">
      <c r="D327"/>
      <c r="E327"/>
      <c r="F327"/>
      <c r="G327"/>
      <c r="H327"/>
    </row>
    <row r="328" spans="4:8" x14ac:dyDescent="0.3">
      <c r="D328"/>
      <c r="E328"/>
      <c r="F328"/>
      <c r="G328"/>
      <c r="H328"/>
    </row>
    <row r="329" spans="4:8" x14ac:dyDescent="0.3">
      <c r="D329"/>
      <c r="E329"/>
      <c r="F329"/>
      <c r="G329"/>
      <c r="H329"/>
    </row>
    <row r="330" spans="4:8" x14ac:dyDescent="0.3">
      <c r="D330"/>
      <c r="E330"/>
      <c r="F330"/>
      <c r="G330"/>
      <c r="H330"/>
    </row>
    <row r="331" spans="4:8" x14ac:dyDescent="0.3">
      <c r="D331"/>
      <c r="E331"/>
      <c r="F331"/>
      <c r="G331"/>
      <c r="H331"/>
    </row>
    <row r="332" spans="4:8" x14ac:dyDescent="0.3">
      <c r="D332"/>
      <c r="E332"/>
      <c r="F332"/>
      <c r="G332"/>
      <c r="H332"/>
    </row>
    <row r="333" spans="4:8" x14ac:dyDescent="0.3">
      <c r="D333"/>
      <c r="E333"/>
      <c r="F333"/>
      <c r="G333"/>
      <c r="H333"/>
    </row>
    <row r="334" spans="4:8" x14ac:dyDescent="0.3">
      <c r="D334"/>
      <c r="E334"/>
      <c r="F334"/>
      <c r="G334"/>
      <c r="H334"/>
    </row>
    <row r="335" spans="4:8" x14ac:dyDescent="0.3">
      <c r="D335"/>
      <c r="E335"/>
      <c r="F335"/>
      <c r="G335"/>
      <c r="H335"/>
    </row>
    <row r="336" spans="4:8" x14ac:dyDescent="0.3">
      <c r="D336"/>
      <c r="E336"/>
      <c r="F336"/>
      <c r="G336"/>
      <c r="H336"/>
    </row>
    <row r="337" spans="4:8" x14ac:dyDescent="0.3">
      <c r="D337"/>
      <c r="E337"/>
      <c r="F337"/>
      <c r="G337"/>
      <c r="H337"/>
    </row>
    <row r="338" spans="4:8" x14ac:dyDescent="0.3">
      <c r="D338"/>
      <c r="E338"/>
      <c r="F338"/>
      <c r="G338"/>
      <c r="H338"/>
    </row>
    <row r="339" spans="4:8" x14ac:dyDescent="0.3">
      <c r="D339"/>
      <c r="E339"/>
      <c r="F339"/>
      <c r="G339"/>
      <c r="H339"/>
    </row>
    <row r="340" spans="4:8" x14ac:dyDescent="0.3">
      <c r="D340"/>
      <c r="E340"/>
      <c r="F340"/>
      <c r="G340"/>
      <c r="H340"/>
    </row>
    <row r="341" spans="4:8" x14ac:dyDescent="0.3">
      <c r="D341"/>
      <c r="E341"/>
      <c r="F341"/>
      <c r="G341"/>
      <c r="H341"/>
    </row>
    <row r="342" spans="4:8" x14ac:dyDescent="0.3">
      <c r="D342"/>
      <c r="E342"/>
      <c r="F342"/>
      <c r="G342"/>
      <c r="H342"/>
    </row>
    <row r="343" spans="4:8" x14ac:dyDescent="0.3">
      <c r="D343"/>
      <c r="E343"/>
      <c r="F343"/>
      <c r="G343"/>
      <c r="H343"/>
    </row>
    <row r="344" spans="4:8" x14ac:dyDescent="0.3">
      <c r="D344"/>
      <c r="E344"/>
      <c r="F344"/>
      <c r="G344"/>
      <c r="H344"/>
    </row>
    <row r="345" spans="4:8" x14ac:dyDescent="0.3">
      <c r="D345"/>
      <c r="E345"/>
      <c r="F345"/>
      <c r="G345"/>
      <c r="H345"/>
    </row>
    <row r="346" spans="4:8" x14ac:dyDescent="0.3">
      <c r="D346"/>
      <c r="E346"/>
      <c r="F346"/>
      <c r="G346"/>
      <c r="H346"/>
    </row>
    <row r="347" spans="4:8" x14ac:dyDescent="0.3">
      <c r="D347"/>
      <c r="E347"/>
      <c r="F347"/>
      <c r="G347"/>
      <c r="H347"/>
    </row>
    <row r="348" spans="4:8" x14ac:dyDescent="0.3">
      <c r="D348"/>
      <c r="E348"/>
      <c r="F348"/>
      <c r="G348"/>
      <c r="H348"/>
    </row>
    <row r="349" spans="4:8" x14ac:dyDescent="0.3">
      <c r="D349"/>
      <c r="E349"/>
      <c r="F349"/>
      <c r="G349"/>
      <c r="H349"/>
    </row>
    <row r="350" spans="4:8" x14ac:dyDescent="0.3">
      <c r="D350"/>
      <c r="E350"/>
      <c r="F350"/>
      <c r="G350"/>
      <c r="H350"/>
    </row>
    <row r="351" spans="4:8" x14ac:dyDescent="0.3">
      <c r="D351"/>
      <c r="E351"/>
      <c r="F351"/>
      <c r="G351"/>
      <c r="H351"/>
    </row>
    <row r="352" spans="4:8" x14ac:dyDescent="0.3">
      <c r="D352"/>
      <c r="E352"/>
      <c r="F352"/>
      <c r="G352"/>
      <c r="H352"/>
    </row>
    <row r="353" spans="4:8" x14ac:dyDescent="0.3">
      <c r="D353"/>
      <c r="E353"/>
      <c r="F353"/>
      <c r="G353"/>
      <c r="H353"/>
    </row>
    <row r="354" spans="4:8" x14ac:dyDescent="0.3">
      <c r="D354"/>
      <c r="E354"/>
      <c r="F354"/>
      <c r="G354"/>
      <c r="H354"/>
    </row>
    <row r="355" spans="4:8" x14ac:dyDescent="0.3">
      <c r="D355"/>
      <c r="E355"/>
      <c r="F355"/>
      <c r="G355"/>
      <c r="H355"/>
    </row>
    <row r="356" spans="4:8" x14ac:dyDescent="0.3">
      <c r="D356"/>
      <c r="E356"/>
      <c r="F356"/>
      <c r="G356"/>
      <c r="H356"/>
    </row>
    <row r="357" spans="4:8" x14ac:dyDescent="0.3">
      <c r="D357"/>
      <c r="E357"/>
      <c r="F357"/>
      <c r="G357"/>
      <c r="H357"/>
    </row>
    <row r="358" spans="4:8" x14ac:dyDescent="0.3">
      <c r="D358"/>
      <c r="E358"/>
      <c r="F358"/>
      <c r="G358"/>
      <c r="H358"/>
    </row>
    <row r="359" spans="4:8" x14ac:dyDescent="0.3">
      <c r="D359"/>
      <c r="E359"/>
      <c r="F359"/>
      <c r="G359"/>
      <c r="H359"/>
    </row>
    <row r="360" spans="4:8" x14ac:dyDescent="0.3">
      <c r="D360"/>
      <c r="E360"/>
      <c r="F360"/>
      <c r="G360"/>
      <c r="H360"/>
    </row>
    <row r="361" spans="4:8" x14ac:dyDescent="0.3">
      <c r="D361"/>
      <c r="E361"/>
      <c r="F361"/>
      <c r="G361"/>
      <c r="H361"/>
    </row>
    <row r="362" spans="4:8" x14ac:dyDescent="0.3">
      <c r="D362"/>
      <c r="E362"/>
      <c r="F362"/>
      <c r="G362"/>
      <c r="H362"/>
    </row>
    <row r="363" spans="4:8" x14ac:dyDescent="0.3">
      <c r="D363"/>
      <c r="E363"/>
      <c r="F363"/>
      <c r="G363"/>
      <c r="H363"/>
    </row>
    <row r="364" spans="4:8" x14ac:dyDescent="0.3">
      <c r="D364"/>
      <c r="E364"/>
      <c r="F364"/>
      <c r="G364"/>
      <c r="H364"/>
    </row>
    <row r="365" spans="4:8" x14ac:dyDescent="0.3">
      <c r="D365"/>
      <c r="E365"/>
      <c r="F365"/>
      <c r="G365"/>
      <c r="H365"/>
    </row>
    <row r="366" spans="4:8" x14ac:dyDescent="0.3">
      <c r="D366"/>
      <c r="E366"/>
      <c r="F366"/>
      <c r="G366"/>
      <c r="H366"/>
    </row>
    <row r="367" spans="4:8" x14ac:dyDescent="0.3">
      <c r="D367"/>
      <c r="E367"/>
      <c r="F367"/>
      <c r="G367"/>
      <c r="H367"/>
    </row>
    <row r="368" spans="4:8" x14ac:dyDescent="0.3">
      <c r="D368"/>
      <c r="E368"/>
      <c r="F368"/>
      <c r="G368"/>
      <c r="H368"/>
    </row>
    <row r="369" spans="4:8" x14ac:dyDescent="0.3">
      <c r="D369"/>
      <c r="E369"/>
      <c r="F369"/>
      <c r="G369"/>
      <c r="H369"/>
    </row>
    <row r="370" spans="4:8" x14ac:dyDescent="0.3">
      <c r="D370"/>
      <c r="E370"/>
      <c r="F370"/>
      <c r="G370"/>
      <c r="H370"/>
    </row>
    <row r="371" spans="4:8" x14ac:dyDescent="0.3">
      <c r="D371"/>
      <c r="E371"/>
      <c r="F371"/>
      <c r="G371"/>
      <c r="H371"/>
    </row>
    <row r="372" spans="4:8" x14ac:dyDescent="0.3">
      <c r="D372"/>
      <c r="E372"/>
      <c r="F372"/>
      <c r="G372"/>
      <c r="H372"/>
    </row>
    <row r="373" spans="4:8" x14ac:dyDescent="0.3">
      <c r="D373"/>
      <c r="E373"/>
      <c r="F373"/>
      <c r="G373"/>
      <c r="H373"/>
    </row>
    <row r="374" spans="4:8" x14ac:dyDescent="0.3">
      <c r="D374"/>
      <c r="E374"/>
      <c r="F374"/>
      <c r="G374"/>
      <c r="H374"/>
    </row>
    <row r="375" spans="4:8" x14ac:dyDescent="0.3">
      <c r="D375"/>
      <c r="E375"/>
      <c r="F375"/>
      <c r="G375"/>
      <c r="H375"/>
    </row>
    <row r="376" spans="4:8" x14ac:dyDescent="0.3">
      <c r="D376"/>
      <c r="E376"/>
      <c r="F376"/>
      <c r="G376"/>
      <c r="H376"/>
    </row>
    <row r="377" spans="4:8" x14ac:dyDescent="0.3">
      <c r="D377"/>
      <c r="E377"/>
      <c r="F377"/>
      <c r="G377"/>
      <c r="H377"/>
    </row>
    <row r="378" spans="4:8" x14ac:dyDescent="0.3">
      <c r="D378"/>
      <c r="E378"/>
      <c r="F378"/>
      <c r="G378"/>
      <c r="H378"/>
    </row>
    <row r="379" spans="4:8" x14ac:dyDescent="0.3">
      <c r="D379"/>
      <c r="E379"/>
      <c r="F379"/>
      <c r="G379"/>
      <c r="H379"/>
    </row>
    <row r="380" spans="4:8" x14ac:dyDescent="0.3">
      <c r="D380"/>
      <c r="E380"/>
      <c r="F380"/>
      <c r="G380"/>
      <c r="H380"/>
    </row>
    <row r="381" spans="4:8" x14ac:dyDescent="0.3">
      <c r="D381"/>
      <c r="E381"/>
      <c r="F381"/>
      <c r="G381"/>
      <c r="H381"/>
    </row>
    <row r="382" spans="4:8" x14ac:dyDescent="0.3">
      <c r="D382"/>
      <c r="E382"/>
      <c r="F382"/>
      <c r="G382"/>
      <c r="H382"/>
    </row>
    <row r="383" spans="4:8" x14ac:dyDescent="0.3">
      <c r="D383"/>
      <c r="E383"/>
      <c r="F383"/>
      <c r="G383"/>
      <c r="H383"/>
    </row>
    <row r="384" spans="4:8" x14ac:dyDescent="0.3">
      <c r="D384"/>
      <c r="E384"/>
      <c r="F384"/>
      <c r="G384"/>
      <c r="H384"/>
    </row>
    <row r="385" spans="4:8" x14ac:dyDescent="0.3">
      <c r="D385"/>
      <c r="E385"/>
      <c r="F385"/>
      <c r="G385"/>
      <c r="H385"/>
    </row>
    <row r="386" spans="4:8" x14ac:dyDescent="0.3">
      <c r="D386"/>
      <c r="E386"/>
      <c r="F386"/>
      <c r="G386"/>
      <c r="H386"/>
    </row>
    <row r="387" spans="4:8" x14ac:dyDescent="0.3">
      <c r="D387"/>
      <c r="E387"/>
      <c r="F387"/>
      <c r="G387"/>
      <c r="H387"/>
    </row>
    <row r="388" spans="4:8" x14ac:dyDescent="0.3">
      <c r="D388"/>
      <c r="E388"/>
      <c r="F388"/>
      <c r="G388"/>
      <c r="H388"/>
    </row>
    <row r="389" spans="4:8" x14ac:dyDescent="0.3">
      <c r="D389"/>
      <c r="E389"/>
      <c r="F389"/>
      <c r="G389"/>
      <c r="H389"/>
    </row>
    <row r="390" spans="4:8" x14ac:dyDescent="0.3">
      <c r="D390"/>
      <c r="E390"/>
      <c r="F390"/>
      <c r="G390"/>
      <c r="H390"/>
    </row>
    <row r="391" spans="4:8" x14ac:dyDescent="0.3">
      <c r="D391"/>
      <c r="E391"/>
      <c r="F391"/>
      <c r="G391"/>
      <c r="H391"/>
    </row>
    <row r="392" spans="4:8" x14ac:dyDescent="0.3">
      <c r="D392"/>
      <c r="E392"/>
      <c r="F392"/>
      <c r="G392"/>
      <c r="H392"/>
    </row>
    <row r="393" spans="4:8" x14ac:dyDescent="0.3">
      <c r="D393"/>
      <c r="E393"/>
      <c r="F393"/>
      <c r="G393"/>
      <c r="H393"/>
    </row>
    <row r="394" spans="4:8" x14ac:dyDescent="0.3">
      <c r="D394"/>
      <c r="E394"/>
      <c r="F394"/>
      <c r="G394"/>
      <c r="H394"/>
    </row>
    <row r="395" spans="4:8" x14ac:dyDescent="0.3">
      <c r="D395"/>
      <c r="E395"/>
      <c r="F395"/>
      <c r="G395"/>
      <c r="H395"/>
    </row>
    <row r="396" spans="4:8" x14ac:dyDescent="0.3">
      <c r="D396"/>
      <c r="E396"/>
      <c r="F396"/>
      <c r="G396"/>
      <c r="H396"/>
    </row>
    <row r="397" spans="4:8" x14ac:dyDescent="0.3">
      <c r="D397"/>
      <c r="E397"/>
      <c r="F397"/>
      <c r="G397"/>
      <c r="H397"/>
    </row>
    <row r="398" spans="4:8" x14ac:dyDescent="0.3">
      <c r="D398"/>
      <c r="E398"/>
      <c r="F398"/>
      <c r="G398"/>
      <c r="H398"/>
    </row>
    <row r="399" spans="4:8" x14ac:dyDescent="0.3">
      <c r="D399"/>
      <c r="E399"/>
      <c r="F399"/>
      <c r="G399"/>
      <c r="H399"/>
    </row>
    <row r="400" spans="4:8" x14ac:dyDescent="0.3">
      <c r="D400"/>
      <c r="E400"/>
      <c r="F400"/>
      <c r="G400"/>
      <c r="H400"/>
    </row>
    <row r="401" spans="4:8" x14ac:dyDescent="0.3">
      <c r="D401"/>
      <c r="E401"/>
      <c r="F401"/>
      <c r="G401"/>
      <c r="H401"/>
    </row>
    <row r="402" spans="4:8" x14ac:dyDescent="0.3">
      <c r="D402"/>
      <c r="E402"/>
      <c r="F402"/>
      <c r="G402"/>
      <c r="H402"/>
    </row>
    <row r="403" spans="4:8" x14ac:dyDescent="0.3">
      <c r="D403"/>
      <c r="E403"/>
      <c r="F403"/>
      <c r="G403"/>
      <c r="H403"/>
    </row>
    <row r="404" spans="4:8" x14ac:dyDescent="0.3">
      <c r="D404"/>
      <c r="E404"/>
      <c r="F404"/>
      <c r="G404"/>
      <c r="H404"/>
    </row>
    <row r="405" spans="4:8" x14ac:dyDescent="0.3">
      <c r="D405"/>
      <c r="E405"/>
      <c r="F405"/>
      <c r="G405"/>
      <c r="H405"/>
    </row>
    <row r="406" spans="4:8" x14ac:dyDescent="0.3">
      <c r="D406"/>
      <c r="E406"/>
      <c r="F406"/>
      <c r="G406"/>
      <c r="H406"/>
    </row>
    <row r="407" spans="4:8" x14ac:dyDescent="0.3">
      <c r="D407"/>
      <c r="E407"/>
      <c r="F407"/>
      <c r="G407"/>
      <c r="H407"/>
    </row>
    <row r="408" spans="4:8" x14ac:dyDescent="0.3">
      <c r="D408"/>
      <c r="E408"/>
      <c r="F408"/>
      <c r="G408"/>
      <c r="H408"/>
    </row>
    <row r="409" spans="4:8" x14ac:dyDescent="0.3">
      <c r="D409"/>
      <c r="E409"/>
      <c r="F409"/>
      <c r="G409"/>
      <c r="H409"/>
    </row>
    <row r="410" spans="4:8" x14ac:dyDescent="0.3">
      <c r="D410"/>
      <c r="E410"/>
      <c r="F410"/>
      <c r="G410"/>
      <c r="H410"/>
    </row>
    <row r="411" spans="4:8" x14ac:dyDescent="0.3">
      <c r="D411"/>
      <c r="E411"/>
      <c r="F411"/>
      <c r="G411"/>
      <c r="H411"/>
    </row>
    <row r="412" spans="4:8" x14ac:dyDescent="0.3">
      <c r="D412"/>
      <c r="E412"/>
      <c r="F412"/>
      <c r="G412"/>
      <c r="H412"/>
    </row>
    <row r="413" spans="4:8" x14ac:dyDescent="0.3">
      <c r="D413"/>
      <c r="E413"/>
      <c r="F413"/>
      <c r="G413"/>
      <c r="H413"/>
    </row>
    <row r="414" spans="4:8" x14ac:dyDescent="0.3">
      <c r="D414"/>
      <c r="E414"/>
      <c r="F414"/>
      <c r="G414"/>
      <c r="H414"/>
    </row>
    <row r="415" spans="4:8" x14ac:dyDescent="0.3">
      <c r="D415"/>
      <c r="E415"/>
      <c r="F415"/>
      <c r="G415"/>
      <c r="H415"/>
    </row>
    <row r="416" spans="4:8" x14ac:dyDescent="0.3">
      <c r="D416"/>
      <c r="E416"/>
      <c r="F416"/>
      <c r="G416"/>
      <c r="H416"/>
    </row>
    <row r="417" spans="4:8" x14ac:dyDescent="0.3">
      <c r="D417"/>
      <c r="E417"/>
      <c r="F417"/>
      <c r="G417"/>
      <c r="H417"/>
    </row>
    <row r="418" spans="4:8" x14ac:dyDescent="0.3">
      <c r="D418"/>
      <c r="E418"/>
      <c r="F418"/>
      <c r="G418"/>
      <c r="H418"/>
    </row>
    <row r="419" spans="4:8" x14ac:dyDescent="0.3">
      <c r="D419"/>
      <c r="E419"/>
      <c r="F419"/>
      <c r="G419"/>
      <c r="H419"/>
    </row>
    <row r="420" spans="4:8" x14ac:dyDescent="0.3">
      <c r="D420"/>
      <c r="E420"/>
      <c r="F420"/>
      <c r="G420"/>
      <c r="H420"/>
    </row>
    <row r="421" spans="4:8" x14ac:dyDescent="0.3">
      <c r="D421"/>
      <c r="E421"/>
      <c r="F421"/>
      <c r="G421"/>
      <c r="H421"/>
    </row>
    <row r="422" spans="4:8" x14ac:dyDescent="0.3">
      <c r="D422"/>
      <c r="E422"/>
      <c r="F422"/>
      <c r="G422"/>
      <c r="H422"/>
    </row>
    <row r="423" spans="4:8" x14ac:dyDescent="0.3">
      <c r="D423"/>
      <c r="E423"/>
      <c r="F423"/>
      <c r="G423"/>
      <c r="H423"/>
    </row>
    <row r="424" spans="4:8" x14ac:dyDescent="0.3">
      <c r="D424"/>
      <c r="E424"/>
      <c r="F424"/>
      <c r="G424"/>
      <c r="H424"/>
    </row>
    <row r="425" spans="4:8" x14ac:dyDescent="0.3">
      <c r="D425"/>
      <c r="E425"/>
      <c r="F425"/>
      <c r="G425"/>
      <c r="H425"/>
    </row>
    <row r="426" spans="4:8" x14ac:dyDescent="0.3">
      <c r="D426"/>
      <c r="E426"/>
      <c r="F426"/>
      <c r="G426"/>
      <c r="H426"/>
    </row>
    <row r="427" spans="4:8" x14ac:dyDescent="0.3">
      <c r="D427"/>
      <c r="E427"/>
      <c r="F427"/>
      <c r="G427"/>
      <c r="H427"/>
    </row>
    <row r="428" spans="4:8" x14ac:dyDescent="0.3">
      <c r="D428"/>
      <c r="E428"/>
      <c r="F428"/>
      <c r="G428"/>
      <c r="H428"/>
    </row>
    <row r="429" spans="4:8" x14ac:dyDescent="0.3">
      <c r="D429"/>
      <c r="E429"/>
      <c r="F429"/>
      <c r="G429"/>
      <c r="H429"/>
    </row>
    <row r="430" spans="4:8" x14ac:dyDescent="0.3">
      <c r="D430"/>
      <c r="E430"/>
      <c r="F430"/>
      <c r="G430"/>
      <c r="H430"/>
    </row>
    <row r="431" spans="4:8" x14ac:dyDescent="0.3">
      <c r="D431"/>
      <c r="E431"/>
      <c r="F431"/>
      <c r="G431"/>
      <c r="H431"/>
    </row>
    <row r="432" spans="4:8" x14ac:dyDescent="0.3">
      <c r="D432"/>
      <c r="E432"/>
      <c r="F432"/>
      <c r="G432"/>
      <c r="H432"/>
    </row>
    <row r="433" spans="4:8" x14ac:dyDescent="0.3">
      <c r="D433"/>
      <c r="E433"/>
      <c r="F433"/>
      <c r="G433"/>
      <c r="H433"/>
    </row>
    <row r="434" spans="4:8" x14ac:dyDescent="0.3">
      <c r="D434"/>
      <c r="E434"/>
      <c r="F434"/>
      <c r="G434"/>
      <c r="H434"/>
    </row>
    <row r="435" spans="4:8" x14ac:dyDescent="0.3">
      <c r="D435"/>
      <c r="E435"/>
      <c r="F435"/>
      <c r="G435"/>
      <c r="H435"/>
    </row>
    <row r="436" spans="4:8" x14ac:dyDescent="0.3">
      <c r="D436"/>
      <c r="E436"/>
      <c r="F436"/>
      <c r="G436"/>
      <c r="H436"/>
    </row>
    <row r="437" spans="4:8" x14ac:dyDescent="0.3">
      <c r="D437"/>
      <c r="E437"/>
      <c r="F437"/>
      <c r="G437"/>
      <c r="H437"/>
    </row>
    <row r="438" spans="4:8" x14ac:dyDescent="0.3">
      <c r="D438"/>
      <c r="E438"/>
      <c r="F438"/>
      <c r="G438"/>
      <c r="H438"/>
    </row>
    <row r="439" spans="4:8" x14ac:dyDescent="0.3">
      <c r="D439"/>
      <c r="E439"/>
      <c r="F439"/>
      <c r="G439"/>
      <c r="H439"/>
    </row>
    <row r="440" spans="4:8" x14ac:dyDescent="0.3">
      <c r="D440"/>
      <c r="E440"/>
      <c r="F440"/>
      <c r="G440"/>
      <c r="H440"/>
    </row>
    <row r="441" spans="4:8" x14ac:dyDescent="0.3">
      <c r="D441"/>
      <c r="E441"/>
      <c r="F441"/>
      <c r="G441"/>
      <c r="H441"/>
    </row>
    <row r="442" spans="4:8" x14ac:dyDescent="0.3">
      <c r="D442"/>
      <c r="E442"/>
      <c r="F442"/>
      <c r="G442"/>
      <c r="H442"/>
    </row>
    <row r="443" spans="4:8" x14ac:dyDescent="0.3">
      <c r="D443"/>
      <c r="E443"/>
      <c r="F443"/>
      <c r="G443"/>
      <c r="H443"/>
    </row>
    <row r="444" spans="4:8" x14ac:dyDescent="0.3">
      <c r="D444"/>
      <c r="E444"/>
      <c r="F444"/>
      <c r="G444"/>
      <c r="H444"/>
    </row>
    <row r="445" spans="4:8" x14ac:dyDescent="0.3">
      <c r="D445"/>
      <c r="E445"/>
      <c r="F445"/>
      <c r="G445"/>
      <c r="H445"/>
    </row>
    <row r="446" spans="4:8" x14ac:dyDescent="0.3">
      <c r="D446"/>
      <c r="E446"/>
      <c r="F446"/>
      <c r="G446"/>
      <c r="H446"/>
    </row>
    <row r="447" spans="4:8" x14ac:dyDescent="0.3">
      <c r="D447"/>
      <c r="E447"/>
      <c r="F447"/>
      <c r="G447"/>
      <c r="H447"/>
    </row>
    <row r="448" spans="4:8" x14ac:dyDescent="0.3">
      <c r="D448"/>
      <c r="E448"/>
      <c r="F448"/>
      <c r="G448"/>
      <c r="H448"/>
    </row>
    <row r="449" spans="4:8" x14ac:dyDescent="0.3">
      <c r="D449"/>
      <c r="E449"/>
      <c r="F449"/>
      <c r="G449"/>
      <c r="H449"/>
    </row>
    <row r="450" spans="4:8" x14ac:dyDescent="0.3">
      <c r="D450"/>
      <c r="E450"/>
      <c r="F450"/>
      <c r="G450"/>
      <c r="H450"/>
    </row>
    <row r="451" spans="4:8" x14ac:dyDescent="0.3">
      <c r="D451"/>
      <c r="E451"/>
      <c r="F451"/>
      <c r="G451"/>
      <c r="H451"/>
    </row>
    <row r="452" spans="4:8" x14ac:dyDescent="0.3">
      <c r="D452"/>
      <c r="E452"/>
      <c r="F452"/>
      <c r="G452"/>
      <c r="H452"/>
    </row>
    <row r="453" spans="4:8" x14ac:dyDescent="0.3">
      <c r="D453"/>
      <c r="E453"/>
      <c r="F453"/>
      <c r="G453"/>
      <c r="H453"/>
    </row>
    <row r="454" spans="4:8" x14ac:dyDescent="0.3">
      <c r="D454"/>
      <c r="E454"/>
      <c r="F454"/>
      <c r="G454"/>
      <c r="H454"/>
    </row>
    <row r="455" spans="4:8" x14ac:dyDescent="0.3">
      <c r="D455"/>
      <c r="E455"/>
      <c r="F455"/>
      <c r="G455"/>
      <c r="H455"/>
    </row>
    <row r="456" spans="4:8" x14ac:dyDescent="0.3">
      <c r="D456"/>
      <c r="E456"/>
      <c r="F456"/>
      <c r="G456"/>
      <c r="H456"/>
    </row>
    <row r="457" spans="4:8" x14ac:dyDescent="0.3">
      <c r="D457"/>
      <c r="E457"/>
      <c r="F457"/>
      <c r="G457"/>
      <c r="H457"/>
    </row>
    <row r="458" spans="4:8" x14ac:dyDescent="0.3">
      <c r="D458"/>
      <c r="E458"/>
      <c r="F458"/>
      <c r="G458"/>
      <c r="H458"/>
    </row>
    <row r="459" spans="4:8" x14ac:dyDescent="0.3">
      <c r="D459"/>
      <c r="E459"/>
      <c r="F459"/>
      <c r="G459"/>
      <c r="H459"/>
    </row>
    <row r="460" spans="4:8" x14ac:dyDescent="0.3">
      <c r="D460"/>
      <c r="E460"/>
      <c r="F460"/>
      <c r="G460"/>
      <c r="H460"/>
    </row>
    <row r="461" spans="4:8" x14ac:dyDescent="0.3">
      <c r="D461"/>
      <c r="E461"/>
      <c r="F461"/>
      <c r="G461"/>
      <c r="H461"/>
    </row>
    <row r="462" spans="4:8" x14ac:dyDescent="0.3">
      <c r="D462"/>
      <c r="E462"/>
      <c r="F462"/>
      <c r="G462"/>
      <c r="H462"/>
    </row>
    <row r="463" spans="4:8" x14ac:dyDescent="0.3">
      <c r="D463"/>
      <c r="E463"/>
      <c r="F463"/>
      <c r="G463"/>
      <c r="H463"/>
    </row>
    <row r="464" spans="4:8" x14ac:dyDescent="0.3">
      <c r="D464"/>
      <c r="E464"/>
      <c r="F464"/>
      <c r="G464"/>
      <c r="H464"/>
    </row>
    <row r="465" spans="4:8" x14ac:dyDescent="0.3">
      <c r="D465"/>
      <c r="E465"/>
      <c r="F465"/>
      <c r="G465"/>
      <c r="H465"/>
    </row>
    <row r="466" spans="4:8" x14ac:dyDescent="0.3">
      <c r="D466"/>
      <c r="E466"/>
      <c r="F466"/>
      <c r="G466"/>
      <c r="H466"/>
    </row>
    <row r="467" spans="4:8" x14ac:dyDescent="0.3">
      <c r="D467"/>
      <c r="E467"/>
      <c r="F467"/>
      <c r="G467"/>
      <c r="H467"/>
    </row>
    <row r="468" spans="4:8" x14ac:dyDescent="0.3">
      <c r="D468"/>
      <c r="E468"/>
      <c r="F468"/>
      <c r="G468"/>
      <c r="H468"/>
    </row>
    <row r="469" spans="4:8" x14ac:dyDescent="0.3">
      <c r="D469"/>
      <c r="E469"/>
      <c r="F469"/>
      <c r="G469"/>
      <c r="H469"/>
    </row>
    <row r="470" spans="4:8" x14ac:dyDescent="0.3">
      <c r="D470"/>
      <c r="E470"/>
      <c r="F470"/>
      <c r="G470"/>
      <c r="H470"/>
    </row>
    <row r="471" spans="4:8" x14ac:dyDescent="0.3">
      <c r="D471"/>
      <c r="E471"/>
      <c r="F471"/>
      <c r="G471"/>
      <c r="H471"/>
    </row>
    <row r="472" spans="4:8" x14ac:dyDescent="0.3">
      <c r="D472"/>
      <c r="E472"/>
      <c r="F472"/>
      <c r="G472"/>
      <c r="H472"/>
    </row>
    <row r="473" spans="4:8" x14ac:dyDescent="0.3">
      <c r="D473"/>
      <c r="E473"/>
      <c r="F473"/>
      <c r="G473"/>
      <c r="H473"/>
    </row>
    <row r="474" spans="4:8" x14ac:dyDescent="0.3">
      <c r="D474"/>
      <c r="E474"/>
      <c r="F474"/>
      <c r="G474"/>
    </row>
  </sheetData>
  <mergeCells count="2">
    <mergeCell ref="B2:C2"/>
    <mergeCell ref="B64:E64"/>
  </mergeCells>
  <phoneticPr fontId="79" type="noConversion"/>
  <conditionalFormatting sqref="E65">
    <cfRule type="cellIs" dxfId="78" priority="9" operator="equal">
      <formula>"?"</formula>
    </cfRule>
  </conditionalFormatting>
  <conditionalFormatting sqref="G107">
    <cfRule type="cellIs" dxfId="77" priority="8" operator="equal">
      <formula>"?"</formula>
    </cfRule>
  </conditionalFormatting>
  <pageMargins left="0.7" right="0.7" top="0.78740157499999996" bottom="0.78740157499999996" header="0.3" footer="0.3"/>
  <pageSetup paperSize="9" orientation="portrait" r:id="rId1"/>
  <tableParts count="3">
    <tablePart r:id="rId2"/>
    <tablePart r:id="rId3"/>
    <tablePart r:id="rId4"/>
  </tableParts>
  <extLst>
    <ext xmlns:x14="http://schemas.microsoft.com/office/spreadsheetml/2009/9/main" uri="{78C0D931-6437-407d-A8EE-F0AAD7539E65}">
      <x14:conditionalFormattings>
        <x14:conditionalFormatting xmlns:xm="http://schemas.microsoft.com/office/excel/2006/main">
          <x14:cfRule type="iconSet" priority="4" id="{B7D92DAE-B7A6-4470-97E5-F8FA74D61C26}">
            <x14:iconSet iconSet="3Symbols2" showValue="0" custom="1">
              <x14:cfvo type="percent">
                <xm:f>0</xm:f>
              </x14:cfvo>
              <x14:cfvo type="num" gte="0">
                <xm:f>-1</xm:f>
              </x14:cfvo>
              <x14:cfvo type="num">
                <xm:f>1</xm:f>
              </x14:cfvo>
              <x14:cfIcon iconSet="3Symbols2" iconId="0"/>
              <x14:cfIcon iconSet="3TrafficLights1" iconId="2"/>
              <x14:cfIcon iconSet="3Symbols2" iconId="2"/>
            </x14:iconSet>
          </x14:cfRule>
          <xm:sqref>I15:I23</xm:sqref>
        </x14:conditionalFormatting>
        <x14:conditionalFormatting xmlns:xm="http://schemas.microsoft.com/office/excel/2006/main">
          <x14:cfRule type="iconSet" priority="2" id="{8FA6A6D0-509C-49B7-9C75-6E087FCEE5F8}">
            <x14:iconSet iconSet="3Symbols2" showValue="0" custom="1">
              <x14:cfvo type="percent">
                <xm:f>0</xm:f>
              </x14:cfvo>
              <x14:cfvo type="num" gte="0">
                <xm:f>-1</xm:f>
              </x14:cfvo>
              <x14:cfvo type="num">
                <xm:f>1</xm:f>
              </x14:cfvo>
              <x14:cfIcon iconSet="3Symbols2" iconId="0"/>
              <x14:cfIcon iconSet="3TrafficLights1" iconId="2"/>
              <x14:cfIcon iconSet="3Symbols2" iconId="2"/>
            </x14:iconSet>
          </x14:cfRule>
          <xm:sqref>I24</xm:sqref>
        </x14:conditionalFormatting>
        <x14:conditionalFormatting xmlns:xm="http://schemas.microsoft.com/office/excel/2006/main">
          <x14:cfRule type="iconSet" priority="3" id="{02497796-8C94-42B7-AC5F-5A0DB06DDEE2}">
            <x14:iconSet iconSet="3Symbols2" showValue="0" custom="1">
              <x14:cfvo type="percent">
                <xm:f>0</xm:f>
              </x14:cfvo>
              <x14:cfvo type="num" gte="0">
                <xm:f>-1</xm:f>
              </x14:cfvo>
              <x14:cfvo type="num">
                <xm:f>1</xm:f>
              </x14:cfvo>
              <x14:cfIcon iconSet="3Symbols2" iconId="0"/>
              <x14:cfIcon iconSet="3TrafficLights1" iconId="2"/>
              <x14:cfIcon iconSet="3Symbols2" iconId="2"/>
            </x14:iconSet>
          </x14:cfRule>
          <xm:sqref>I37:I52</xm:sqref>
        </x14:conditionalFormatting>
      </x14:conditionalFormattings>
    </ext>
  </extLs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C840"/>
  <sheetViews>
    <sheetView workbookViewId="0">
      <selection activeCell="L12" sqref="L12"/>
    </sheetView>
  </sheetViews>
  <sheetFormatPr defaultRowHeight="13.2" x14ac:dyDescent="0.25"/>
  <cols>
    <col min="1" max="1" width="26.6640625" style="129" customWidth="1"/>
    <col min="2" max="2" width="16.5546875" style="129" customWidth="1"/>
    <col min="3" max="3" width="14.109375" style="129" customWidth="1"/>
    <col min="4" max="4" width="13.5546875" style="129" customWidth="1"/>
    <col min="5" max="6" width="13.33203125" style="129" customWidth="1"/>
    <col min="7" max="7" width="13.109375" style="129" customWidth="1"/>
    <col min="8" max="8" width="13" style="129" customWidth="1"/>
    <col min="9" max="9" width="12.44140625" style="129" customWidth="1"/>
    <col min="10" max="11" width="13" style="129" customWidth="1"/>
    <col min="12" max="12" width="9.109375" style="129"/>
    <col min="13" max="13" width="11.33203125" style="129" customWidth="1"/>
    <col min="14" max="14" width="37.109375" style="129" customWidth="1"/>
    <col min="15" max="15" width="20.88671875" style="129" customWidth="1"/>
    <col min="16" max="16" width="17.6640625" style="129" customWidth="1"/>
    <col min="17" max="17" width="16.109375" style="129" customWidth="1"/>
    <col min="18" max="18" width="23.33203125" style="129" customWidth="1"/>
    <col min="19" max="19" width="16.33203125" style="129" customWidth="1"/>
    <col min="20" max="20" width="21.88671875" style="129" customWidth="1"/>
    <col min="21" max="21" width="9.109375" style="129"/>
    <col min="22" max="22" width="14.6640625" style="129" customWidth="1"/>
    <col min="23" max="28" width="9.109375" style="129"/>
    <col min="29" max="29" width="11.109375" style="129" customWidth="1"/>
    <col min="30" max="256" width="9.109375" style="129"/>
    <col min="257" max="257" width="15.88671875" style="129" customWidth="1"/>
    <col min="258" max="258" width="11.33203125" style="129" customWidth="1"/>
    <col min="259" max="259" width="14.109375" style="129" customWidth="1"/>
    <col min="260" max="260" width="13.5546875" style="129" customWidth="1"/>
    <col min="261" max="262" width="13.33203125" style="129" customWidth="1"/>
    <col min="263" max="263" width="13.109375" style="129" customWidth="1"/>
    <col min="264" max="264" width="13" style="129" customWidth="1"/>
    <col min="265" max="265" width="12.44140625" style="129" customWidth="1"/>
    <col min="266" max="267" width="13" style="129" customWidth="1"/>
    <col min="268" max="268" width="9.109375" style="129"/>
    <col min="269" max="269" width="31.6640625" style="129" customWidth="1"/>
    <col min="270" max="270" width="37.109375" style="129" customWidth="1"/>
    <col min="271" max="271" width="20.88671875" style="129" customWidth="1"/>
    <col min="272" max="272" width="17.6640625" style="129" customWidth="1"/>
    <col min="273" max="273" width="16.109375" style="129" customWidth="1"/>
    <col min="274" max="274" width="23.33203125" style="129" customWidth="1"/>
    <col min="275" max="275" width="16.33203125" style="129" customWidth="1"/>
    <col min="276" max="276" width="21.88671875" style="129" customWidth="1"/>
    <col min="277" max="277" width="9.109375" style="129"/>
    <col min="278" max="278" width="14.6640625" style="129" customWidth="1"/>
    <col min="279" max="284" width="9.109375" style="129"/>
    <col min="285" max="285" width="11.109375" style="129" customWidth="1"/>
    <col min="286" max="512" width="9.109375" style="129"/>
    <col min="513" max="513" width="15.88671875" style="129" customWidth="1"/>
    <col min="514" max="514" width="11.33203125" style="129" customWidth="1"/>
    <col min="515" max="515" width="14.109375" style="129" customWidth="1"/>
    <col min="516" max="516" width="13.5546875" style="129" customWidth="1"/>
    <col min="517" max="518" width="13.33203125" style="129" customWidth="1"/>
    <col min="519" max="519" width="13.109375" style="129" customWidth="1"/>
    <col min="520" max="520" width="13" style="129" customWidth="1"/>
    <col min="521" max="521" width="12.44140625" style="129" customWidth="1"/>
    <col min="522" max="523" width="13" style="129" customWidth="1"/>
    <col min="524" max="524" width="9.109375" style="129"/>
    <col min="525" max="525" width="31.6640625" style="129" customWidth="1"/>
    <col min="526" max="526" width="37.109375" style="129" customWidth="1"/>
    <col min="527" max="527" width="20.88671875" style="129" customWidth="1"/>
    <col min="528" max="528" width="17.6640625" style="129" customWidth="1"/>
    <col min="529" max="529" width="16.109375" style="129" customWidth="1"/>
    <col min="530" max="530" width="23.33203125" style="129" customWidth="1"/>
    <col min="531" max="531" width="16.33203125" style="129" customWidth="1"/>
    <col min="532" max="532" width="21.88671875" style="129" customWidth="1"/>
    <col min="533" max="533" width="9.109375" style="129"/>
    <col min="534" max="534" width="14.6640625" style="129" customWidth="1"/>
    <col min="535" max="540" width="9.109375" style="129"/>
    <col min="541" max="541" width="11.109375" style="129" customWidth="1"/>
    <col min="542" max="768" width="9.109375" style="129"/>
    <col min="769" max="769" width="15.88671875" style="129" customWidth="1"/>
    <col min="770" max="770" width="11.33203125" style="129" customWidth="1"/>
    <col min="771" max="771" width="14.109375" style="129" customWidth="1"/>
    <col min="772" max="772" width="13.5546875" style="129" customWidth="1"/>
    <col min="773" max="774" width="13.33203125" style="129" customWidth="1"/>
    <col min="775" max="775" width="13.109375" style="129" customWidth="1"/>
    <col min="776" max="776" width="13" style="129" customWidth="1"/>
    <col min="777" max="777" width="12.44140625" style="129" customWidth="1"/>
    <col min="778" max="779" width="13" style="129" customWidth="1"/>
    <col min="780" max="780" width="9.109375" style="129"/>
    <col min="781" max="781" width="31.6640625" style="129" customWidth="1"/>
    <col min="782" max="782" width="37.109375" style="129" customWidth="1"/>
    <col min="783" max="783" width="20.88671875" style="129" customWidth="1"/>
    <col min="784" max="784" width="17.6640625" style="129" customWidth="1"/>
    <col min="785" max="785" width="16.109375" style="129" customWidth="1"/>
    <col min="786" max="786" width="23.33203125" style="129" customWidth="1"/>
    <col min="787" max="787" width="16.33203125" style="129" customWidth="1"/>
    <col min="788" max="788" width="21.88671875" style="129" customWidth="1"/>
    <col min="789" max="789" width="9.109375" style="129"/>
    <col min="790" max="790" width="14.6640625" style="129" customWidth="1"/>
    <col min="791" max="796" width="9.109375" style="129"/>
    <col min="797" max="797" width="11.109375" style="129" customWidth="1"/>
    <col min="798" max="1024" width="9.109375" style="129"/>
    <col min="1025" max="1025" width="15.88671875" style="129" customWidth="1"/>
    <col min="1026" max="1026" width="11.33203125" style="129" customWidth="1"/>
    <col min="1027" max="1027" width="14.109375" style="129" customWidth="1"/>
    <col min="1028" max="1028" width="13.5546875" style="129" customWidth="1"/>
    <col min="1029" max="1030" width="13.33203125" style="129" customWidth="1"/>
    <col min="1031" max="1031" width="13.109375" style="129" customWidth="1"/>
    <col min="1032" max="1032" width="13" style="129" customWidth="1"/>
    <col min="1033" max="1033" width="12.44140625" style="129" customWidth="1"/>
    <col min="1034" max="1035" width="13" style="129" customWidth="1"/>
    <col min="1036" max="1036" width="9.109375" style="129"/>
    <col min="1037" max="1037" width="31.6640625" style="129" customWidth="1"/>
    <col min="1038" max="1038" width="37.109375" style="129" customWidth="1"/>
    <col min="1039" max="1039" width="20.88671875" style="129" customWidth="1"/>
    <col min="1040" max="1040" width="17.6640625" style="129" customWidth="1"/>
    <col min="1041" max="1041" width="16.109375" style="129" customWidth="1"/>
    <col min="1042" max="1042" width="23.33203125" style="129" customWidth="1"/>
    <col min="1043" max="1043" width="16.33203125" style="129" customWidth="1"/>
    <col min="1044" max="1044" width="21.88671875" style="129" customWidth="1"/>
    <col min="1045" max="1045" width="9.109375" style="129"/>
    <col min="1046" max="1046" width="14.6640625" style="129" customWidth="1"/>
    <col min="1047" max="1052" width="9.109375" style="129"/>
    <col min="1053" max="1053" width="11.109375" style="129" customWidth="1"/>
    <col min="1054" max="1280" width="9.109375" style="129"/>
    <col min="1281" max="1281" width="15.88671875" style="129" customWidth="1"/>
    <col min="1282" max="1282" width="11.33203125" style="129" customWidth="1"/>
    <col min="1283" max="1283" width="14.109375" style="129" customWidth="1"/>
    <col min="1284" max="1284" width="13.5546875" style="129" customWidth="1"/>
    <col min="1285" max="1286" width="13.33203125" style="129" customWidth="1"/>
    <col min="1287" max="1287" width="13.109375" style="129" customWidth="1"/>
    <col min="1288" max="1288" width="13" style="129" customWidth="1"/>
    <col min="1289" max="1289" width="12.44140625" style="129" customWidth="1"/>
    <col min="1290" max="1291" width="13" style="129" customWidth="1"/>
    <col min="1292" max="1292" width="9.109375" style="129"/>
    <col min="1293" max="1293" width="31.6640625" style="129" customWidth="1"/>
    <col min="1294" max="1294" width="37.109375" style="129" customWidth="1"/>
    <col min="1295" max="1295" width="20.88671875" style="129" customWidth="1"/>
    <col min="1296" max="1296" width="17.6640625" style="129" customWidth="1"/>
    <col min="1297" max="1297" width="16.109375" style="129" customWidth="1"/>
    <col min="1298" max="1298" width="23.33203125" style="129" customWidth="1"/>
    <col min="1299" max="1299" width="16.33203125" style="129" customWidth="1"/>
    <col min="1300" max="1300" width="21.88671875" style="129" customWidth="1"/>
    <col min="1301" max="1301" width="9.109375" style="129"/>
    <col min="1302" max="1302" width="14.6640625" style="129" customWidth="1"/>
    <col min="1303" max="1308" width="9.109375" style="129"/>
    <col min="1309" max="1309" width="11.109375" style="129" customWidth="1"/>
    <col min="1310" max="1536" width="9.109375" style="129"/>
    <col min="1537" max="1537" width="15.88671875" style="129" customWidth="1"/>
    <col min="1538" max="1538" width="11.33203125" style="129" customWidth="1"/>
    <col min="1539" max="1539" width="14.109375" style="129" customWidth="1"/>
    <col min="1540" max="1540" width="13.5546875" style="129" customWidth="1"/>
    <col min="1541" max="1542" width="13.33203125" style="129" customWidth="1"/>
    <col min="1543" max="1543" width="13.109375" style="129" customWidth="1"/>
    <col min="1544" max="1544" width="13" style="129" customWidth="1"/>
    <col min="1545" max="1545" width="12.44140625" style="129" customWidth="1"/>
    <col min="1546" max="1547" width="13" style="129" customWidth="1"/>
    <col min="1548" max="1548" width="9.109375" style="129"/>
    <col min="1549" max="1549" width="31.6640625" style="129" customWidth="1"/>
    <col min="1550" max="1550" width="37.109375" style="129" customWidth="1"/>
    <col min="1551" max="1551" width="20.88671875" style="129" customWidth="1"/>
    <col min="1552" max="1552" width="17.6640625" style="129" customWidth="1"/>
    <col min="1553" max="1553" width="16.109375" style="129" customWidth="1"/>
    <col min="1554" max="1554" width="23.33203125" style="129" customWidth="1"/>
    <col min="1555" max="1555" width="16.33203125" style="129" customWidth="1"/>
    <col min="1556" max="1556" width="21.88671875" style="129" customWidth="1"/>
    <col min="1557" max="1557" width="9.109375" style="129"/>
    <col min="1558" max="1558" width="14.6640625" style="129" customWidth="1"/>
    <col min="1559" max="1564" width="9.109375" style="129"/>
    <col min="1565" max="1565" width="11.109375" style="129" customWidth="1"/>
    <col min="1566" max="1792" width="9.109375" style="129"/>
    <col min="1793" max="1793" width="15.88671875" style="129" customWidth="1"/>
    <col min="1794" max="1794" width="11.33203125" style="129" customWidth="1"/>
    <col min="1795" max="1795" width="14.109375" style="129" customWidth="1"/>
    <col min="1796" max="1796" width="13.5546875" style="129" customWidth="1"/>
    <col min="1797" max="1798" width="13.33203125" style="129" customWidth="1"/>
    <col min="1799" max="1799" width="13.109375" style="129" customWidth="1"/>
    <col min="1800" max="1800" width="13" style="129" customWidth="1"/>
    <col min="1801" max="1801" width="12.44140625" style="129" customWidth="1"/>
    <col min="1802" max="1803" width="13" style="129" customWidth="1"/>
    <col min="1804" max="1804" width="9.109375" style="129"/>
    <col min="1805" max="1805" width="31.6640625" style="129" customWidth="1"/>
    <col min="1806" max="1806" width="37.109375" style="129" customWidth="1"/>
    <col min="1807" max="1807" width="20.88671875" style="129" customWidth="1"/>
    <col min="1808" max="1808" width="17.6640625" style="129" customWidth="1"/>
    <col min="1809" max="1809" width="16.109375" style="129" customWidth="1"/>
    <col min="1810" max="1810" width="23.33203125" style="129" customWidth="1"/>
    <col min="1811" max="1811" width="16.33203125" style="129" customWidth="1"/>
    <col min="1812" max="1812" width="21.88671875" style="129" customWidth="1"/>
    <col min="1813" max="1813" width="9.109375" style="129"/>
    <col min="1814" max="1814" width="14.6640625" style="129" customWidth="1"/>
    <col min="1815" max="1820" width="9.109375" style="129"/>
    <col min="1821" max="1821" width="11.109375" style="129" customWidth="1"/>
    <col min="1822" max="2048" width="9.109375" style="129"/>
    <col min="2049" max="2049" width="15.88671875" style="129" customWidth="1"/>
    <col min="2050" max="2050" width="11.33203125" style="129" customWidth="1"/>
    <col min="2051" max="2051" width="14.109375" style="129" customWidth="1"/>
    <col min="2052" max="2052" width="13.5546875" style="129" customWidth="1"/>
    <col min="2053" max="2054" width="13.33203125" style="129" customWidth="1"/>
    <col min="2055" max="2055" width="13.109375" style="129" customWidth="1"/>
    <col min="2056" max="2056" width="13" style="129" customWidth="1"/>
    <col min="2057" max="2057" width="12.44140625" style="129" customWidth="1"/>
    <col min="2058" max="2059" width="13" style="129" customWidth="1"/>
    <col min="2060" max="2060" width="9.109375" style="129"/>
    <col min="2061" max="2061" width="31.6640625" style="129" customWidth="1"/>
    <col min="2062" max="2062" width="37.109375" style="129" customWidth="1"/>
    <col min="2063" max="2063" width="20.88671875" style="129" customWidth="1"/>
    <col min="2064" max="2064" width="17.6640625" style="129" customWidth="1"/>
    <col min="2065" max="2065" width="16.109375" style="129" customWidth="1"/>
    <col min="2066" max="2066" width="23.33203125" style="129" customWidth="1"/>
    <col min="2067" max="2067" width="16.33203125" style="129" customWidth="1"/>
    <col min="2068" max="2068" width="21.88671875" style="129" customWidth="1"/>
    <col min="2069" max="2069" width="9.109375" style="129"/>
    <col min="2070" max="2070" width="14.6640625" style="129" customWidth="1"/>
    <col min="2071" max="2076" width="9.109375" style="129"/>
    <col min="2077" max="2077" width="11.109375" style="129" customWidth="1"/>
    <col min="2078" max="2304" width="9.109375" style="129"/>
    <col min="2305" max="2305" width="15.88671875" style="129" customWidth="1"/>
    <col min="2306" max="2306" width="11.33203125" style="129" customWidth="1"/>
    <col min="2307" max="2307" width="14.109375" style="129" customWidth="1"/>
    <col min="2308" max="2308" width="13.5546875" style="129" customWidth="1"/>
    <col min="2309" max="2310" width="13.33203125" style="129" customWidth="1"/>
    <col min="2311" max="2311" width="13.109375" style="129" customWidth="1"/>
    <col min="2312" max="2312" width="13" style="129" customWidth="1"/>
    <col min="2313" max="2313" width="12.44140625" style="129" customWidth="1"/>
    <col min="2314" max="2315" width="13" style="129" customWidth="1"/>
    <col min="2316" max="2316" width="9.109375" style="129"/>
    <col min="2317" max="2317" width="31.6640625" style="129" customWidth="1"/>
    <col min="2318" max="2318" width="37.109375" style="129" customWidth="1"/>
    <col min="2319" max="2319" width="20.88671875" style="129" customWidth="1"/>
    <col min="2320" max="2320" width="17.6640625" style="129" customWidth="1"/>
    <col min="2321" max="2321" width="16.109375" style="129" customWidth="1"/>
    <col min="2322" max="2322" width="23.33203125" style="129" customWidth="1"/>
    <col min="2323" max="2323" width="16.33203125" style="129" customWidth="1"/>
    <col min="2324" max="2324" width="21.88671875" style="129" customWidth="1"/>
    <col min="2325" max="2325" width="9.109375" style="129"/>
    <col min="2326" max="2326" width="14.6640625" style="129" customWidth="1"/>
    <col min="2327" max="2332" width="9.109375" style="129"/>
    <col min="2333" max="2333" width="11.109375" style="129" customWidth="1"/>
    <col min="2334" max="2560" width="9.109375" style="129"/>
    <col min="2561" max="2561" width="15.88671875" style="129" customWidth="1"/>
    <col min="2562" max="2562" width="11.33203125" style="129" customWidth="1"/>
    <col min="2563" max="2563" width="14.109375" style="129" customWidth="1"/>
    <col min="2564" max="2564" width="13.5546875" style="129" customWidth="1"/>
    <col min="2565" max="2566" width="13.33203125" style="129" customWidth="1"/>
    <col min="2567" max="2567" width="13.109375" style="129" customWidth="1"/>
    <col min="2568" max="2568" width="13" style="129" customWidth="1"/>
    <col min="2569" max="2569" width="12.44140625" style="129" customWidth="1"/>
    <col min="2570" max="2571" width="13" style="129" customWidth="1"/>
    <col min="2572" max="2572" width="9.109375" style="129"/>
    <col min="2573" max="2573" width="31.6640625" style="129" customWidth="1"/>
    <col min="2574" max="2574" width="37.109375" style="129" customWidth="1"/>
    <col min="2575" max="2575" width="20.88671875" style="129" customWidth="1"/>
    <col min="2576" max="2576" width="17.6640625" style="129" customWidth="1"/>
    <col min="2577" max="2577" width="16.109375" style="129" customWidth="1"/>
    <col min="2578" max="2578" width="23.33203125" style="129" customWidth="1"/>
    <col min="2579" max="2579" width="16.33203125" style="129" customWidth="1"/>
    <col min="2580" max="2580" width="21.88671875" style="129" customWidth="1"/>
    <col min="2581" max="2581" width="9.109375" style="129"/>
    <col min="2582" max="2582" width="14.6640625" style="129" customWidth="1"/>
    <col min="2583" max="2588" width="9.109375" style="129"/>
    <col min="2589" max="2589" width="11.109375" style="129" customWidth="1"/>
    <col min="2590" max="2816" width="9.109375" style="129"/>
    <col min="2817" max="2817" width="15.88671875" style="129" customWidth="1"/>
    <col min="2818" max="2818" width="11.33203125" style="129" customWidth="1"/>
    <col min="2819" max="2819" width="14.109375" style="129" customWidth="1"/>
    <col min="2820" max="2820" width="13.5546875" style="129" customWidth="1"/>
    <col min="2821" max="2822" width="13.33203125" style="129" customWidth="1"/>
    <col min="2823" max="2823" width="13.109375" style="129" customWidth="1"/>
    <col min="2824" max="2824" width="13" style="129" customWidth="1"/>
    <col min="2825" max="2825" width="12.44140625" style="129" customWidth="1"/>
    <col min="2826" max="2827" width="13" style="129" customWidth="1"/>
    <col min="2828" max="2828" width="9.109375" style="129"/>
    <col min="2829" max="2829" width="31.6640625" style="129" customWidth="1"/>
    <col min="2830" max="2830" width="37.109375" style="129" customWidth="1"/>
    <col min="2831" max="2831" width="20.88671875" style="129" customWidth="1"/>
    <col min="2832" max="2832" width="17.6640625" style="129" customWidth="1"/>
    <col min="2833" max="2833" width="16.109375" style="129" customWidth="1"/>
    <col min="2834" max="2834" width="23.33203125" style="129" customWidth="1"/>
    <col min="2835" max="2835" width="16.33203125" style="129" customWidth="1"/>
    <col min="2836" max="2836" width="21.88671875" style="129" customWidth="1"/>
    <col min="2837" max="2837" width="9.109375" style="129"/>
    <col min="2838" max="2838" width="14.6640625" style="129" customWidth="1"/>
    <col min="2839" max="2844" width="9.109375" style="129"/>
    <col min="2845" max="2845" width="11.109375" style="129" customWidth="1"/>
    <col min="2846" max="3072" width="9.109375" style="129"/>
    <col min="3073" max="3073" width="15.88671875" style="129" customWidth="1"/>
    <col min="3074" max="3074" width="11.33203125" style="129" customWidth="1"/>
    <col min="3075" max="3075" width="14.109375" style="129" customWidth="1"/>
    <col min="3076" max="3076" width="13.5546875" style="129" customWidth="1"/>
    <col min="3077" max="3078" width="13.33203125" style="129" customWidth="1"/>
    <col min="3079" max="3079" width="13.109375" style="129" customWidth="1"/>
    <col min="3080" max="3080" width="13" style="129" customWidth="1"/>
    <col min="3081" max="3081" width="12.44140625" style="129" customWidth="1"/>
    <col min="3082" max="3083" width="13" style="129" customWidth="1"/>
    <col min="3084" max="3084" width="9.109375" style="129"/>
    <col min="3085" max="3085" width="31.6640625" style="129" customWidth="1"/>
    <col min="3086" max="3086" width="37.109375" style="129" customWidth="1"/>
    <col min="3087" max="3087" width="20.88671875" style="129" customWidth="1"/>
    <col min="3088" max="3088" width="17.6640625" style="129" customWidth="1"/>
    <col min="3089" max="3089" width="16.109375" style="129" customWidth="1"/>
    <col min="3090" max="3090" width="23.33203125" style="129" customWidth="1"/>
    <col min="3091" max="3091" width="16.33203125" style="129" customWidth="1"/>
    <col min="3092" max="3092" width="21.88671875" style="129" customWidth="1"/>
    <col min="3093" max="3093" width="9.109375" style="129"/>
    <col min="3094" max="3094" width="14.6640625" style="129" customWidth="1"/>
    <col min="3095" max="3100" width="9.109375" style="129"/>
    <col min="3101" max="3101" width="11.109375" style="129" customWidth="1"/>
    <col min="3102" max="3328" width="9.109375" style="129"/>
    <col min="3329" max="3329" width="15.88671875" style="129" customWidth="1"/>
    <col min="3330" max="3330" width="11.33203125" style="129" customWidth="1"/>
    <col min="3331" max="3331" width="14.109375" style="129" customWidth="1"/>
    <col min="3332" max="3332" width="13.5546875" style="129" customWidth="1"/>
    <col min="3333" max="3334" width="13.33203125" style="129" customWidth="1"/>
    <col min="3335" max="3335" width="13.109375" style="129" customWidth="1"/>
    <col min="3336" max="3336" width="13" style="129" customWidth="1"/>
    <col min="3337" max="3337" width="12.44140625" style="129" customWidth="1"/>
    <col min="3338" max="3339" width="13" style="129" customWidth="1"/>
    <col min="3340" max="3340" width="9.109375" style="129"/>
    <col min="3341" max="3341" width="31.6640625" style="129" customWidth="1"/>
    <col min="3342" max="3342" width="37.109375" style="129" customWidth="1"/>
    <col min="3343" max="3343" width="20.88671875" style="129" customWidth="1"/>
    <col min="3344" max="3344" width="17.6640625" style="129" customWidth="1"/>
    <col min="3345" max="3345" width="16.109375" style="129" customWidth="1"/>
    <col min="3346" max="3346" width="23.33203125" style="129" customWidth="1"/>
    <col min="3347" max="3347" width="16.33203125" style="129" customWidth="1"/>
    <col min="3348" max="3348" width="21.88671875" style="129" customWidth="1"/>
    <col min="3349" max="3349" width="9.109375" style="129"/>
    <col min="3350" max="3350" width="14.6640625" style="129" customWidth="1"/>
    <col min="3351" max="3356" width="9.109375" style="129"/>
    <col min="3357" max="3357" width="11.109375" style="129" customWidth="1"/>
    <col min="3358" max="3584" width="9.109375" style="129"/>
    <col min="3585" max="3585" width="15.88671875" style="129" customWidth="1"/>
    <col min="3586" max="3586" width="11.33203125" style="129" customWidth="1"/>
    <col min="3587" max="3587" width="14.109375" style="129" customWidth="1"/>
    <col min="3588" max="3588" width="13.5546875" style="129" customWidth="1"/>
    <col min="3589" max="3590" width="13.33203125" style="129" customWidth="1"/>
    <col min="3591" max="3591" width="13.109375" style="129" customWidth="1"/>
    <col min="3592" max="3592" width="13" style="129" customWidth="1"/>
    <col min="3593" max="3593" width="12.44140625" style="129" customWidth="1"/>
    <col min="3594" max="3595" width="13" style="129" customWidth="1"/>
    <col min="3596" max="3596" width="9.109375" style="129"/>
    <col min="3597" max="3597" width="31.6640625" style="129" customWidth="1"/>
    <col min="3598" max="3598" width="37.109375" style="129" customWidth="1"/>
    <col min="3599" max="3599" width="20.88671875" style="129" customWidth="1"/>
    <col min="3600" max="3600" width="17.6640625" style="129" customWidth="1"/>
    <col min="3601" max="3601" width="16.109375" style="129" customWidth="1"/>
    <col min="3602" max="3602" width="23.33203125" style="129" customWidth="1"/>
    <col min="3603" max="3603" width="16.33203125" style="129" customWidth="1"/>
    <col min="3604" max="3604" width="21.88671875" style="129" customWidth="1"/>
    <col min="3605" max="3605" width="9.109375" style="129"/>
    <col min="3606" max="3606" width="14.6640625" style="129" customWidth="1"/>
    <col min="3607" max="3612" width="9.109375" style="129"/>
    <col min="3613" max="3613" width="11.109375" style="129" customWidth="1"/>
    <col min="3614" max="3840" width="9.109375" style="129"/>
    <col min="3841" max="3841" width="15.88671875" style="129" customWidth="1"/>
    <col min="3842" max="3842" width="11.33203125" style="129" customWidth="1"/>
    <col min="3843" max="3843" width="14.109375" style="129" customWidth="1"/>
    <col min="3844" max="3844" width="13.5546875" style="129" customWidth="1"/>
    <col min="3845" max="3846" width="13.33203125" style="129" customWidth="1"/>
    <col min="3847" max="3847" width="13.109375" style="129" customWidth="1"/>
    <col min="3848" max="3848" width="13" style="129" customWidth="1"/>
    <col min="3849" max="3849" width="12.44140625" style="129" customWidth="1"/>
    <col min="3850" max="3851" width="13" style="129" customWidth="1"/>
    <col min="3852" max="3852" width="9.109375" style="129"/>
    <col min="3853" max="3853" width="31.6640625" style="129" customWidth="1"/>
    <col min="3854" max="3854" width="37.109375" style="129" customWidth="1"/>
    <col min="3855" max="3855" width="20.88671875" style="129" customWidth="1"/>
    <col min="3856" max="3856" width="17.6640625" style="129" customWidth="1"/>
    <col min="3857" max="3857" width="16.109375" style="129" customWidth="1"/>
    <col min="3858" max="3858" width="23.33203125" style="129" customWidth="1"/>
    <col min="3859" max="3859" width="16.33203125" style="129" customWidth="1"/>
    <col min="3860" max="3860" width="21.88671875" style="129" customWidth="1"/>
    <col min="3861" max="3861" width="9.109375" style="129"/>
    <col min="3862" max="3862" width="14.6640625" style="129" customWidth="1"/>
    <col min="3863" max="3868" width="9.109375" style="129"/>
    <col min="3869" max="3869" width="11.109375" style="129" customWidth="1"/>
    <col min="3870" max="4096" width="9.109375" style="129"/>
    <col min="4097" max="4097" width="15.88671875" style="129" customWidth="1"/>
    <col min="4098" max="4098" width="11.33203125" style="129" customWidth="1"/>
    <col min="4099" max="4099" width="14.109375" style="129" customWidth="1"/>
    <col min="4100" max="4100" width="13.5546875" style="129" customWidth="1"/>
    <col min="4101" max="4102" width="13.33203125" style="129" customWidth="1"/>
    <col min="4103" max="4103" width="13.109375" style="129" customWidth="1"/>
    <col min="4104" max="4104" width="13" style="129" customWidth="1"/>
    <col min="4105" max="4105" width="12.44140625" style="129" customWidth="1"/>
    <col min="4106" max="4107" width="13" style="129" customWidth="1"/>
    <col min="4108" max="4108" width="9.109375" style="129"/>
    <col min="4109" max="4109" width="31.6640625" style="129" customWidth="1"/>
    <col min="4110" max="4110" width="37.109375" style="129" customWidth="1"/>
    <col min="4111" max="4111" width="20.88671875" style="129" customWidth="1"/>
    <col min="4112" max="4112" width="17.6640625" style="129" customWidth="1"/>
    <col min="4113" max="4113" width="16.109375" style="129" customWidth="1"/>
    <col min="4114" max="4114" width="23.33203125" style="129" customWidth="1"/>
    <col min="4115" max="4115" width="16.33203125" style="129" customWidth="1"/>
    <col min="4116" max="4116" width="21.88671875" style="129" customWidth="1"/>
    <col min="4117" max="4117" width="9.109375" style="129"/>
    <col min="4118" max="4118" width="14.6640625" style="129" customWidth="1"/>
    <col min="4119" max="4124" width="9.109375" style="129"/>
    <col min="4125" max="4125" width="11.109375" style="129" customWidth="1"/>
    <col min="4126" max="4352" width="9.109375" style="129"/>
    <col min="4353" max="4353" width="15.88671875" style="129" customWidth="1"/>
    <col min="4354" max="4354" width="11.33203125" style="129" customWidth="1"/>
    <col min="4355" max="4355" width="14.109375" style="129" customWidth="1"/>
    <col min="4356" max="4356" width="13.5546875" style="129" customWidth="1"/>
    <col min="4357" max="4358" width="13.33203125" style="129" customWidth="1"/>
    <col min="4359" max="4359" width="13.109375" style="129" customWidth="1"/>
    <col min="4360" max="4360" width="13" style="129" customWidth="1"/>
    <col min="4361" max="4361" width="12.44140625" style="129" customWidth="1"/>
    <col min="4362" max="4363" width="13" style="129" customWidth="1"/>
    <col min="4364" max="4364" width="9.109375" style="129"/>
    <col min="4365" max="4365" width="31.6640625" style="129" customWidth="1"/>
    <col min="4366" max="4366" width="37.109375" style="129" customWidth="1"/>
    <col min="4367" max="4367" width="20.88671875" style="129" customWidth="1"/>
    <col min="4368" max="4368" width="17.6640625" style="129" customWidth="1"/>
    <col min="4369" max="4369" width="16.109375" style="129" customWidth="1"/>
    <col min="4370" max="4370" width="23.33203125" style="129" customWidth="1"/>
    <col min="4371" max="4371" width="16.33203125" style="129" customWidth="1"/>
    <col min="4372" max="4372" width="21.88671875" style="129" customWidth="1"/>
    <col min="4373" max="4373" width="9.109375" style="129"/>
    <col min="4374" max="4374" width="14.6640625" style="129" customWidth="1"/>
    <col min="4375" max="4380" width="9.109375" style="129"/>
    <col min="4381" max="4381" width="11.109375" style="129" customWidth="1"/>
    <col min="4382" max="4608" width="9.109375" style="129"/>
    <col min="4609" max="4609" width="15.88671875" style="129" customWidth="1"/>
    <col min="4610" max="4610" width="11.33203125" style="129" customWidth="1"/>
    <col min="4611" max="4611" width="14.109375" style="129" customWidth="1"/>
    <col min="4612" max="4612" width="13.5546875" style="129" customWidth="1"/>
    <col min="4613" max="4614" width="13.33203125" style="129" customWidth="1"/>
    <col min="4615" max="4615" width="13.109375" style="129" customWidth="1"/>
    <col min="4616" max="4616" width="13" style="129" customWidth="1"/>
    <col min="4617" max="4617" width="12.44140625" style="129" customWidth="1"/>
    <col min="4618" max="4619" width="13" style="129" customWidth="1"/>
    <col min="4620" max="4620" width="9.109375" style="129"/>
    <col min="4621" max="4621" width="31.6640625" style="129" customWidth="1"/>
    <col min="4622" max="4622" width="37.109375" style="129" customWidth="1"/>
    <col min="4623" max="4623" width="20.88671875" style="129" customWidth="1"/>
    <col min="4624" max="4624" width="17.6640625" style="129" customWidth="1"/>
    <col min="4625" max="4625" width="16.109375" style="129" customWidth="1"/>
    <col min="4626" max="4626" width="23.33203125" style="129" customWidth="1"/>
    <col min="4627" max="4627" width="16.33203125" style="129" customWidth="1"/>
    <col min="4628" max="4628" width="21.88671875" style="129" customWidth="1"/>
    <col min="4629" max="4629" width="9.109375" style="129"/>
    <col min="4630" max="4630" width="14.6640625" style="129" customWidth="1"/>
    <col min="4631" max="4636" width="9.109375" style="129"/>
    <col min="4637" max="4637" width="11.109375" style="129" customWidth="1"/>
    <col min="4638" max="4864" width="9.109375" style="129"/>
    <col min="4865" max="4865" width="15.88671875" style="129" customWidth="1"/>
    <col min="4866" max="4866" width="11.33203125" style="129" customWidth="1"/>
    <col min="4867" max="4867" width="14.109375" style="129" customWidth="1"/>
    <col min="4868" max="4868" width="13.5546875" style="129" customWidth="1"/>
    <col min="4869" max="4870" width="13.33203125" style="129" customWidth="1"/>
    <col min="4871" max="4871" width="13.109375" style="129" customWidth="1"/>
    <col min="4872" max="4872" width="13" style="129" customWidth="1"/>
    <col min="4873" max="4873" width="12.44140625" style="129" customWidth="1"/>
    <col min="4874" max="4875" width="13" style="129" customWidth="1"/>
    <col min="4876" max="4876" width="9.109375" style="129"/>
    <col min="4877" max="4877" width="31.6640625" style="129" customWidth="1"/>
    <col min="4878" max="4878" width="37.109375" style="129" customWidth="1"/>
    <col min="4879" max="4879" width="20.88671875" style="129" customWidth="1"/>
    <col min="4880" max="4880" width="17.6640625" style="129" customWidth="1"/>
    <col min="4881" max="4881" width="16.109375" style="129" customWidth="1"/>
    <col min="4882" max="4882" width="23.33203125" style="129" customWidth="1"/>
    <col min="4883" max="4883" width="16.33203125" style="129" customWidth="1"/>
    <col min="4884" max="4884" width="21.88671875" style="129" customWidth="1"/>
    <col min="4885" max="4885" width="9.109375" style="129"/>
    <col min="4886" max="4886" width="14.6640625" style="129" customWidth="1"/>
    <col min="4887" max="4892" width="9.109375" style="129"/>
    <col min="4893" max="4893" width="11.109375" style="129" customWidth="1"/>
    <col min="4894" max="5120" width="9.109375" style="129"/>
    <col min="5121" max="5121" width="15.88671875" style="129" customWidth="1"/>
    <col min="5122" max="5122" width="11.33203125" style="129" customWidth="1"/>
    <col min="5123" max="5123" width="14.109375" style="129" customWidth="1"/>
    <col min="5124" max="5124" width="13.5546875" style="129" customWidth="1"/>
    <col min="5125" max="5126" width="13.33203125" style="129" customWidth="1"/>
    <col min="5127" max="5127" width="13.109375" style="129" customWidth="1"/>
    <col min="5128" max="5128" width="13" style="129" customWidth="1"/>
    <col min="5129" max="5129" width="12.44140625" style="129" customWidth="1"/>
    <col min="5130" max="5131" width="13" style="129" customWidth="1"/>
    <col min="5132" max="5132" width="9.109375" style="129"/>
    <col min="5133" max="5133" width="31.6640625" style="129" customWidth="1"/>
    <col min="5134" max="5134" width="37.109375" style="129" customWidth="1"/>
    <col min="5135" max="5135" width="20.88671875" style="129" customWidth="1"/>
    <col min="5136" max="5136" width="17.6640625" style="129" customWidth="1"/>
    <col min="5137" max="5137" width="16.109375" style="129" customWidth="1"/>
    <col min="5138" max="5138" width="23.33203125" style="129" customWidth="1"/>
    <col min="5139" max="5139" width="16.33203125" style="129" customWidth="1"/>
    <col min="5140" max="5140" width="21.88671875" style="129" customWidth="1"/>
    <col min="5141" max="5141" width="9.109375" style="129"/>
    <col min="5142" max="5142" width="14.6640625" style="129" customWidth="1"/>
    <col min="5143" max="5148" width="9.109375" style="129"/>
    <col min="5149" max="5149" width="11.109375" style="129" customWidth="1"/>
    <col min="5150" max="5376" width="9.109375" style="129"/>
    <col min="5377" max="5377" width="15.88671875" style="129" customWidth="1"/>
    <col min="5378" max="5378" width="11.33203125" style="129" customWidth="1"/>
    <col min="5379" max="5379" width="14.109375" style="129" customWidth="1"/>
    <col min="5380" max="5380" width="13.5546875" style="129" customWidth="1"/>
    <col min="5381" max="5382" width="13.33203125" style="129" customWidth="1"/>
    <col min="5383" max="5383" width="13.109375" style="129" customWidth="1"/>
    <col min="5384" max="5384" width="13" style="129" customWidth="1"/>
    <col min="5385" max="5385" width="12.44140625" style="129" customWidth="1"/>
    <col min="5386" max="5387" width="13" style="129" customWidth="1"/>
    <col min="5388" max="5388" width="9.109375" style="129"/>
    <col min="5389" max="5389" width="31.6640625" style="129" customWidth="1"/>
    <col min="5390" max="5390" width="37.109375" style="129" customWidth="1"/>
    <col min="5391" max="5391" width="20.88671875" style="129" customWidth="1"/>
    <col min="5392" max="5392" width="17.6640625" style="129" customWidth="1"/>
    <col min="5393" max="5393" width="16.109375" style="129" customWidth="1"/>
    <col min="5394" max="5394" width="23.33203125" style="129" customWidth="1"/>
    <col min="5395" max="5395" width="16.33203125" style="129" customWidth="1"/>
    <col min="5396" max="5396" width="21.88671875" style="129" customWidth="1"/>
    <col min="5397" max="5397" width="9.109375" style="129"/>
    <col min="5398" max="5398" width="14.6640625" style="129" customWidth="1"/>
    <col min="5399" max="5404" width="9.109375" style="129"/>
    <col min="5405" max="5405" width="11.109375" style="129" customWidth="1"/>
    <col min="5406" max="5632" width="9.109375" style="129"/>
    <col min="5633" max="5633" width="15.88671875" style="129" customWidth="1"/>
    <col min="5634" max="5634" width="11.33203125" style="129" customWidth="1"/>
    <col min="5635" max="5635" width="14.109375" style="129" customWidth="1"/>
    <col min="5636" max="5636" width="13.5546875" style="129" customWidth="1"/>
    <col min="5637" max="5638" width="13.33203125" style="129" customWidth="1"/>
    <col min="5639" max="5639" width="13.109375" style="129" customWidth="1"/>
    <col min="5640" max="5640" width="13" style="129" customWidth="1"/>
    <col min="5641" max="5641" width="12.44140625" style="129" customWidth="1"/>
    <col min="5642" max="5643" width="13" style="129" customWidth="1"/>
    <col min="5644" max="5644" width="9.109375" style="129"/>
    <col min="5645" max="5645" width="31.6640625" style="129" customWidth="1"/>
    <col min="5646" max="5646" width="37.109375" style="129" customWidth="1"/>
    <col min="5647" max="5647" width="20.88671875" style="129" customWidth="1"/>
    <col min="5648" max="5648" width="17.6640625" style="129" customWidth="1"/>
    <col min="5649" max="5649" width="16.109375" style="129" customWidth="1"/>
    <col min="5650" max="5650" width="23.33203125" style="129" customWidth="1"/>
    <col min="5651" max="5651" width="16.33203125" style="129" customWidth="1"/>
    <col min="5652" max="5652" width="21.88671875" style="129" customWidth="1"/>
    <col min="5653" max="5653" width="9.109375" style="129"/>
    <col min="5654" max="5654" width="14.6640625" style="129" customWidth="1"/>
    <col min="5655" max="5660" width="9.109375" style="129"/>
    <col min="5661" max="5661" width="11.109375" style="129" customWidth="1"/>
    <col min="5662" max="5888" width="9.109375" style="129"/>
    <col min="5889" max="5889" width="15.88671875" style="129" customWidth="1"/>
    <col min="5890" max="5890" width="11.33203125" style="129" customWidth="1"/>
    <col min="5891" max="5891" width="14.109375" style="129" customWidth="1"/>
    <col min="5892" max="5892" width="13.5546875" style="129" customWidth="1"/>
    <col min="5893" max="5894" width="13.33203125" style="129" customWidth="1"/>
    <col min="5895" max="5895" width="13.109375" style="129" customWidth="1"/>
    <col min="5896" max="5896" width="13" style="129" customWidth="1"/>
    <col min="5897" max="5897" width="12.44140625" style="129" customWidth="1"/>
    <col min="5898" max="5899" width="13" style="129" customWidth="1"/>
    <col min="5900" max="5900" width="9.109375" style="129"/>
    <col min="5901" max="5901" width="31.6640625" style="129" customWidth="1"/>
    <col min="5902" max="5902" width="37.109375" style="129" customWidth="1"/>
    <col min="5903" max="5903" width="20.88671875" style="129" customWidth="1"/>
    <col min="5904" max="5904" width="17.6640625" style="129" customWidth="1"/>
    <col min="5905" max="5905" width="16.109375" style="129" customWidth="1"/>
    <col min="5906" max="5906" width="23.33203125" style="129" customWidth="1"/>
    <col min="5907" max="5907" width="16.33203125" style="129" customWidth="1"/>
    <col min="5908" max="5908" width="21.88671875" style="129" customWidth="1"/>
    <col min="5909" max="5909" width="9.109375" style="129"/>
    <col min="5910" max="5910" width="14.6640625" style="129" customWidth="1"/>
    <col min="5911" max="5916" width="9.109375" style="129"/>
    <col min="5917" max="5917" width="11.109375" style="129" customWidth="1"/>
    <col min="5918" max="6144" width="9.109375" style="129"/>
    <col min="6145" max="6145" width="15.88671875" style="129" customWidth="1"/>
    <col min="6146" max="6146" width="11.33203125" style="129" customWidth="1"/>
    <col min="6147" max="6147" width="14.109375" style="129" customWidth="1"/>
    <col min="6148" max="6148" width="13.5546875" style="129" customWidth="1"/>
    <col min="6149" max="6150" width="13.33203125" style="129" customWidth="1"/>
    <col min="6151" max="6151" width="13.109375" style="129" customWidth="1"/>
    <col min="6152" max="6152" width="13" style="129" customWidth="1"/>
    <col min="6153" max="6153" width="12.44140625" style="129" customWidth="1"/>
    <col min="6154" max="6155" width="13" style="129" customWidth="1"/>
    <col min="6156" max="6156" width="9.109375" style="129"/>
    <col min="6157" max="6157" width="31.6640625" style="129" customWidth="1"/>
    <col min="6158" max="6158" width="37.109375" style="129" customWidth="1"/>
    <col min="6159" max="6159" width="20.88671875" style="129" customWidth="1"/>
    <col min="6160" max="6160" width="17.6640625" style="129" customWidth="1"/>
    <col min="6161" max="6161" width="16.109375" style="129" customWidth="1"/>
    <col min="6162" max="6162" width="23.33203125" style="129" customWidth="1"/>
    <col min="6163" max="6163" width="16.33203125" style="129" customWidth="1"/>
    <col min="6164" max="6164" width="21.88671875" style="129" customWidth="1"/>
    <col min="6165" max="6165" width="9.109375" style="129"/>
    <col min="6166" max="6166" width="14.6640625" style="129" customWidth="1"/>
    <col min="6167" max="6172" width="9.109375" style="129"/>
    <col min="6173" max="6173" width="11.109375" style="129" customWidth="1"/>
    <col min="6174" max="6400" width="9.109375" style="129"/>
    <col min="6401" max="6401" width="15.88671875" style="129" customWidth="1"/>
    <col min="6402" max="6402" width="11.33203125" style="129" customWidth="1"/>
    <col min="6403" max="6403" width="14.109375" style="129" customWidth="1"/>
    <col min="6404" max="6404" width="13.5546875" style="129" customWidth="1"/>
    <col min="6405" max="6406" width="13.33203125" style="129" customWidth="1"/>
    <col min="6407" max="6407" width="13.109375" style="129" customWidth="1"/>
    <col min="6408" max="6408" width="13" style="129" customWidth="1"/>
    <col min="6409" max="6409" width="12.44140625" style="129" customWidth="1"/>
    <col min="6410" max="6411" width="13" style="129" customWidth="1"/>
    <col min="6412" max="6412" width="9.109375" style="129"/>
    <col min="6413" max="6413" width="31.6640625" style="129" customWidth="1"/>
    <col min="6414" max="6414" width="37.109375" style="129" customWidth="1"/>
    <col min="6415" max="6415" width="20.88671875" style="129" customWidth="1"/>
    <col min="6416" max="6416" width="17.6640625" style="129" customWidth="1"/>
    <col min="6417" max="6417" width="16.109375" style="129" customWidth="1"/>
    <col min="6418" max="6418" width="23.33203125" style="129" customWidth="1"/>
    <col min="6419" max="6419" width="16.33203125" style="129" customWidth="1"/>
    <col min="6420" max="6420" width="21.88671875" style="129" customWidth="1"/>
    <col min="6421" max="6421" width="9.109375" style="129"/>
    <col min="6422" max="6422" width="14.6640625" style="129" customWidth="1"/>
    <col min="6423" max="6428" width="9.109375" style="129"/>
    <col min="6429" max="6429" width="11.109375" style="129" customWidth="1"/>
    <col min="6430" max="6656" width="9.109375" style="129"/>
    <col min="6657" max="6657" width="15.88671875" style="129" customWidth="1"/>
    <col min="6658" max="6658" width="11.33203125" style="129" customWidth="1"/>
    <col min="6659" max="6659" width="14.109375" style="129" customWidth="1"/>
    <col min="6660" max="6660" width="13.5546875" style="129" customWidth="1"/>
    <col min="6661" max="6662" width="13.33203125" style="129" customWidth="1"/>
    <col min="6663" max="6663" width="13.109375" style="129" customWidth="1"/>
    <col min="6664" max="6664" width="13" style="129" customWidth="1"/>
    <col min="6665" max="6665" width="12.44140625" style="129" customWidth="1"/>
    <col min="6666" max="6667" width="13" style="129" customWidth="1"/>
    <col min="6668" max="6668" width="9.109375" style="129"/>
    <col min="6669" max="6669" width="31.6640625" style="129" customWidth="1"/>
    <col min="6670" max="6670" width="37.109375" style="129" customWidth="1"/>
    <col min="6671" max="6671" width="20.88671875" style="129" customWidth="1"/>
    <col min="6672" max="6672" width="17.6640625" style="129" customWidth="1"/>
    <col min="6673" max="6673" width="16.109375" style="129" customWidth="1"/>
    <col min="6674" max="6674" width="23.33203125" style="129" customWidth="1"/>
    <col min="6675" max="6675" width="16.33203125" style="129" customWidth="1"/>
    <col min="6676" max="6676" width="21.88671875" style="129" customWidth="1"/>
    <col min="6677" max="6677" width="9.109375" style="129"/>
    <col min="6678" max="6678" width="14.6640625" style="129" customWidth="1"/>
    <col min="6679" max="6684" width="9.109375" style="129"/>
    <col min="6685" max="6685" width="11.109375" style="129" customWidth="1"/>
    <col min="6686" max="6912" width="9.109375" style="129"/>
    <col min="6913" max="6913" width="15.88671875" style="129" customWidth="1"/>
    <col min="6914" max="6914" width="11.33203125" style="129" customWidth="1"/>
    <col min="6915" max="6915" width="14.109375" style="129" customWidth="1"/>
    <col min="6916" max="6916" width="13.5546875" style="129" customWidth="1"/>
    <col min="6917" max="6918" width="13.33203125" style="129" customWidth="1"/>
    <col min="6919" max="6919" width="13.109375" style="129" customWidth="1"/>
    <col min="6920" max="6920" width="13" style="129" customWidth="1"/>
    <col min="6921" max="6921" width="12.44140625" style="129" customWidth="1"/>
    <col min="6922" max="6923" width="13" style="129" customWidth="1"/>
    <col min="6924" max="6924" width="9.109375" style="129"/>
    <col min="6925" max="6925" width="31.6640625" style="129" customWidth="1"/>
    <col min="6926" max="6926" width="37.109375" style="129" customWidth="1"/>
    <col min="6927" max="6927" width="20.88671875" style="129" customWidth="1"/>
    <col min="6928" max="6928" width="17.6640625" style="129" customWidth="1"/>
    <col min="6929" max="6929" width="16.109375" style="129" customWidth="1"/>
    <col min="6930" max="6930" width="23.33203125" style="129" customWidth="1"/>
    <col min="6931" max="6931" width="16.33203125" style="129" customWidth="1"/>
    <col min="6932" max="6932" width="21.88671875" style="129" customWidth="1"/>
    <col min="6933" max="6933" width="9.109375" style="129"/>
    <col min="6934" max="6934" width="14.6640625" style="129" customWidth="1"/>
    <col min="6935" max="6940" width="9.109375" style="129"/>
    <col min="6941" max="6941" width="11.109375" style="129" customWidth="1"/>
    <col min="6942" max="7168" width="9.109375" style="129"/>
    <col min="7169" max="7169" width="15.88671875" style="129" customWidth="1"/>
    <col min="7170" max="7170" width="11.33203125" style="129" customWidth="1"/>
    <col min="7171" max="7171" width="14.109375" style="129" customWidth="1"/>
    <col min="7172" max="7172" width="13.5546875" style="129" customWidth="1"/>
    <col min="7173" max="7174" width="13.33203125" style="129" customWidth="1"/>
    <col min="7175" max="7175" width="13.109375" style="129" customWidth="1"/>
    <col min="7176" max="7176" width="13" style="129" customWidth="1"/>
    <col min="7177" max="7177" width="12.44140625" style="129" customWidth="1"/>
    <col min="7178" max="7179" width="13" style="129" customWidth="1"/>
    <col min="7180" max="7180" width="9.109375" style="129"/>
    <col min="7181" max="7181" width="31.6640625" style="129" customWidth="1"/>
    <col min="7182" max="7182" width="37.109375" style="129" customWidth="1"/>
    <col min="7183" max="7183" width="20.88671875" style="129" customWidth="1"/>
    <col min="7184" max="7184" width="17.6640625" style="129" customWidth="1"/>
    <col min="7185" max="7185" width="16.109375" style="129" customWidth="1"/>
    <col min="7186" max="7186" width="23.33203125" style="129" customWidth="1"/>
    <col min="7187" max="7187" width="16.33203125" style="129" customWidth="1"/>
    <col min="7188" max="7188" width="21.88671875" style="129" customWidth="1"/>
    <col min="7189" max="7189" width="9.109375" style="129"/>
    <col min="7190" max="7190" width="14.6640625" style="129" customWidth="1"/>
    <col min="7191" max="7196" width="9.109375" style="129"/>
    <col min="7197" max="7197" width="11.109375" style="129" customWidth="1"/>
    <col min="7198" max="7424" width="9.109375" style="129"/>
    <col min="7425" max="7425" width="15.88671875" style="129" customWidth="1"/>
    <col min="7426" max="7426" width="11.33203125" style="129" customWidth="1"/>
    <col min="7427" max="7427" width="14.109375" style="129" customWidth="1"/>
    <col min="7428" max="7428" width="13.5546875" style="129" customWidth="1"/>
    <col min="7429" max="7430" width="13.33203125" style="129" customWidth="1"/>
    <col min="7431" max="7431" width="13.109375" style="129" customWidth="1"/>
    <col min="7432" max="7432" width="13" style="129" customWidth="1"/>
    <col min="7433" max="7433" width="12.44140625" style="129" customWidth="1"/>
    <col min="7434" max="7435" width="13" style="129" customWidth="1"/>
    <col min="7436" max="7436" width="9.109375" style="129"/>
    <col min="7437" max="7437" width="31.6640625" style="129" customWidth="1"/>
    <col min="7438" max="7438" width="37.109375" style="129" customWidth="1"/>
    <col min="7439" max="7439" width="20.88671875" style="129" customWidth="1"/>
    <col min="7440" max="7440" width="17.6640625" style="129" customWidth="1"/>
    <col min="7441" max="7441" width="16.109375" style="129" customWidth="1"/>
    <col min="7442" max="7442" width="23.33203125" style="129" customWidth="1"/>
    <col min="7443" max="7443" width="16.33203125" style="129" customWidth="1"/>
    <col min="7444" max="7444" width="21.88671875" style="129" customWidth="1"/>
    <col min="7445" max="7445" width="9.109375" style="129"/>
    <col min="7446" max="7446" width="14.6640625" style="129" customWidth="1"/>
    <col min="7447" max="7452" width="9.109375" style="129"/>
    <col min="7453" max="7453" width="11.109375" style="129" customWidth="1"/>
    <col min="7454" max="7680" width="9.109375" style="129"/>
    <col min="7681" max="7681" width="15.88671875" style="129" customWidth="1"/>
    <col min="7682" max="7682" width="11.33203125" style="129" customWidth="1"/>
    <col min="7683" max="7683" width="14.109375" style="129" customWidth="1"/>
    <col min="7684" max="7684" width="13.5546875" style="129" customWidth="1"/>
    <col min="7685" max="7686" width="13.33203125" style="129" customWidth="1"/>
    <col min="7687" max="7687" width="13.109375" style="129" customWidth="1"/>
    <col min="7688" max="7688" width="13" style="129" customWidth="1"/>
    <col min="7689" max="7689" width="12.44140625" style="129" customWidth="1"/>
    <col min="7690" max="7691" width="13" style="129" customWidth="1"/>
    <col min="7692" max="7692" width="9.109375" style="129"/>
    <col min="7693" max="7693" width="31.6640625" style="129" customWidth="1"/>
    <col min="7694" max="7694" width="37.109375" style="129" customWidth="1"/>
    <col min="7695" max="7695" width="20.88671875" style="129" customWidth="1"/>
    <col min="7696" max="7696" width="17.6640625" style="129" customWidth="1"/>
    <col min="7697" max="7697" width="16.109375" style="129" customWidth="1"/>
    <col min="7698" max="7698" width="23.33203125" style="129" customWidth="1"/>
    <col min="7699" max="7699" width="16.33203125" style="129" customWidth="1"/>
    <col min="7700" max="7700" width="21.88671875" style="129" customWidth="1"/>
    <col min="7701" max="7701" width="9.109375" style="129"/>
    <col min="7702" max="7702" width="14.6640625" style="129" customWidth="1"/>
    <col min="7703" max="7708" width="9.109375" style="129"/>
    <col min="7709" max="7709" width="11.109375" style="129" customWidth="1"/>
    <col min="7710" max="7936" width="9.109375" style="129"/>
    <col min="7937" max="7937" width="15.88671875" style="129" customWidth="1"/>
    <col min="7938" max="7938" width="11.33203125" style="129" customWidth="1"/>
    <col min="7939" max="7939" width="14.109375" style="129" customWidth="1"/>
    <col min="7940" max="7940" width="13.5546875" style="129" customWidth="1"/>
    <col min="7941" max="7942" width="13.33203125" style="129" customWidth="1"/>
    <col min="7943" max="7943" width="13.109375" style="129" customWidth="1"/>
    <col min="7944" max="7944" width="13" style="129" customWidth="1"/>
    <col min="7945" max="7945" width="12.44140625" style="129" customWidth="1"/>
    <col min="7946" max="7947" width="13" style="129" customWidth="1"/>
    <col min="7948" max="7948" width="9.109375" style="129"/>
    <col min="7949" max="7949" width="31.6640625" style="129" customWidth="1"/>
    <col min="7950" max="7950" width="37.109375" style="129" customWidth="1"/>
    <col min="7951" max="7951" width="20.88671875" style="129" customWidth="1"/>
    <col min="7952" max="7952" width="17.6640625" style="129" customWidth="1"/>
    <col min="7953" max="7953" width="16.109375" style="129" customWidth="1"/>
    <col min="7954" max="7954" width="23.33203125" style="129" customWidth="1"/>
    <col min="7955" max="7955" width="16.33203125" style="129" customWidth="1"/>
    <col min="7956" max="7956" width="21.88671875" style="129" customWidth="1"/>
    <col min="7957" max="7957" width="9.109375" style="129"/>
    <col min="7958" max="7958" width="14.6640625" style="129" customWidth="1"/>
    <col min="7959" max="7964" width="9.109375" style="129"/>
    <col min="7965" max="7965" width="11.109375" style="129" customWidth="1"/>
    <col min="7966" max="8192" width="9.109375" style="129"/>
    <col min="8193" max="8193" width="15.88671875" style="129" customWidth="1"/>
    <col min="8194" max="8194" width="11.33203125" style="129" customWidth="1"/>
    <col min="8195" max="8195" width="14.109375" style="129" customWidth="1"/>
    <col min="8196" max="8196" width="13.5546875" style="129" customWidth="1"/>
    <col min="8197" max="8198" width="13.33203125" style="129" customWidth="1"/>
    <col min="8199" max="8199" width="13.109375" style="129" customWidth="1"/>
    <col min="8200" max="8200" width="13" style="129" customWidth="1"/>
    <col min="8201" max="8201" width="12.44140625" style="129" customWidth="1"/>
    <col min="8202" max="8203" width="13" style="129" customWidth="1"/>
    <col min="8204" max="8204" width="9.109375" style="129"/>
    <col min="8205" max="8205" width="31.6640625" style="129" customWidth="1"/>
    <col min="8206" max="8206" width="37.109375" style="129" customWidth="1"/>
    <col min="8207" max="8207" width="20.88671875" style="129" customWidth="1"/>
    <col min="8208" max="8208" width="17.6640625" style="129" customWidth="1"/>
    <col min="8209" max="8209" width="16.109375" style="129" customWidth="1"/>
    <col min="8210" max="8210" width="23.33203125" style="129" customWidth="1"/>
    <col min="8211" max="8211" width="16.33203125" style="129" customWidth="1"/>
    <col min="8212" max="8212" width="21.88671875" style="129" customWidth="1"/>
    <col min="8213" max="8213" width="9.109375" style="129"/>
    <col min="8214" max="8214" width="14.6640625" style="129" customWidth="1"/>
    <col min="8215" max="8220" width="9.109375" style="129"/>
    <col min="8221" max="8221" width="11.109375" style="129" customWidth="1"/>
    <col min="8222" max="8448" width="9.109375" style="129"/>
    <col min="8449" max="8449" width="15.88671875" style="129" customWidth="1"/>
    <col min="8450" max="8450" width="11.33203125" style="129" customWidth="1"/>
    <col min="8451" max="8451" width="14.109375" style="129" customWidth="1"/>
    <col min="8452" max="8452" width="13.5546875" style="129" customWidth="1"/>
    <col min="8453" max="8454" width="13.33203125" style="129" customWidth="1"/>
    <col min="8455" max="8455" width="13.109375" style="129" customWidth="1"/>
    <col min="8456" max="8456" width="13" style="129" customWidth="1"/>
    <col min="8457" max="8457" width="12.44140625" style="129" customWidth="1"/>
    <col min="8458" max="8459" width="13" style="129" customWidth="1"/>
    <col min="8460" max="8460" width="9.109375" style="129"/>
    <col min="8461" max="8461" width="31.6640625" style="129" customWidth="1"/>
    <col min="8462" max="8462" width="37.109375" style="129" customWidth="1"/>
    <col min="8463" max="8463" width="20.88671875" style="129" customWidth="1"/>
    <col min="8464" max="8464" width="17.6640625" style="129" customWidth="1"/>
    <col min="8465" max="8465" width="16.109375" style="129" customWidth="1"/>
    <col min="8466" max="8466" width="23.33203125" style="129" customWidth="1"/>
    <col min="8467" max="8467" width="16.33203125" style="129" customWidth="1"/>
    <col min="8468" max="8468" width="21.88671875" style="129" customWidth="1"/>
    <col min="8469" max="8469" width="9.109375" style="129"/>
    <col min="8470" max="8470" width="14.6640625" style="129" customWidth="1"/>
    <col min="8471" max="8476" width="9.109375" style="129"/>
    <col min="8477" max="8477" width="11.109375" style="129" customWidth="1"/>
    <col min="8478" max="8704" width="9.109375" style="129"/>
    <col min="8705" max="8705" width="15.88671875" style="129" customWidth="1"/>
    <col min="8706" max="8706" width="11.33203125" style="129" customWidth="1"/>
    <col min="8707" max="8707" width="14.109375" style="129" customWidth="1"/>
    <col min="8708" max="8708" width="13.5546875" style="129" customWidth="1"/>
    <col min="8709" max="8710" width="13.33203125" style="129" customWidth="1"/>
    <col min="8711" max="8711" width="13.109375" style="129" customWidth="1"/>
    <col min="8712" max="8712" width="13" style="129" customWidth="1"/>
    <col min="8713" max="8713" width="12.44140625" style="129" customWidth="1"/>
    <col min="8714" max="8715" width="13" style="129" customWidth="1"/>
    <col min="8716" max="8716" width="9.109375" style="129"/>
    <col min="8717" max="8717" width="31.6640625" style="129" customWidth="1"/>
    <col min="8718" max="8718" width="37.109375" style="129" customWidth="1"/>
    <col min="8719" max="8719" width="20.88671875" style="129" customWidth="1"/>
    <col min="8720" max="8720" width="17.6640625" style="129" customWidth="1"/>
    <col min="8721" max="8721" width="16.109375" style="129" customWidth="1"/>
    <col min="8722" max="8722" width="23.33203125" style="129" customWidth="1"/>
    <col min="8723" max="8723" width="16.33203125" style="129" customWidth="1"/>
    <col min="8724" max="8724" width="21.88671875" style="129" customWidth="1"/>
    <col min="8725" max="8725" width="9.109375" style="129"/>
    <col min="8726" max="8726" width="14.6640625" style="129" customWidth="1"/>
    <col min="8727" max="8732" width="9.109375" style="129"/>
    <col min="8733" max="8733" width="11.109375" style="129" customWidth="1"/>
    <col min="8734" max="8960" width="9.109375" style="129"/>
    <col min="8961" max="8961" width="15.88671875" style="129" customWidth="1"/>
    <col min="8962" max="8962" width="11.33203125" style="129" customWidth="1"/>
    <col min="8963" max="8963" width="14.109375" style="129" customWidth="1"/>
    <col min="8964" max="8964" width="13.5546875" style="129" customWidth="1"/>
    <col min="8965" max="8966" width="13.33203125" style="129" customWidth="1"/>
    <col min="8967" max="8967" width="13.109375" style="129" customWidth="1"/>
    <col min="8968" max="8968" width="13" style="129" customWidth="1"/>
    <col min="8969" max="8969" width="12.44140625" style="129" customWidth="1"/>
    <col min="8970" max="8971" width="13" style="129" customWidth="1"/>
    <col min="8972" max="8972" width="9.109375" style="129"/>
    <col min="8973" max="8973" width="31.6640625" style="129" customWidth="1"/>
    <col min="8974" max="8974" width="37.109375" style="129" customWidth="1"/>
    <col min="8975" max="8975" width="20.88671875" style="129" customWidth="1"/>
    <col min="8976" max="8976" width="17.6640625" style="129" customWidth="1"/>
    <col min="8977" max="8977" width="16.109375" style="129" customWidth="1"/>
    <col min="8978" max="8978" width="23.33203125" style="129" customWidth="1"/>
    <col min="8979" max="8979" width="16.33203125" style="129" customWidth="1"/>
    <col min="8980" max="8980" width="21.88671875" style="129" customWidth="1"/>
    <col min="8981" max="8981" width="9.109375" style="129"/>
    <col min="8982" max="8982" width="14.6640625" style="129" customWidth="1"/>
    <col min="8983" max="8988" width="9.109375" style="129"/>
    <col min="8989" max="8989" width="11.109375" style="129" customWidth="1"/>
    <col min="8990" max="9216" width="9.109375" style="129"/>
    <col min="9217" max="9217" width="15.88671875" style="129" customWidth="1"/>
    <col min="9218" max="9218" width="11.33203125" style="129" customWidth="1"/>
    <col min="9219" max="9219" width="14.109375" style="129" customWidth="1"/>
    <col min="9220" max="9220" width="13.5546875" style="129" customWidth="1"/>
    <col min="9221" max="9222" width="13.33203125" style="129" customWidth="1"/>
    <col min="9223" max="9223" width="13.109375" style="129" customWidth="1"/>
    <col min="9224" max="9224" width="13" style="129" customWidth="1"/>
    <col min="9225" max="9225" width="12.44140625" style="129" customWidth="1"/>
    <col min="9226" max="9227" width="13" style="129" customWidth="1"/>
    <col min="9228" max="9228" width="9.109375" style="129"/>
    <col min="9229" max="9229" width="31.6640625" style="129" customWidth="1"/>
    <col min="9230" max="9230" width="37.109375" style="129" customWidth="1"/>
    <col min="9231" max="9231" width="20.88671875" style="129" customWidth="1"/>
    <col min="9232" max="9232" width="17.6640625" style="129" customWidth="1"/>
    <col min="9233" max="9233" width="16.109375" style="129" customWidth="1"/>
    <col min="9234" max="9234" width="23.33203125" style="129" customWidth="1"/>
    <col min="9235" max="9235" width="16.33203125" style="129" customWidth="1"/>
    <col min="9236" max="9236" width="21.88671875" style="129" customWidth="1"/>
    <col min="9237" max="9237" width="9.109375" style="129"/>
    <col min="9238" max="9238" width="14.6640625" style="129" customWidth="1"/>
    <col min="9239" max="9244" width="9.109375" style="129"/>
    <col min="9245" max="9245" width="11.109375" style="129" customWidth="1"/>
    <col min="9246" max="9472" width="9.109375" style="129"/>
    <col min="9473" max="9473" width="15.88671875" style="129" customWidth="1"/>
    <col min="9474" max="9474" width="11.33203125" style="129" customWidth="1"/>
    <col min="9475" max="9475" width="14.109375" style="129" customWidth="1"/>
    <col min="9476" max="9476" width="13.5546875" style="129" customWidth="1"/>
    <col min="9477" max="9478" width="13.33203125" style="129" customWidth="1"/>
    <col min="9479" max="9479" width="13.109375" style="129" customWidth="1"/>
    <col min="9480" max="9480" width="13" style="129" customWidth="1"/>
    <col min="9481" max="9481" width="12.44140625" style="129" customWidth="1"/>
    <col min="9482" max="9483" width="13" style="129" customWidth="1"/>
    <col min="9484" max="9484" width="9.109375" style="129"/>
    <col min="9485" max="9485" width="31.6640625" style="129" customWidth="1"/>
    <col min="9486" max="9486" width="37.109375" style="129" customWidth="1"/>
    <col min="9487" max="9487" width="20.88671875" style="129" customWidth="1"/>
    <col min="9488" max="9488" width="17.6640625" style="129" customWidth="1"/>
    <col min="9489" max="9489" width="16.109375" style="129" customWidth="1"/>
    <col min="9490" max="9490" width="23.33203125" style="129" customWidth="1"/>
    <col min="9491" max="9491" width="16.33203125" style="129" customWidth="1"/>
    <col min="9492" max="9492" width="21.88671875" style="129" customWidth="1"/>
    <col min="9493" max="9493" width="9.109375" style="129"/>
    <col min="9494" max="9494" width="14.6640625" style="129" customWidth="1"/>
    <col min="9495" max="9500" width="9.109375" style="129"/>
    <col min="9501" max="9501" width="11.109375" style="129" customWidth="1"/>
    <col min="9502" max="9728" width="9.109375" style="129"/>
    <col min="9729" max="9729" width="15.88671875" style="129" customWidth="1"/>
    <col min="9730" max="9730" width="11.33203125" style="129" customWidth="1"/>
    <col min="9731" max="9731" width="14.109375" style="129" customWidth="1"/>
    <col min="9732" max="9732" width="13.5546875" style="129" customWidth="1"/>
    <col min="9733" max="9734" width="13.33203125" style="129" customWidth="1"/>
    <col min="9735" max="9735" width="13.109375" style="129" customWidth="1"/>
    <col min="9736" max="9736" width="13" style="129" customWidth="1"/>
    <col min="9737" max="9737" width="12.44140625" style="129" customWidth="1"/>
    <col min="9738" max="9739" width="13" style="129" customWidth="1"/>
    <col min="9740" max="9740" width="9.109375" style="129"/>
    <col min="9741" max="9741" width="31.6640625" style="129" customWidth="1"/>
    <col min="9742" max="9742" width="37.109375" style="129" customWidth="1"/>
    <col min="9743" max="9743" width="20.88671875" style="129" customWidth="1"/>
    <col min="9744" max="9744" width="17.6640625" style="129" customWidth="1"/>
    <col min="9745" max="9745" width="16.109375" style="129" customWidth="1"/>
    <col min="9746" max="9746" width="23.33203125" style="129" customWidth="1"/>
    <col min="9747" max="9747" width="16.33203125" style="129" customWidth="1"/>
    <col min="9748" max="9748" width="21.88671875" style="129" customWidth="1"/>
    <col min="9749" max="9749" width="9.109375" style="129"/>
    <col min="9750" max="9750" width="14.6640625" style="129" customWidth="1"/>
    <col min="9751" max="9756" width="9.109375" style="129"/>
    <col min="9757" max="9757" width="11.109375" style="129" customWidth="1"/>
    <col min="9758" max="9984" width="9.109375" style="129"/>
    <col min="9985" max="9985" width="15.88671875" style="129" customWidth="1"/>
    <col min="9986" max="9986" width="11.33203125" style="129" customWidth="1"/>
    <col min="9987" max="9987" width="14.109375" style="129" customWidth="1"/>
    <col min="9988" max="9988" width="13.5546875" style="129" customWidth="1"/>
    <col min="9989" max="9990" width="13.33203125" style="129" customWidth="1"/>
    <col min="9991" max="9991" width="13.109375" style="129" customWidth="1"/>
    <col min="9992" max="9992" width="13" style="129" customWidth="1"/>
    <col min="9993" max="9993" width="12.44140625" style="129" customWidth="1"/>
    <col min="9994" max="9995" width="13" style="129" customWidth="1"/>
    <col min="9996" max="9996" width="9.109375" style="129"/>
    <col min="9997" max="9997" width="31.6640625" style="129" customWidth="1"/>
    <col min="9998" max="9998" width="37.109375" style="129" customWidth="1"/>
    <col min="9999" max="9999" width="20.88671875" style="129" customWidth="1"/>
    <col min="10000" max="10000" width="17.6640625" style="129" customWidth="1"/>
    <col min="10001" max="10001" width="16.109375" style="129" customWidth="1"/>
    <col min="10002" max="10002" width="23.33203125" style="129" customWidth="1"/>
    <col min="10003" max="10003" width="16.33203125" style="129" customWidth="1"/>
    <col min="10004" max="10004" width="21.88671875" style="129" customWidth="1"/>
    <col min="10005" max="10005" width="9.109375" style="129"/>
    <col min="10006" max="10006" width="14.6640625" style="129" customWidth="1"/>
    <col min="10007" max="10012" width="9.109375" style="129"/>
    <col min="10013" max="10013" width="11.109375" style="129" customWidth="1"/>
    <col min="10014" max="10240" width="9.109375" style="129"/>
    <col min="10241" max="10241" width="15.88671875" style="129" customWidth="1"/>
    <col min="10242" max="10242" width="11.33203125" style="129" customWidth="1"/>
    <col min="10243" max="10243" width="14.109375" style="129" customWidth="1"/>
    <col min="10244" max="10244" width="13.5546875" style="129" customWidth="1"/>
    <col min="10245" max="10246" width="13.33203125" style="129" customWidth="1"/>
    <col min="10247" max="10247" width="13.109375" style="129" customWidth="1"/>
    <col min="10248" max="10248" width="13" style="129" customWidth="1"/>
    <col min="10249" max="10249" width="12.44140625" style="129" customWidth="1"/>
    <col min="10250" max="10251" width="13" style="129" customWidth="1"/>
    <col min="10252" max="10252" width="9.109375" style="129"/>
    <col min="10253" max="10253" width="31.6640625" style="129" customWidth="1"/>
    <col min="10254" max="10254" width="37.109375" style="129" customWidth="1"/>
    <col min="10255" max="10255" width="20.88671875" style="129" customWidth="1"/>
    <col min="10256" max="10256" width="17.6640625" style="129" customWidth="1"/>
    <col min="10257" max="10257" width="16.109375" style="129" customWidth="1"/>
    <col min="10258" max="10258" width="23.33203125" style="129" customWidth="1"/>
    <col min="10259" max="10259" width="16.33203125" style="129" customWidth="1"/>
    <col min="10260" max="10260" width="21.88671875" style="129" customWidth="1"/>
    <col min="10261" max="10261" width="9.109375" style="129"/>
    <col min="10262" max="10262" width="14.6640625" style="129" customWidth="1"/>
    <col min="10263" max="10268" width="9.109375" style="129"/>
    <col min="10269" max="10269" width="11.109375" style="129" customWidth="1"/>
    <col min="10270" max="10496" width="9.109375" style="129"/>
    <col min="10497" max="10497" width="15.88671875" style="129" customWidth="1"/>
    <col min="10498" max="10498" width="11.33203125" style="129" customWidth="1"/>
    <col min="10499" max="10499" width="14.109375" style="129" customWidth="1"/>
    <col min="10500" max="10500" width="13.5546875" style="129" customWidth="1"/>
    <col min="10501" max="10502" width="13.33203125" style="129" customWidth="1"/>
    <col min="10503" max="10503" width="13.109375" style="129" customWidth="1"/>
    <col min="10504" max="10504" width="13" style="129" customWidth="1"/>
    <col min="10505" max="10505" width="12.44140625" style="129" customWidth="1"/>
    <col min="10506" max="10507" width="13" style="129" customWidth="1"/>
    <col min="10508" max="10508" width="9.109375" style="129"/>
    <col min="10509" max="10509" width="31.6640625" style="129" customWidth="1"/>
    <col min="10510" max="10510" width="37.109375" style="129" customWidth="1"/>
    <col min="10511" max="10511" width="20.88671875" style="129" customWidth="1"/>
    <col min="10512" max="10512" width="17.6640625" style="129" customWidth="1"/>
    <col min="10513" max="10513" width="16.109375" style="129" customWidth="1"/>
    <col min="10514" max="10514" width="23.33203125" style="129" customWidth="1"/>
    <col min="10515" max="10515" width="16.33203125" style="129" customWidth="1"/>
    <col min="10516" max="10516" width="21.88671875" style="129" customWidth="1"/>
    <col min="10517" max="10517" width="9.109375" style="129"/>
    <col min="10518" max="10518" width="14.6640625" style="129" customWidth="1"/>
    <col min="10519" max="10524" width="9.109375" style="129"/>
    <col min="10525" max="10525" width="11.109375" style="129" customWidth="1"/>
    <col min="10526" max="10752" width="9.109375" style="129"/>
    <col min="10753" max="10753" width="15.88671875" style="129" customWidth="1"/>
    <col min="10754" max="10754" width="11.33203125" style="129" customWidth="1"/>
    <col min="10755" max="10755" width="14.109375" style="129" customWidth="1"/>
    <col min="10756" max="10756" width="13.5546875" style="129" customWidth="1"/>
    <col min="10757" max="10758" width="13.33203125" style="129" customWidth="1"/>
    <col min="10759" max="10759" width="13.109375" style="129" customWidth="1"/>
    <col min="10760" max="10760" width="13" style="129" customWidth="1"/>
    <col min="10761" max="10761" width="12.44140625" style="129" customWidth="1"/>
    <col min="10762" max="10763" width="13" style="129" customWidth="1"/>
    <col min="10764" max="10764" width="9.109375" style="129"/>
    <col min="10765" max="10765" width="31.6640625" style="129" customWidth="1"/>
    <col min="10766" max="10766" width="37.109375" style="129" customWidth="1"/>
    <col min="10767" max="10767" width="20.88671875" style="129" customWidth="1"/>
    <col min="10768" max="10768" width="17.6640625" style="129" customWidth="1"/>
    <col min="10769" max="10769" width="16.109375" style="129" customWidth="1"/>
    <col min="10770" max="10770" width="23.33203125" style="129" customWidth="1"/>
    <col min="10771" max="10771" width="16.33203125" style="129" customWidth="1"/>
    <col min="10772" max="10772" width="21.88671875" style="129" customWidth="1"/>
    <col min="10773" max="10773" width="9.109375" style="129"/>
    <col min="10774" max="10774" width="14.6640625" style="129" customWidth="1"/>
    <col min="10775" max="10780" width="9.109375" style="129"/>
    <col min="10781" max="10781" width="11.109375" style="129" customWidth="1"/>
    <col min="10782" max="11008" width="9.109375" style="129"/>
    <col min="11009" max="11009" width="15.88671875" style="129" customWidth="1"/>
    <col min="11010" max="11010" width="11.33203125" style="129" customWidth="1"/>
    <col min="11011" max="11011" width="14.109375" style="129" customWidth="1"/>
    <col min="11012" max="11012" width="13.5546875" style="129" customWidth="1"/>
    <col min="11013" max="11014" width="13.33203125" style="129" customWidth="1"/>
    <col min="11015" max="11015" width="13.109375" style="129" customWidth="1"/>
    <col min="11016" max="11016" width="13" style="129" customWidth="1"/>
    <col min="11017" max="11017" width="12.44140625" style="129" customWidth="1"/>
    <col min="11018" max="11019" width="13" style="129" customWidth="1"/>
    <col min="11020" max="11020" width="9.109375" style="129"/>
    <col min="11021" max="11021" width="31.6640625" style="129" customWidth="1"/>
    <col min="11022" max="11022" width="37.109375" style="129" customWidth="1"/>
    <col min="11023" max="11023" width="20.88671875" style="129" customWidth="1"/>
    <col min="11024" max="11024" width="17.6640625" style="129" customWidth="1"/>
    <col min="11025" max="11025" width="16.109375" style="129" customWidth="1"/>
    <col min="11026" max="11026" width="23.33203125" style="129" customWidth="1"/>
    <col min="11027" max="11027" width="16.33203125" style="129" customWidth="1"/>
    <col min="11028" max="11028" width="21.88671875" style="129" customWidth="1"/>
    <col min="11029" max="11029" width="9.109375" style="129"/>
    <col min="11030" max="11030" width="14.6640625" style="129" customWidth="1"/>
    <col min="11031" max="11036" width="9.109375" style="129"/>
    <col min="11037" max="11037" width="11.109375" style="129" customWidth="1"/>
    <col min="11038" max="11264" width="9.109375" style="129"/>
    <col min="11265" max="11265" width="15.88671875" style="129" customWidth="1"/>
    <col min="11266" max="11266" width="11.33203125" style="129" customWidth="1"/>
    <col min="11267" max="11267" width="14.109375" style="129" customWidth="1"/>
    <col min="11268" max="11268" width="13.5546875" style="129" customWidth="1"/>
    <col min="11269" max="11270" width="13.33203125" style="129" customWidth="1"/>
    <col min="11271" max="11271" width="13.109375" style="129" customWidth="1"/>
    <col min="11272" max="11272" width="13" style="129" customWidth="1"/>
    <col min="11273" max="11273" width="12.44140625" style="129" customWidth="1"/>
    <col min="11274" max="11275" width="13" style="129" customWidth="1"/>
    <col min="11276" max="11276" width="9.109375" style="129"/>
    <col min="11277" max="11277" width="31.6640625" style="129" customWidth="1"/>
    <col min="11278" max="11278" width="37.109375" style="129" customWidth="1"/>
    <col min="11279" max="11279" width="20.88671875" style="129" customWidth="1"/>
    <col min="11280" max="11280" width="17.6640625" style="129" customWidth="1"/>
    <col min="11281" max="11281" width="16.109375" style="129" customWidth="1"/>
    <col min="11282" max="11282" width="23.33203125" style="129" customWidth="1"/>
    <col min="11283" max="11283" width="16.33203125" style="129" customWidth="1"/>
    <col min="11284" max="11284" width="21.88671875" style="129" customWidth="1"/>
    <col min="11285" max="11285" width="9.109375" style="129"/>
    <col min="11286" max="11286" width="14.6640625" style="129" customWidth="1"/>
    <col min="11287" max="11292" width="9.109375" style="129"/>
    <col min="11293" max="11293" width="11.109375" style="129" customWidth="1"/>
    <col min="11294" max="11520" width="9.109375" style="129"/>
    <col min="11521" max="11521" width="15.88671875" style="129" customWidth="1"/>
    <col min="11522" max="11522" width="11.33203125" style="129" customWidth="1"/>
    <col min="11523" max="11523" width="14.109375" style="129" customWidth="1"/>
    <col min="11524" max="11524" width="13.5546875" style="129" customWidth="1"/>
    <col min="11525" max="11526" width="13.33203125" style="129" customWidth="1"/>
    <col min="11527" max="11527" width="13.109375" style="129" customWidth="1"/>
    <col min="11528" max="11528" width="13" style="129" customWidth="1"/>
    <col min="11529" max="11529" width="12.44140625" style="129" customWidth="1"/>
    <col min="11530" max="11531" width="13" style="129" customWidth="1"/>
    <col min="11532" max="11532" width="9.109375" style="129"/>
    <col min="11533" max="11533" width="31.6640625" style="129" customWidth="1"/>
    <col min="11534" max="11534" width="37.109375" style="129" customWidth="1"/>
    <col min="11535" max="11535" width="20.88671875" style="129" customWidth="1"/>
    <col min="11536" max="11536" width="17.6640625" style="129" customWidth="1"/>
    <col min="11537" max="11537" width="16.109375" style="129" customWidth="1"/>
    <col min="11538" max="11538" width="23.33203125" style="129" customWidth="1"/>
    <col min="11539" max="11539" width="16.33203125" style="129" customWidth="1"/>
    <col min="11540" max="11540" width="21.88671875" style="129" customWidth="1"/>
    <col min="11541" max="11541" width="9.109375" style="129"/>
    <col min="11542" max="11542" width="14.6640625" style="129" customWidth="1"/>
    <col min="11543" max="11548" width="9.109375" style="129"/>
    <col min="11549" max="11549" width="11.109375" style="129" customWidth="1"/>
    <col min="11550" max="11776" width="9.109375" style="129"/>
    <col min="11777" max="11777" width="15.88671875" style="129" customWidth="1"/>
    <col min="11778" max="11778" width="11.33203125" style="129" customWidth="1"/>
    <col min="11779" max="11779" width="14.109375" style="129" customWidth="1"/>
    <col min="11780" max="11780" width="13.5546875" style="129" customWidth="1"/>
    <col min="11781" max="11782" width="13.33203125" style="129" customWidth="1"/>
    <col min="11783" max="11783" width="13.109375" style="129" customWidth="1"/>
    <col min="11784" max="11784" width="13" style="129" customWidth="1"/>
    <col min="11785" max="11785" width="12.44140625" style="129" customWidth="1"/>
    <col min="11786" max="11787" width="13" style="129" customWidth="1"/>
    <col min="11788" max="11788" width="9.109375" style="129"/>
    <col min="11789" max="11789" width="31.6640625" style="129" customWidth="1"/>
    <col min="11790" max="11790" width="37.109375" style="129" customWidth="1"/>
    <col min="11791" max="11791" width="20.88671875" style="129" customWidth="1"/>
    <col min="11792" max="11792" width="17.6640625" style="129" customWidth="1"/>
    <col min="11793" max="11793" width="16.109375" style="129" customWidth="1"/>
    <col min="11794" max="11794" width="23.33203125" style="129" customWidth="1"/>
    <col min="11795" max="11795" width="16.33203125" style="129" customWidth="1"/>
    <col min="11796" max="11796" width="21.88671875" style="129" customWidth="1"/>
    <col min="11797" max="11797" width="9.109375" style="129"/>
    <col min="11798" max="11798" width="14.6640625" style="129" customWidth="1"/>
    <col min="11799" max="11804" width="9.109375" style="129"/>
    <col min="11805" max="11805" width="11.109375" style="129" customWidth="1"/>
    <col min="11806" max="12032" width="9.109375" style="129"/>
    <col min="12033" max="12033" width="15.88671875" style="129" customWidth="1"/>
    <col min="12034" max="12034" width="11.33203125" style="129" customWidth="1"/>
    <col min="12035" max="12035" width="14.109375" style="129" customWidth="1"/>
    <col min="12036" max="12036" width="13.5546875" style="129" customWidth="1"/>
    <col min="12037" max="12038" width="13.33203125" style="129" customWidth="1"/>
    <col min="12039" max="12039" width="13.109375" style="129" customWidth="1"/>
    <col min="12040" max="12040" width="13" style="129" customWidth="1"/>
    <col min="12041" max="12041" width="12.44140625" style="129" customWidth="1"/>
    <col min="12042" max="12043" width="13" style="129" customWidth="1"/>
    <col min="12044" max="12044" width="9.109375" style="129"/>
    <col min="12045" max="12045" width="31.6640625" style="129" customWidth="1"/>
    <col min="12046" max="12046" width="37.109375" style="129" customWidth="1"/>
    <col min="12047" max="12047" width="20.88671875" style="129" customWidth="1"/>
    <col min="12048" max="12048" width="17.6640625" style="129" customWidth="1"/>
    <col min="12049" max="12049" width="16.109375" style="129" customWidth="1"/>
    <col min="12050" max="12050" width="23.33203125" style="129" customWidth="1"/>
    <col min="12051" max="12051" width="16.33203125" style="129" customWidth="1"/>
    <col min="12052" max="12052" width="21.88671875" style="129" customWidth="1"/>
    <col min="12053" max="12053" width="9.109375" style="129"/>
    <col min="12054" max="12054" width="14.6640625" style="129" customWidth="1"/>
    <col min="12055" max="12060" width="9.109375" style="129"/>
    <col min="12061" max="12061" width="11.109375" style="129" customWidth="1"/>
    <col min="12062" max="12288" width="9.109375" style="129"/>
    <col min="12289" max="12289" width="15.88671875" style="129" customWidth="1"/>
    <col min="12290" max="12290" width="11.33203125" style="129" customWidth="1"/>
    <col min="12291" max="12291" width="14.109375" style="129" customWidth="1"/>
    <col min="12292" max="12292" width="13.5546875" style="129" customWidth="1"/>
    <col min="12293" max="12294" width="13.33203125" style="129" customWidth="1"/>
    <col min="12295" max="12295" width="13.109375" style="129" customWidth="1"/>
    <col min="12296" max="12296" width="13" style="129" customWidth="1"/>
    <col min="12297" max="12297" width="12.44140625" style="129" customWidth="1"/>
    <col min="12298" max="12299" width="13" style="129" customWidth="1"/>
    <col min="12300" max="12300" width="9.109375" style="129"/>
    <col min="12301" max="12301" width="31.6640625" style="129" customWidth="1"/>
    <col min="12302" max="12302" width="37.109375" style="129" customWidth="1"/>
    <col min="12303" max="12303" width="20.88671875" style="129" customWidth="1"/>
    <col min="12304" max="12304" width="17.6640625" style="129" customWidth="1"/>
    <col min="12305" max="12305" width="16.109375" style="129" customWidth="1"/>
    <col min="12306" max="12306" width="23.33203125" style="129" customWidth="1"/>
    <col min="12307" max="12307" width="16.33203125" style="129" customWidth="1"/>
    <col min="12308" max="12308" width="21.88671875" style="129" customWidth="1"/>
    <col min="12309" max="12309" width="9.109375" style="129"/>
    <col min="12310" max="12310" width="14.6640625" style="129" customWidth="1"/>
    <col min="12311" max="12316" width="9.109375" style="129"/>
    <col min="12317" max="12317" width="11.109375" style="129" customWidth="1"/>
    <col min="12318" max="12544" width="9.109375" style="129"/>
    <col min="12545" max="12545" width="15.88671875" style="129" customWidth="1"/>
    <col min="12546" max="12546" width="11.33203125" style="129" customWidth="1"/>
    <col min="12547" max="12547" width="14.109375" style="129" customWidth="1"/>
    <col min="12548" max="12548" width="13.5546875" style="129" customWidth="1"/>
    <col min="12549" max="12550" width="13.33203125" style="129" customWidth="1"/>
    <col min="12551" max="12551" width="13.109375" style="129" customWidth="1"/>
    <col min="12552" max="12552" width="13" style="129" customWidth="1"/>
    <col min="12553" max="12553" width="12.44140625" style="129" customWidth="1"/>
    <col min="12554" max="12555" width="13" style="129" customWidth="1"/>
    <col min="12556" max="12556" width="9.109375" style="129"/>
    <col min="12557" max="12557" width="31.6640625" style="129" customWidth="1"/>
    <col min="12558" max="12558" width="37.109375" style="129" customWidth="1"/>
    <col min="12559" max="12559" width="20.88671875" style="129" customWidth="1"/>
    <col min="12560" max="12560" width="17.6640625" style="129" customWidth="1"/>
    <col min="12561" max="12561" width="16.109375" style="129" customWidth="1"/>
    <col min="12562" max="12562" width="23.33203125" style="129" customWidth="1"/>
    <col min="12563" max="12563" width="16.33203125" style="129" customWidth="1"/>
    <col min="12564" max="12564" width="21.88671875" style="129" customWidth="1"/>
    <col min="12565" max="12565" width="9.109375" style="129"/>
    <col min="12566" max="12566" width="14.6640625" style="129" customWidth="1"/>
    <col min="12567" max="12572" width="9.109375" style="129"/>
    <col min="12573" max="12573" width="11.109375" style="129" customWidth="1"/>
    <col min="12574" max="12800" width="9.109375" style="129"/>
    <col min="12801" max="12801" width="15.88671875" style="129" customWidth="1"/>
    <col min="12802" max="12802" width="11.33203125" style="129" customWidth="1"/>
    <col min="12803" max="12803" width="14.109375" style="129" customWidth="1"/>
    <col min="12804" max="12804" width="13.5546875" style="129" customWidth="1"/>
    <col min="12805" max="12806" width="13.33203125" style="129" customWidth="1"/>
    <col min="12807" max="12807" width="13.109375" style="129" customWidth="1"/>
    <col min="12808" max="12808" width="13" style="129" customWidth="1"/>
    <col min="12809" max="12809" width="12.44140625" style="129" customWidth="1"/>
    <col min="12810" max="12811" width="13" style="129" customWidth="1"/>
    <col min="12812" max="12812" width="9.109375" style="129"/>
    <col min="12813" max="12813" width="31.6640625" style="129" customWidth="1"/>
    <col min="12814" max="12814" width="37.109375" style="129" customWidth="1"/>
    <col min="12815" max="12815" width="20.88671875" style="129" customWidth="1"/>
    <col min="12816" max="12816" width="17.6640625" style="129" customWidth="1"/>
    <col min="12817" max="12817" width="16.109375" style="129" customWidth="1"/>
    <col min="12818" max="12818" width="23.33203125" style="129" customWidth="1"/>
    <col min="12819" max="12819" width="16.33203125" style="129" customWidth="1"/>
    <col min="12820" max="12820" width="21.88671875" style="129" customWidth="1"/>
    <col min="12821" max="12821" width="9.109375" style="129"/>
    <col min="12822" max="12822" width="14.6640625" style="129" customWidth="1"/>
    <col min="12823" max="12828" width="9.109375" style="129"/>
    <col min="12829" max="12829" width="11.109375" style="129" customWidth="1"/>
    <col min="12830" max="13056" width="9.109375" style="129"/>
    <col min="13057" max="13057" width="15.88671875" style="129" customWidth="1"/>
    <col min="13058" max="13058" width="11.33203125" style="129" customWidth="1"/>
    <col min="13059" max="13059" width="14.109375" style="129" customWidth="1"/>
    <col min="13060" max="13060" width="13.5546875" style="129" customWidth="1"/>
    <col min="13061" max="13062" width="13.33203125" style="129" customWidth="1"/>
    <col min="13063" max="13063" width="13.109375" style="129" customWidth="1"/>
    <col min="13064" max="13064" width="13" style="129" customWidth="1"/>
    <col min="13065" max="13065" width="12.44140625" style="129" customWidth="1"/>
    <col min="13066" max="13067" width="13" style="129" customWidth="1"/>
    <col min="13068" max="13068" width="9.109375" style="129"/>
    <col min="13069" max="13069" width="31.6640625" style="129" customWidth="1"/>
    <col min="13070" max="13070" width="37.109375" style="129" customWidth="1"/>
    <col min="13071" max="13071" width="20.88671875" style="129" customWidth="1"/>
    <col min="13072" max="13072" width="17.6640625" style="129" customWidth="1"/>
    <col min="13073" max="13073" width="16.109375" style="129" customWidth="1"/>
    <col min="13074" max="13074" width="23.33203125" style="129" customWidth="1"/>
    <col min="13075" max="13075" width="16.33203125" style="129" customWidth="1"/>
    <col min="13076" max="13076" width="21.88671875" style="129" customWidth="1"/>
    <col min="13077" max="13077" width="9.109375" style="129"/>
    <col min="13078" max="13078" width="14.6640625" style="129" customWidth="1"/>
    <col min="13079" max="13084" width="9.109375" style="129"/>
    <col min="13085" max="13085" width="11.109375" style="129" customWidth="1"/>
    <col min="13086" max="13312" width="9.109375" style="129"/>
    <col min="13313" max="13313" width="15.88671875" style="129" customWidth="1"/>
    <col min="13314" max="13314" width="11.33203125" style="129" customWidth="1"/>
    <col min="13315" max="13315" width="14.109375" style="129" customWidth="1"/>
    <col min="13316" max="13316" width="13.5546875" style="129" customWidth="1"/>
    <col min="13317" max="13318" width="13.33203125" style="129" customWidth="1"/>
    <col min="13319" max="13319" width="13.109375" style="129" customWidth="1"/>
    <col min="13320" max="13320" width="13" style="129" customWidth="1"/>
    <col min="13321" max="13321" width="12.44140625" style="129" customWidth="1"/>
    <col min="13322" max="13323" width="13" style="129" customWidth="1"/>
    <col min="13324" max="13324" width="9.109375" style="129"/>
    <col min="13325" max="13325" width="31.6640625" style="129" customWidth="1"/>
    <col min="13326" max="13326" width="37.109375" style="129" customWidth="1"/>
    <col min="13327" max="13327" width="20.88671875" style="129" customWidth="1"/>
    <col min="13328" max="13328" width="17.6640625" style="129" customWidth="1"/>
    <col min="13329" max="13329" width="16.109375" style="129" customWidth="1"/>
    <col min="13330" max="13330" width="23.33203125" style="129" customWidth="1"/>
    <col min="13331" max="13331" width="16.33203125" style="129" customWidth="1"/>
    <col min="13332" max="13332" width="21.88671875" style="129" customWidth="1"/>
    <col min="13333" max="13333" width="9.109375" style="129"/>
    <col min="13334" max="13334" width="14.6640625" style="129" customWidth="1"/>
    <col min="13335" max="13340" width="9.109375" style="129"/>
    <col min="13341" max="13341" width="11.109375" style="129" customWidth="1"/>
    <col min="13342" max="13568" width="9.109375" style="129"/>
    <col min="13569" max="13569" width="15.88671875" style="129" customWidth="1"/>
    <col min="13570" max="13570" width="11.33203125" style="129" customWidth="1"/>
    <col min="13571" max="13571" width="14.109375" style="129" customWidth="1"/>
    <col min="13572" max="13572" width="13.5546875" style="129" customWidth="1"/>
    <col min="13573" max="13574" width="13.33203125" style="129" customWidth="1"/>
    <col min="13575" max="13575" width="13.109375" style="129" customWidth="1"/>
    <col min="13576" max="13576" width="13" style="129" customWidth="1"/>
    <col min="13577" max="13577" width="12.44140625" style="129" customWidth="1"/>
    <col min="13578" max="13579" width="13" style="129" customWidth="1"/>
    <col min="13580" max="13580" width="9.109375" style="129"/>
    <col min="13581" max="13581" width="31.6640625" style="129" customWidth="1"/>
    <col min="13582" max="13582" width="37.109375" style="129" customWidth="1"/>
    <col min="13583" max="13583" width="20.88671875" style="129" customWidth="1"/>
    <col min="13584" max="13584" width="17.6640625" style="129" customWidth="1"/>
    <col min="13585" max="13585" width="16.109375" style="129" customWidth="1"/>
    <col min="13586" max="13586" width="23.33203125" style="129" customWidth="1"/>
    <col min="13587" max="13587" width="16.33203125" style="129" customWidth="1"/>
    <col min="13588" max="13588" width="21.88671875" style="129" customWidth="1"/>
    <col min="13589" max="13589" width="9.109375" style="129"/>
    <col min="13590" max="13590" width="14.6640625" style="129" customWidth="1"/>
    <col min="13591" max="13596" width="9.109375" style="129"/>
    <col min="13597" max="13597" width="11.109375" style="129" customWidth="1"/>
    <col min="13598" max="13824" width="9.109375" style="129"/>
    <col min="13825" max="13825" width="15.88671875" style="129" customWidth="1"/>
    <col min="13826" max="13826" width="11.33203125" style="129" customWidth="1"/>
    <col min="13827" max="13827" width="14.109375" style="129" customWidth="1"/>
    <col min="13828" max="13828" width="13.5546875" style="129" customWidth="1"/>
    <col min="13829" max="13830" width="13.33203125" style="129" customWidth="1"/>
    <col min="13831" max="13831" width="13.109375" style="129" customWidth="1"/>
    <col min="13832" max="13832" width="13" style="129" customWidth="1"/>
    <col min="13833" max="13833" width="12.44140625" style="129" customWidth="1"/>
    <col min="13834" max="13835" width="13" style="129" customWidth="1"/>
    <col min="13836" max="13836" width="9.109375" style="129"/>
    <col min="13837" max="13837" width="31.6640625" style="129" customWidth="1"/>
    <col min="13838" max="13838" width="37.109375" style="129" customWidth="1"/>
    <col min="13839" max="13839" width="20.88671875" style="129" customWidth="1"/>
    <col min="13840" max="13840" width="17.6640625" style="129" customWidth="1"/>
    <col min="13841" max="13841" width="16.109375" style="129" customWidth="1"/>
    <col min="13842" max="13842" width="23.33203125" style="129" customWidth="1"/>
    <col min="13843" max="13843" width="16.33203125" style="129" customWidth="1"/>
    <col min="13844" max="13844" width="21.88671875" style="129" customWidth="1"/>
    <col min="13845" max="13845" width="9.109375" style="129"/>
    <col min="13846" max="13846" width="14.6640625" style="129" customWidth="1"/>
    <col min="13847" max="13852" width="9.109375" style="129"/>
    <col min="13853" max="13853" width="11.109375" style="129" customWidth="1"/>
    <col min="13854" max="14080" width="9.109375" style="129"/>
    <col min="14081" max="14081" width="15.88671875" style="129" customWidth="1"/>
    <col min="14082" max="14082" width="11.33203125" style="129" customWidth="1"/>
    <col min="14083" max="14083" width="14.109375" style="129" customWidth="1"/>
    <col min="14084" max="14084" width="13.5546875" style="129" customWidth="1"/>
    <col min="14085" max="14086" width="13.33203125" style="129" customWidth="1"/>
    <col min="14087" max="14087" width="13.109375" style="129" customWidth="1"/>
    <col min="14088" max="14088" width="13" style="129" customWidth="1"/>
    <col min="14089" max="14089" width="12.44140625" style="129" customWidth="1"/>
    <col min="14090" max="14091" width="13" style="129" customWidth="1"/>
    <col min="14092" max="14092" width="9.109375" style="129"/>
    <col min="14093" max="14093" width="31.6640625" style="129" customWidth="1"/>
    <col min="14094" max="14094" width="37.109375" style="129" customWidth="1"/>
    <col min="14095" max="14095" width="20.88671875" style="129" customWidth="1"/>
    <col min="14096" max="14096" width="17.6640625" style="129" customWidth="1"/>
    <col min="14097" max="14097" width="16.109375" style="129" customWidth="1"/>
    <col min="14098" max="14098" width="23.33203125" style="129" customWidth="1"/>
    <col min="14099" max="14099" width="16.33203125" style="129" customWidth="1"/>
    <col min="14100" max="14100" width="21.88671875" style="129" customWidth="1"/>
    <col min="14101" max="14101" width="9.109375" style="129"/>
    <col min="14102" max="14102" width="14.6640625" style="129" customWidth="1"/>
    <col min="14103" max="14108" width="9.109375" style="129"/>
    <col min="14109" max="14109" width="11.109375" style="129" customWidth="1"/>
    <col min="14110" max="14336" width="9.109375" style="129"/>
    <col min="14337" max="14337" width="15.88671875" style="129" customWidth="1"/>
    <col min="14338" max="14338" width="11.33203125" style="129" customWidth="1"/>
    <col min="14339" max="14339" width="14.109375" style="129" customWidth="1"/>
    <col min="14340" max="14340" width="13.5546875" style="129" customWidth="1"/>
    <col min="14341" max="14342" width="13.33203125" style="129" customWidth="1"/>
    <col min="14343" max="14343" width="13.109375" style="129" customWidth="1"/>
    <col min="14344" max="14344" width="13" style="129" customWidth="1"/>
    <col min="14345" max="14345" width="12.44140625" style="129" customWidth="1"/>
    <col min="14346" max="14347" width="13" style="129" customWidth="1"/>
    <col min="14348" max="14348" width="9.109375" style="129"/>
    <col min="14349" max="14349" width="31.6640625" style="129" customWidth="1"/>
    <col min="14350" max="14350" width="37.109375" style="129" customWidth="1"/>
    <col min="14351" max="14351" width="20.88671875" style="129" customWidth="1"/>
    <col min="14352" max="14352" width="17.6640625" style="129" customWidth="1"/>
    <col min="14353" max="14353" width="16.109375" style="129" customWidth="1"/>
    <col min="14354" max="14354" width="23.33203125" style="129" customWidth="1"/>
    <col min="14355" max="14355" width="16.33203125" style="129" customWidth="1"/>
    <col min="14356" max="14356" width="21.88671875" style="129" customWidth="1"/>
    <col min="14357" max="14357" width="9.109375" style="129"/>
    <col min="14358" max="14358" width="14.6640625" style="129" customWidth="1"/>
    <col min="14359" max="14364" width="9.109375" style="129"/>
    <col min="14365" max="14365" width="11.109375" style="129" customWidth="1"/>
    <col min="14366" max="14592" width="9.109375" style="129"/>
    <col min="14593" max="14593" width="15.88671875" style="129" customWidth="1"/>
    <col min="14594" max="14594" width="11.33203125" style="129" customWidth="1"/>
    <col min="14595" max="14595" width="14.109375" style="129" customWidth="1"/>
    <col min="14596" max="14596" width="13.5546875" style="129" customWidth="1"/>
    <col min="14597" max="14598" width="13.33203125" style="129" customWidth="1"/>
    <col min="14599" max="14599" width="13.109375" style="129" customWidth="1"/>
    <col min="14600" max="14600" width="13" style="129" customWidth="1"/>
    <col min="14601" max="14601" width="12.44140625" style="129" customWidth="1"/>
    <col min="14602" max="14603" width="13" style="129" customWidth="1"/>
    <col min="14604" max="14604" width="9.109375" style="129"/>
    <col min="14605" max="14605" width="31.6640625" style="129" customWidth="1"/>
    <col min="14606" max="14606" width="37.109375" style="129" customWidth="1"/>
    <col min="14607" max="14607" width="20.88671875" style="129" customWidth="1"/>
    <col min="14608" max="14608" width="17.6640625" style="129" customWidth="1"/>
    <col min="14609" max="14609" width="16.109375" style="129" customWidth="1"/>
    <col min="14610" max="14610" width="23.33203125" style="129" customWidth="1"/>
    <col min="14611" max="14611" width="16.33203125" style="129" customWidth="1"/>
    <col min="14612" max="14612" width="21.88671875" style="129" customWidth="1"/>
    <col min="14613" max="14613" width="9.109375" style="129"/>
    <col min="14614" max="14614" width="14.6640625" style="129" customWidth="1"/>
    <col min="14615" max="14620" width="9.109375" style="129"/>
    <col min="14621" max="14621" width="11.109375" style="129" customWidth="1"/>
    <col min="14622" max="14848" width="9.109375" style="129"/>
    <col min="14849" max="14849" width="15.88671875" style="129" customWidth="1"/>
    <col min="14850" max="14850" width="11.33203125" style="129" customWidth="1"/>
    <col min="14851" max="14851" width="14.109375" style="129" customWidth="1"/>
    <col min="14852" max="14852" width="13.5546875" style="129" customWidth="1"/>
    <col min="14853" max="14854" width="13.33203125" style="129" customWidth="1"/>
    <col min="14855" max="14855" width="13.109375" style="129" customWidth="1"/>
    <col min="14856" max="14856" width="13" style="129" customWidth="1"/>
    <col min="14857" max="14857" width="12.44140625" style="129" customWidth="1"/>
    <col min="14858" max="14859" width="13" style="129" customWidth="1"/>
    <col min="14860" max="14860" width="9.109375" style="129"/>
    <col min="14861" max="14861" width="31.6640625" style="129" customWidth="1"/>
    <col min="14862" max="14862" width="37.109375" style="129" customWidth="1"/>
    <col min="14863" max="14863" width="20.88671875" style="129" customWidth="1"/>
    <col min="14864" max="14864" width="17.6640625" style="129" customWidth="1"/>
    <col min="14865" max="14865" width="16.109375" style="129" customWidth="1"/>
    <col min="14866" max="14866" width="23.33203125" style="129" customWidth="1"/>
    <col min="14867" max="14867" width="16.33203125" style="129" customWidth="1"/>
    <col min="14868" max="14868" width="21.88671875" style="129" customWidth="1"/>
    <col min="14869" max="14869" width="9.109375" style="129"/>
    <col min="14870" max="14870" width="14.6640625" style="129" customWidth="1"/>
    <col min="14871" max="14876" width="9.109375" style="129"/>
    <col min="14877" max="14877" width="11.109375" style="129" customWidth="1"/>
    <col min="14878" max="15104" width="9.109375" style="129"/>
    <col min="15105" max="15105" width="15.88671875" style="129" customWidth="1"/>
    <col min="15106" max="15106" width="11.33203125" style="129" customWidth="1"/>
    <col min="15107" max="15107" width="14.109375" style="129" customWidth="1"/>
    <col min="15108" max="15108" width="13.5546875" style="129" customWidth="1"/>
    <col min="15109" max="15110" width="13.33203125" style="129" customWidth="1"/>
    <col min="15111" max="15111" width="13.109375" style="129" customWidth="1"/>
    <col min="15112" max="15112" width="13" style="129" customWidth="1"/>
    <col min="15113" max="15113" width="12.44140625" style="129" customWidth="1"/>
    <col min="15114" max="15115" width="13" style="129" customWidth="1"/>
    <col min="15116" max="15116" width="9.109375" style="129"/>
    <col min="15117" max="15117" width="31.6640625" style="129" customWidth="1"/>
    <col min="15118" max="15118" width="37.109375" style="129" customWidth="1"/>
    <col min="15119" max="15119" width="20.88671875" style="129" customWidth="1"/>
    <col min="15120" max="15120" width="17.6640625" style="129" customWidth="1"/>
    <col min="15121" max="15121" width="16.109375" style="129" customWidth="1"/>
    <col min="15122" max="15122" width="23.33203125" style="129" customWidth="1"/>
    <col min="15123" max="15123" width="16.33203125" style="129" customWidth="1"/>
    <col min="15124" max="15124" width="21.88671875" style="129" customWidth="1"/>
    <col min="15125" max="15125" width="9.109375" style="129"/>
    <col min="15126" max="15126" width="14.6640625" style="129" customWidth="1"/>
    <col min="15127" max="15132" width="9.109375" style="129"/>
    <col min="15133" max="15133" width="11.109375" style="129" customWidth="1"/>
    <col min="15134" max="15360" width="9.109375" style="129"/>
    <col min="15361" max="15361" width="15.88671875" style="129" customWidth="1"/>
    <col min="15362" max="15362" width="11.33203125" style="129" customWidth="1"/>
    <col min="15363" max="15363" width="14.109375" style="129" customWidth="1"/>
    <col min="15364" max="15364" width="13.5546875" style="129" customWidth="1"/>
    <col min="15365" max="15366" width="13.33203125" style="129" customWidth="1"/>
    <col min="15367" max="15367" width="13.109375" style="129" customWidth="1"/>
    <col min="15368" max="15368" width="13" style="129" customWidth="1"/>
    <col min="15369" max="15369" width="12.44140625" style="129" customWidth="1"/>
    <col min="15370" max="15371" width="13" style="129" customWidth="1"/>
    <col min="15372" max="15372" width="9.109375" style="129"/>
    <col min="15373" max="15373" width="31.6640625" style="129" customWidth="1"/>
    <col min="15374" max="15374" width="37.109375" style="129" customWidth="1"/>
    <col min="15375" max="15375" width="20.88671875" style="129" customWidth="1"/>
    <col min="15376" max="15376" width="17.6640625" style="129" customWidth="1"/>
    <col min="15377" max="15377" width="16.109375" style="129" customWidth="1"/>
    <col min="15378" max="15378" width="23.33203125" style="129" customWidth="1"/>
    <col min="15379" max="15379" width="16.33203125" style="129" customWidth="1"/>
    <col min="15380" max="15380" width="21.88671875" style="129" customWidth="1"/>
    <col min="15381" max="15381" width="9.109375" style="129"/>
    <col min="15382" max="15382" width="14.6640625" style="129" customWidth="1"/>
    <col min="15383" max="15388" width="9.109375" style="129"/>
    <col min="15389" max="15389" width="11.109375" style="129" customWidth="1"/>
    <col min="15390" max="15616" width="9.109375" style="129"/>
    <col min="15617" max="15617" width="15.88671875" style="129" customWidth="1"/>
    <col min="15618" max="15618" width="11.33203125" style="129" customWidth="1"/>
    <col min="15619" max="15619" width="14.109375" style="129" customWidth="1"/>
    <col min="15620" max="15620" width="13.5546875" style="129" customWidth="1"/>
    <col min="15621" max="15622" width="13.33203125" style="129" customWidth="1"/>
    <col min="15623" max="15623" width="13.109375" style="129" customWidth="1"/>
    <col min="15624" max="15624" width="13" style="129" customWidth="1"/>
    <col min="15625" max="15625" width="12.44140625" style="129" customWidth="1"/>
    <col min="15626" max="15627" width="13" style="129" customWidth="1"/>
    <col min="15628" max="15628" width="9.109375" style="129"/>
    <col min="15629" max="15629" width="31.6640625" style="129" customWidth="1"/>
    <col min="15630" max="15630" width="37.109375" style="129" customWidth="1"/>
    <col min="15631" max="15631" width="20.88671875" style="129" customWidth="1"/>
    <col min="15632" max="15632" width="17.6640625" style="129" customWidth="1"/>
    <col min="15633" max="15633" width="16.109375" style="129" customWidth="1"/>
    <col min="15634" max="15634" width="23.33203125" style="129" customWidth="1"/>
    <col min="15635" max="15635" width="16.33203125" style="129" customWidth="1"/>
    <col min="15636" max="15636" width="21.88671875" style="129" customWidth="1"/>
    <col min="15637" max="15637" width="9.109375" style="129"/>
    <col min="15638" max="15638" width="14.6640625" style="129" customWidth="1"/>
    <col min="15639" max="15644" width="9.109375" style="129"/>
    <col min="15645" max="15645" width="11.109375" style="129" customWidth="1"/>
    <col min="15646" max="15872" width="9.109375" style="129"/>
    <col min="15873" max="15873" width="15.88671875" style="129" customWidth="1"/>
    <col min="15874" max="15874" width="11.33203125" style="129" customWidth="1"/>
    <col min="15875" max="15875" width="14.109375" style="129" customWidth="1"/>
    <col min="15876" max="15876" width="13.5546875" style="129" customWidth="1"/>
    <col min="15877" max="15878" width="13.33203125" style="129" customWidth="1"/>
    <col min="15879" max="15879" width="13.109375" style="129" customWidth="1"/>
    <col min="15880" max="15880" width="13" style="129" customWidth="1"/>
    <col min="15881" max="15881" width="12.44140625" style="129" customWidth="1"/>
    <col min="15882" max="15883" width="13" style="129" customWidth="1"/>
    <col min="15884" max="15884" width="9.109375" style="129"/>
    <col min="15885" max="15885" width="31.6640625" style="129" customWidth="1"/>
    <col min="15886" max="15886" width="37.109375" style="129" customWidth="1"/>
    <col min="15887" max="15887" width="20.88671875" style="129" customWidth="1"/>
    <col min="15888" max="15888" width="17.6640625" style="129" customWidth="1"/>
    <col min="15889" max="15889" width="16.109375" style="129" customWidth="1"/>
    <col min="15890" max="15890" width="23.33203125" style="129" customWidth="1"/>
    <col min="15891" max="15891" width="16.33203125" style="129" customWidth="1"/>
    <col min="15892" max="15892" width="21.88671875" style="129" customWidth="1"/>
    <col min="15893" max="15893" width="9.109375" style="129"/>
    <col min="15894" max="15894" width="14.6640625" style="129" customWidth="1"/>
    <col min="15895" max="15900" width="9.109375" style="129"/>
    <col min="15901" max="15901" width="11.109375" style="129" customWidth="1"/>
    <col min="15902" max="16128" width="9.109375" style="129"/>
    <col min="16129" max="16129" width="15.88671875" style="129" customWidth="1"/>
    <col min="16130" max="16130" width="11.33203125" style="129" customWidth="1"/>
    <col min="16131" max="16131" width="14.109375" style="129" customWidth="1"/>
    <col min="16132" max="16132" width="13.5546875" style="129" customWidth="1"/>
    <col min="16133" max="16134" width="13.33203125" style="129" customWidth="1"/>
    <col min="16135" max="16135" width="13.109375" style="129" customWidth="1"/>
    <col min="16136" max="16136" width="13" style="129" customWidth="1"/>
    <col min="16137" max="16137" width="12.44140625" style="129" customWidth="1"/>
    <col min="16138" max="16139" width="13" style="129" customWidth="1"/>
    <col min="16140" max="16140" width="9.109375" style="129"/>
    <col min="16141" max="16141" width="31.6640625" style="129" customWidth="1"/>
    <col min="16142" max="16142" width="37.109375" style="129" customWidth="1"/>
    <col min="16143" max="16143" width="20.88671875" style="129" customWidth="1"/>
    <col min="16144" max="16144" width="17.6640625" style="129" customWidth="1"/>
    <col min="16145" max="16145" width="16.109375" style="129" customWidth="1"/>
    <col min="16146" max="16146" width="23.33203125" style="129" customWidth="1"/>
    <col min="16147" max="16147" width="16.33203125" style="129" customWidth="1"/>
    <col min="16148" max="16148" width="21.88671875" style="129" customWidth="1"/>
    <col min="16149" max="16149" width="9.109375" style="129"/>
    <col min="16150" max="16150" width="14.6640625" style="129" customWidth="1"/>
    <col min="16151" max="16156" width="9.109375" style="129"/>
    <col min="16157" max="16157" width="11.109375" style="129" customWidth="1"/>
    <col min="16158" max="16384" width="9.109375" style="129"/>
  </cols>
  <sheetData>
    <row r="1" spans="1:9" x14ac:dyDescent="0.25">
      <c r="A1" s="129" t="s">
        <v>541</v>
      </c>
      <c r="E1" s="129" t="s">
        <v>542</v>
      </c>
    </row>
    <row r="3" spans="1:9" x14ac:dyDescent="0.25">
      <c r="A3" s="129" t="s">
        <v>5593</v>
      </c>
      <c r="B3" s="129" t="s">
        <v>5595</v>
      </c>
    </row>
    <row r="4" spans="1:9" x14ac:dyDescent="0.25">
      <c r="A4" s="129" t="s">
        <v>5594</v>
      </c>
      <c r="B4" s="129" t="s">
        <v>549</v>
      </c>
    </row>
    <row r="6" spans="1:9" x14ac:dyDescent="0.25">
      <c r="C6" s="129" t="s">
        <v>550</v>
      </c>
      <c r="D6" s="129" t="s">
        <v>551</v>
      </c>
      <c r="E6" s="129" t="s">
        <v>552</v>
      </c>
      <c r="F6" s="129" t="s">
        <v>553</v>
      </c>
      <c r="G6" s="129" t="s">
        <v>580</v>
      </c>
      <c r="H6" s="129" t="s">
        <v>555</v>
      </c>
      <c r="I6" s="129" t="s">
        <v>556</v>
      </c>
    </row>
    <row r="7" spans="1:9" x14ac:dyDescent="0.25">
      <c r="B7" s="129" t="s">
        <v>327</v>
      </c>
      <c r="C7" s="130">
        <v>0.1673611111111111</v>
      </c>
      <c r="D7" s="130">
        <v>4.3750000000000004E-2</v>
      </c>
      <c r="E7" s="130">
        <v>4.5138888888888888E-2</v>
      </c>
      <c r="F7" s="130">
        <v>0.16805555555555554</v>
      </c>
      <c r="G7" s="130">
        <v>0.42430555555555555</v>
      </c>
      <c r="H7" s="130">
        <v>0.25416666666666665</v>
      </c>
      <c r="I7" s="392" t="s">
        <v>558</v>
      </c>
    </row>
    <row r="8" spans="1:9" x14ac:dyDescent="0.25">
      <c r="B8" s="129" t="s">
        <v>325</v>
      </c>
      <c r="C8" s="130">
        <v>0.16805555555555554</v>
      </c>
      <c r="D8" s="130">
        <v>0.13055555555555556</v>
      </c>
      <c r="E8" s="130">
        <v>4.3750000000000004E-2</v>
      </c>
      <c r="F8" s="637">
        <v>0.12916666666666668</v>
      </c>
      <c r="G8" s="130">
        <v>0.47152777777777777</v>
      </c>
      <c r="H8" s="130">
        <v>0.13125000000000001</v>
      </c>
      <c r="I8" s="392" t="s">
        <v>558</v>
      </c>
    </row>
    <row r="9" spans="1:9" x14ac:dyDescent="0.25">
      <c r="B9" s="129" t="s">
        <v>328</v>
      </c>
      <c r="C9" s="130">
        <v>0.25208333333333333</v>
      </c>
      <c r="D9" s="130">
        <v>0.21111111111111111</v>
      </c>
      <c r="E9" s="130">
        <v>8.7500000000000008E-2</v>
      </c>
      <c r="F9" s="637">
        <v>4.5138888888888888E-2</v>
      </c>
      <c r="G9" s="130">
        <v>0.59583333333333333</v>
      </c>
      <c r="H9" s="130">
        <v>0.25416666666666665</v>
      </c>
      <c r="I9" s="392" t="s">
        <v>558</v>
      </c>
    </row>
    <row r="10" spans="1:9" x14ac:dyDescent="0.25">
      <c r="B10" s="129" t="s">
        <v>1274</v>
      </c>
      <c r="C10" s="130">
        <v>1.3888888888888889E-3</v>
      </c>
      <c r="D10" s="130" t="s">
        <v>590</v>
      </c>
      <c r="E10" s="130" t="s">
        <v>352</v>
      </c>
      <c r="F10" s="130">
        <v>0.20902777777777778</v>
      </c>
      <c r="G10" s="130">
        <v>0.5493055555555556</v>
      </c>
      <c r="H10" s="130">
        <v>0.25416666666666665</v>
      </c>
      <c r="I10" s="160" t="s">
        <v>557</v>
      </c>
    </row>
    <row r="11" spans="1:9" x14ac:dyDescent="0.25">
      <c r="B11" s="129" t="s">
        <v>334</v>
      </c>
      <c r="C11" s="130">
        <v>0.25277777777777777</v>
      </c>
      <c r="D11" s="130">
        <v>0.20972222222222223</v>
      </c>
      <c r="E11" s="130" t="s">
        <v>351</v>
      </c>
      <c r="F11" s="130">
        <v>8.6805555555555566E-2</v>
      </c>
      <c r="G11" s="130">
        <v>0.67569444444444438</v>
      </c>
      <c r="H11" s="130">
        <v>0.33611111111111108</v>
      </c>
      <c r="I11" s="160" t="s">
        <v>557</v>
      </c>
    </row>
    <row r="12" spans="1:9" x14ac:dyDescent="0.25">
      <c r="B12" s="129" t="s">
        <v>610</v>
      </c>
      <c r="C12" s="130">
        <v>0.1673611111111111</v>
      </c>
      <c r="D12" s="130">
        <v>0.25208333333333333</v>
      </c>
      <c r="E12" s="130">
        <v>8.6805555555555566E-2</v>
      </c>
      <c r="F12" s="637">
        <v>8.7500000000000008E-2</v>
      </c>
      <c r="G12" s="130">
        <v>0.59375</v>
      </c>
      <c r="H12" s="130">
        <v>0.25416666666666665</v>
      </c>
      <c r="I12" s="392" t="s">
        <v>558</v>
      </c>
    </row>
    <row r="13" spans="1:9" x14ac:dyDescent="0.25">
      <c r="B13" s="129" t="s">
        <v>626</v>
      </c>
      <c r="C13" s="130" t="s">
        <v>589</v>
      </c>
      <c r="D13" s="130">
        <v>0.1673611111111111</v>
      </c>
      <c r="E13" s="130">
        <v>4.3055555555555562E-2</v>
      </c>
      <c r="F13" s="637" t="s">
        <v>159</v>
      </c>
      <c r="G13" s="130">
        <v>0.42222222222222222</v>
      </c>
      <c r="H13" s="130">
        <v>0.25416666666666665</v>
      </c>
      <c r="I13" s="160" t="s">
        <v>557</v>
      </c>
    </row>
    <row r="14" spans="1:9" x14ac:dyDescent="0.25">
      <c r="B14" s="129" t="s">
        <v>331</v>
      </c>
      <c r="C14" s="130">
        <v>0.16805555555555554</v>
      </c>
      <c r="D14" s="130" t="s">
        <v>161</v>
      </c>
      <c r="E14" s="130">
        <v>8.6805555555555566E-2</v>
      </c>
      <c r="F14" s="130">
        <v>0.21041666666666667</v>
      </c>
      <c r="G14" s="130">
        <v>0.55069444444444449</v>
      </c>
      <c r="H14" s="130">
        <v>0.2951388888888889</v>
      </c>
      <c r="I14" s="160" t="s">
        <v>557</v>
      </c>
    </row>
    <row r="15" spans="1:9" x14ac:dyDescent="0.25">
      <c r="B15" s="129" t="s">
        <v>6179</v>
      </c>
      <c r="C15" s="130">
        <v>0.25208333333333333</v>
      </c>
      <c r="D15" s="637">
        <v>8.5416666666666655E-2</v>
      </c>
      <c r="E15" s="130">
        <v>0.12638888888888888</v>
      </c>
      <c r="F15" s="637">
        <v>4.3750000000000004E-2</v>
      </c>
      <c r="G15" s="130">
        <v>0.50763888888888886</v>
      </c>
      <c r="H15" s="130">
        <v>0.25416666666666665</v>
      </c>
      <c r="I15" s="160" t="s">
        <v>557</v>
      </c>
    </row>
    <row r="16" spans="1:9" x14ac:dyDescent="0.25">
      <c r="B16" s="129" t="s">
        <v>6076</v>
      </c>
      <c r="C16" s="130">
        <v>0.25277777777777777</v>
      </c>
      <c r="D16" s="130">
        <v>4.5833333333333337E-2</v>
      </c>
      <c r="E16" s="130">
        <v>0.1673611111111111</v>
      </c>
      <c r="F16" s="637" t="s">
        <v>589</v>
      </c>
      <c r="G16" s="130">
        <v>0.50902777777777775</v>
      </c>
      <c r="H16" s="130">
        <v>0.2951388888888889</v>
      </c>
      <c r="I16" s="160" t="s">
        <v>557</v>
      </c>
    </row>
    <row r="17" spans="1:9" x14ac:dyDescent="0.25">
      <c r="B17" s="129" t="s">
        <v>6086</v>
      </c>
      <c r="C17" s="130">
        <v>0.20972222222222223</v>
      </c>
      <c r="D17" s="130">
        <v>0.25069444444444444</v>
      </c>
      <c r="E17" s="130">
        <v>3.472222222222222E-3</v>
      </c>
      <c r="F17" s="637">
        <v>0.12638888888888888</v>
      </c>
      <c r="G17" s="130">
        <v>0.59027777777777779</v>
      </c>
      <c r="H17" s="130">
        <v>0.37708333333333338</v>
      </c>
      <c r="I17" s="160" t="s">
        <v>557</v>
      </c>
    </row>
    <row r="18" spans="1:9" x14ac:dyDescent="0.25">
      <c r="B18" s="129" t="s">
        <v>6091</v>
      </c>
      <c r="C18" s="130">
        <v>0.16874999999999998</v>
      </c>
      <c r="D18" s="130" t="s">
        <v>164</v>
      </c>
      <c r="E18" s="130">
        <v>6.9444444444444447E-4</v>
      </c>
      <c r="F18" s="130">
        <v>0.29444444444444445</v>
      </c>
      <c r="G18" s="130">
        <v>0.63263888888888886</v>
      </c>
      <c r="H18" s="130">
        <v>0.33611111111111108</v>
      </c>
      <c r="I18" s="160" t="s">
        <v>557</v>
      </c>
    </row>
    <row r="19" spans="1:9" x14ac:dyDescent="0.25">
      <c r="B19" s="129" t="s">
        <v>332</v>
      </c>
      <c r="C19" s="130" t="s">
        <v>601</v>
      </c>
      <c r="D19" s="130">
        <v>0.16874999999999998</v>
      </c>
      <c r="E19" s="130">
        <v>2.0833333333333333E-3</v>
      </c>
      <c r="F19" s="637">
        <v>1.3888888888888889E-3</v>
      </c>
      <c r="G19" s="130">
        <v>0.3833333333333333</v>
      </c>
      <c r="H19" s="130">
        <v>0.21319444444444444</v>
      </c>
      <c r="I19" s="392" t="s">
        <v>558</v>
      </c>
    </row>
    <row r="25" spans="1:9" x14ac:dyDescent="0.25">
      <c r="A25" s="129" t="s">
        <v>4712</v>
      </c>
      <c r="B25" s="129" t="s">
        <v>617</v>
      </c>
    </row>
    <row r="26" spans="1:9" x14ac:dyDescent="0.25">
      <c r="A26" s="129" t="s">
        <v>618</v>
      </c>
      <c r="B26" s="129" t="s">
        <v>549</v>
      </c>
    </row>
    <row r="28" spans="1:9" x14ac:dyDescent="0.25">
      <c r="C28" s="129" t="s">
        <v>550</v>
      </c>
      <c r="D28" s="129" t="s">
        <v>551</v>
      </c>
      <c r="E28" s="129" t="s">
        <v>552</v>
      </c>
      <c r="F28" s="129" t="s">
        <v>553</v>
      </c>
      <c r="G28" s="129" t="s">
        <v>580</v>
      </c>
      <c r="H28" s="129" t="s">
        <v>555</v>
      </c>
      <c r="I28" s="129" t="s">
        <v>556</v>
      </c>
    </row>
    <row r="29" spans="1:9" x14ac:dyDescent="0.25">
      <c r="B29" s="129" t="s">
        <v>327</v>
      </c>
      <c r="C29" s="130" t="s">
        <v>158</v>
      </c>
      <c r="D29" s="130">
        <v>4.3055555555555562E-2</v>
      </c>
      <c r="E29" s="130">
        <v>6.9444444444444447E-4</v>
      </c>
      <c r="F29" s="130" t="s">
        <v>352</v>
      </c>
      <c r="G29" s="130">
        <v>0.17083333333333331</v>
      </c>
      <c r="H29" s="130">
        <v>0.13125000000000001</v>
      </c>
      <c r="I29" s="392" t="s">
        <v>558</v>
      </c>
    </row>
    <row r="30" spans="1:9" x14ac:dyDescent="0.25">
      <c r="B30" s="129" t="s">
        <v>325</v>
      </c>
      <c r="C30" s="130">
        <v>0.16666666666666666</v>
      </c>
      <c r="D30" s="130">
        <v>0.20972222222222223</v>
      </c>
      <c r="E30" s="130">
        <v>2.0833333333333333E-3</v>
      </c>
      <c r="F30" s="637">
        <v>8.5416666666666655E-2</v>
      </c>
      <c r="G30" s="130">
        <v>0.46388888888888885</v>
      </c>
      <c r="H30" s="130">
        <v>0.25416666666666665</v>
      </c>
      <c r="I30" s="160" t="s">
        <v>557</v>
      </c>
    </row>
    <row r="31" spans="1:9" x14ac:dyDescent="0.25">
      <c r="B31" s="129" t="s">
        <v>328</v>
      </c>
      <c r="C31" s="130">
        <v>8.5416666666666655E-2</v>
      </c>
      <c r="D31" s="130">
        <v>0.21041666666666667</v>
      </c>
      <c r="E31" s="130">
        <v>0.12847222222222224</v>
      </c>
      <c r="F31" s="637" t="s">
        <v>352</v>
      </c>
      <c r="G31" s="130">
        <v>0.55069444444444449</v>
      </c>
      <c r="H31" s="130">
        <v>0.21319444444444444</v>
      </c>
      <c r="I31" s="392" t="s">
        <v>558</v>
      </c>
    </row>
    <row r="32" spans="1:9" x14ac:dyDescent="0.25">
      <c r="B32" s="129" t="s">
        <v>1274</v>
      </c>
      <c r="C32" s="130">
        <v>0.12638888888888888</v>
      </c>
      <c r="D32" s="130" t="s">
        <v>171</v>
      </c>
      <c r="E32" s="130">
        <v>2.0833333333333333E-3</v>
      </c>
      <c r="F32" s="130">
        <v>2.0833333333333333E-3</v>
      </c>
      <c r="G32" s="130">
        <v>0.21597222222222223</v>
      </c>
      <c r="H32" s="130">
        <v>0.17222222222222225</v>
      </c>
      <c r="I32" s="392" t="s">
        <v>558</v>
      </c>
    </row>
    <row r="33" spans="1:13" x14ac:dyDescent="0.25">
      <c r="B33" s="129" t="s">
        <v>334</v>
      </c>
      <c r="C33" s="130" t="s">
        <v>589</v>
      </c>
      <c r="D33" s="130" t="s">
        <v>164</v>
      </c>
      <c r="E33" s="130">
        <v>4.4444444444444446E-2</v>
      </c>
      <c r="F33" s="130" t="s">
        <v>171</v>
      </c>
      <c r="G33" s="130">
        <v>0.17291666666666669</v>
      </c>
      <c r="H33" s="130">
        <v>0.17222222222222225</v>
      </c>
      <c r="I33" s="392" t="s">
        <v>558</v>
      </c>
      <c r="J33" s="129" t="s">
        <v>582</v>
      </c>
      <c r="K33" s="130">
        <v>4.3750000000000004E-2</v>
      </c>
      <c r="L33" s="130" t="s">
        <v>359</v>
      </c>
      <c r="M33" s="130">
        <v>8.6111111111111124E-2</v>
      </c>
    </row>
    <row r="34" spans="1:13" x14ac:dyDescent="0.25">
      <c r="B34" s="129" t="s">
        <v>610</v>
      </c>
      <c r="C34" s="130" t="s">
        <v>161</v>
      </c>
      <c r="D34" s="130" t="s">
        <v>352</v>
      </c>
      <c r="E34" s="130" t="s">
        <v>351</v>
      </c>
      <c r="F34" s="637">
        <v>4.5138888888888888E-2</v>
      </c>
      <c r="G34" s="130">
        <v>0.3833333333333333</v>
      </c>
      <c r="H34" s="130">
        <v>0.21319444444444444</v>
      </c>
      <c r="I34" s="392" t="s">
        <v>558</v>
      </c>
    </row>
    <row r="35" spans="1:13" x14ac:dyDescent="0.25">
      <c r="B35" s="129" t="s">
        <v>626</v>
      </c>
      <c r="C35" s="130">
        <v>0.21041666666666667</v>
      </c>
      <c r="D35" s="130">
        <v>0.20902777777777778</v>
      </c>
      <c r="E35" s="130">
        <v>0.12847222222222224</v>
      </c>
      <c r="F35" s="637">
        <v>0.33402777777777781</v>
      </c>
      <c r="G35" s="130">
        <v>0.88194444444444453</v>
      </c>
      <c r="H35" s="130">
        <v>0.37708333333333338</v>
      </c>
      <c r="I35" s="160" t="s">
        <v>557</v>
      </c>
    </row>
    <row r="36" spans="1:13" x14ac:dyDescent="0.25">
      <c r="B36" s="129" t="s">
        <v>331</v>
      </c>
      <c r="C36" s="130">
        <v>8.6111111111111124E-2</v>
      </c>
      <c r="D36" s="130">
        <v>8.4027777777777771E-2</v>
      </c>
      <c r="E36" s="130">
        <v>0.1277777777777778</v>
      </c>
      <c r="F36" s="130">
        <v>4.4444444444444446E-2</v>
      </c>
      <c r="G36" s="130">
        <v>0.34236111111111112</v>
      </c>
      <c r="H36" s="130">
        <v>0.13125000000000001</v>
      </c>
      <c r="I36" s="392" t="s">
        <v>558</v>
      </c>
    </row>
    <row r="37" spans="1:13" x14ac:dyDescent="0.25">
      <c r="B37" s="129" t="s">
        <v>6179</v>
      </c>
      <c r="C37" s="130">
        <v>0.20902777777777778</v>
      </c>
      <c r="D37" s="637" t="s">
        <v>352</v>
      </c>
      <c r="E37" s="130">
        <v>0.17013888888888887</v>
      </c>
      <c r="F37" s="637">
        <v>4.3750000000000004E-2</v>
      </c>
      <c r="G37" s="130">
        <v>0.42291666666666666</v>
      </c>
      <c r="H37" s="130">
        <v>0.21319444444444444</v>
      </c>
      <c r="I37" s="392" t="s">
        <v>558</v>
      </c>
    </row>
    <row r="38" spans="1:13" x14ac:dyDescent="0.25">
      <c r="B38" s="129" t="s">
        <v>6076</v>
      </c>
      <c r="C38" s="130">
        <v>0.21041666666666667</v>
      </c>
      <c r="D38" s="130" t="s">
        <v>589</v>
      </c>
      <c r="E38" s="130">
        <v>0.1673611111111111</v>
      </c>
      <c r="F38" s="637">
        <v>2.0833333333333333E-3</v>
      </c>
      <c r="G38" s="130">
        <v>0.42291666666666666</v>
      </c>
      <c r="H38" s="130">
        <v>0.2951388888888889</v>
      </c>
      <c r="I38" s="160" t="s">
        <v>557</v>
      </c>
    </row>
    <row r="39" spans="1:13" x14ac:dyDescent="0.25">
      <c r="B39" s="129" t="s">
        <v>6086</v>
      </c>
      <c r="C39" s="130">
        <v>0.1277777777777778</v>
      </c>
      <c r="D39" s="130">
        <v>0.16874999999999998</v>
      </c>
      <c r="E39" s="130">
        <v>0.17083333333333331</v>
      </c>
      <c r="F39" s="637">
        <v>8.4027777777777771E-2</v>
      </c>
      <c r="G39" s="130">
        <v>0.55138888888888882</v>
      </c>
      <c r="H39" s="130">
        <v>0.25416666666666665</v>
      </c>
      <c r="I39" s="392" t="s">
        <v>558</v>
      </c>
    </row>
    <row r="40" spans="1:13" x14ac:dyDescent="0.25">
      <c r="B40" s="129" t="s">
        <v>6091</v>
      </c>
      <c r="C40" s="130">
        <v>0.25277777777777777</v>
      </c>
      <c r="D40" s="130" t="s">
        <v>619</v>
      </c>
      <c r="E40" s="130">
        <v>0.12916666666666668</v>
      </c>
      <c r="F40" s="130">
        <v>0.20972222222222223</v>
      </c>
      <c r="G40" s="130">
        <v>0.6333333333333333</v>
      </c>
      <c r="H40" s="130">
        <v>0.33611111111111108</v>
      </c>
      <c r="I40" s="160" t="s">
        <v>557</v>
      </c>
    </row>
    <row r="41" spans="1:13" x14ac:dyDescent="0.25">
      <c r="B41" s="129" t="s">
        <v>332</v>
      </c>
      <c r="C41" s="130" t="s">
        <v>589</v>
      </c>
      <c r="D41" s="130">
        <v>8.5416666666666655E-2</v>
      </c>
      <c r="E41" s="130" t="s">
        <v>171</v>
      </c>
      <c r="F41" s="637">
        <v>8.6805555555555566E-2</v>
      </c>
      <c r="G41" s="130">
        <v>0.30069444444444443</v>
      </c>
      <c r="H41" s="130">
        <v>9.0277777777777776E-2</v>
      </c>
      <c r="I41" s="392" t="s">
        <v>558</v>
      </c>
    </row>
    <row r="47" spans="1:13" x14ac:dyDescent="0.25">
      <c r="A47" s="129" t="s">
        <v>4026</v>
      </c>
      <c r="B47" s="129" t="s">
        <v>599</v>
      </c>
    </row>
    <row r="48" spans="1:13" x14ac:dyDescent="0.25">
      <c r="A48" s="129" t="s">
        <v>600</v>
      </c>
      <c r="B48" s="129" t="s">
        <v>549</v>
      </c>
    </row>
    <row r="50" spans="2:9" x14ac:dyDescent="0.25">
      <c r="C50" s="129" t="s">
        <v>550</v>
      </c>
      <c r="D50" s="129" t="s">
        <v>551</v>
      </c>
      <c r="E50" s="129" t="s">
        <v>552</v>
      </c>
      <c r="F50" s="129" t="s">
        <v>553</v>
      </c>
      <c r="G50" s="129" t="s">
        <v>580</v>
      </c>
      <c r="H50" s="129" t="s">
        <v>555</v>
      </c>
      <c r="I50" s="129" t="s">
        <v>556</v>
      </c>
    </row>
    <row r="51" spans="2:9" x14ac:dyDescent="0.25">
      <c r="B51" s="129" t="s">
        <v>610</v>
      </c>
      <c r="C51" s="130" t="s">
        <v>352</v>
      </c>
      <c r="D51" s="130">
        <v>8.3333333333333329E-2</v>
      </c>
      <c r="E51" s="130">
        <v>2.0833333333333333E-3</v>
      </c>
      <c r="F51" s="130">
        <v>0.12638888888888888</v>
      </c>
      <c r="G51" s="130">
        <v>0.33819444444444446</v>
      </c>
      <c r="H51" s="130">
        <v>0.33611111111111108</v>
      </c>
      <c r="I51" s="160" t="s">
        <v>557</v>
      </c>
    </row>
    <row r="52" spans="2:9" x14ac:dyDescent="0.25">
      <c r="B52" s="129" t="s">
        <v>334</v>
      </c>
      <c r="C52" s="130">
        <v>8.6805555555555566E-2</v>
      </c>
      <c r="D52" s="130">
        <v>8.7500000000000008E-2</v>
      </c>
      <c r="E52" s="130" t="s">
        <v>163</v>
      </c>
      <c r="F52" s="637">
        <v>4.3750000000000004E-2</v>
      </c>
      <c r="G52" s="130">
        <v>0.34583333333333338</v>
      </c>
      <c r="H52" s="130">
        <v>4.9305555555555554E-2</v>
      </c>
      <c r="I52" s="392" t="s">
        <v>558</v>
      </c>
    </row>
    <row r="53" spans="2:9" x14ac:dyDescent="0.25">
      <c r="B53" s="129" t="s">
        <v>325</v>
      </c>
      <c r="C53" s="130">
        <v>0.12638888888888888</v>
      </c>
      <c r="D53" s="130">
        <v>3.472222222222222E-3</v>
      </c>
      <c r="E53" s="130">
        <v>0.17083333333333331</v>
      </c>
      <c r="F53" s="637">
        <v>4.3750000000000004E-2</v>
      </c>
      <c r="G53" s="130">
        <v>0.3444444444444445</v>
      </c>
      <c r="H53" s="130">
        <v>0.13125000000000001</v>
      </c>
      <c r="I53" s="392" t="s">
        <v>558</v>
      </c>
    </row>
    <row r="54" spans="2:9" x14ac:dyDescent="0.25">
      <c r="B54" s="129" t="s">
        <v>6086</v>
      </c>
      <c r="C54" s="130">
        <v>0.20833333333333334</v>
      </c>
      <c r="D54" s="130">
        <v>0.12569444444444444</v>
      </c>
      <c r="E54" s="130" t="s">
        <v>161</v>
      </c>
      <c r="F54" s="637">
        <v>0.1277777777777778</v>
      </c>
      <c r="G54" s="130">
        <v>0.54722222222222217</v>
      </c>
      <c r="H54" s="130">
        <v>0.2951388888888889</v>
      </c>
      <c r="I54" s="160" t="s">
        <v>557</v>
      </c>
    </row>
    <row r="55" spans="2:9" x14ac:dyDescent="0.25">
      <c r="B55" s="129" t="s">
        <v>331</v>
      </c>
      <c r="C55" s="130">
        <v>8.6805555555555566E-2</v>
      </c>
      <c r="D55" s="130" t="s">
        <v>164</v>
      </c>
      <c r="E55" s="130">
        <v>0.16874999999999998</v>
      </c>
      <c r="F55" s="637" t="s">
        <v>163</v>
      </c>
      <c r="G55" s="130">
        <v>0.55208333333333337</v>
      </c>
      <c r="H55" s="130">
        <v>0.25416666666666665</v>
      </c>
      <c r="I55" s="392" t="s">
        <v>558</v>
      </c>
    </row>
    <row r="56" spans="2:9" x14ac:dyDescent="0.25">
      <c r="B56" s="129" t="s">
        <v>6179</v>
      </c>
      <c r="C56" s="130">
        <v>0.1277777777777778</v>
      </c>
      <c r="D56" s="637" t="s">
        <v>171</v>
      </c>
      <c r="E56" s="130">
        <v>8.6111111111111124E-2</v>
      </c>
      <c r="F56" s="637">
        <v>0.20902777777777778</v>
      </c>
      <c r="G56" s="130">
        <v>0.5083333333333333</v>
      </c>
      <c r="H56" s="130">
        <v>0.17222222222222225</v>
      </c>
      <c r="I56" s="392" t="s">
        <v>558</v>
      </c>
    </row>
    <row r="57" spans="2:9" x14ac:dyDescent="0.25">
      <c r="B57" s="129" t="s">
        <v>626</v>
      </c>
      <c r="C57" s="130">
        <v>0.1277777777777778</v>
      </c>
      <c r="D57" s="130">
        <v>8.5416666666666655E-2</v>
      </c>
      <c r="E57" s="130">
        <v>6.9444444444444447E-4</v>
      </c>
      <c r="F57" s="637">
        <v>4.4444444444444446E-2</v>
      </c>
      <c r="G57" s="130">
        <v>0.25833333333333336</v>
      </c>
      <c r="H57" s="130">
        <v>8.3333333333333332E-3</v>
      </c>
      <c r="I57" s="392" t="s">
        <v>558</v>
      </c>
    </row>
    <row r="58" spans="2:9" x14ac:dyDescent="0.25">
      <c r="B58" s="129" t="s">
        <v>1274</v>
      </c>
      <c r="C58" s="130">
        <v>0.1277777777777778</v>
      </c>
      <c r="D58" s="130" t="s">
        <v>352</v>
      </c>
      <c r="E58" s="130">
        <v>8.5416666666666655E-2</v>
      </c>
      <c r="F58" s="637">
        <v>2.0833333333333333E-3</v>
      </c>
      <c r="G58" s="130">
        <v>0.34166666666666662</v>
      </c>
      <c r="H58" s="130">
        <v>9.0277777777777776E-2</v>
      </c>
      <c r="I58" s="392" t="s">
        <v>558</v>
      </c>
    </row>
    <row r="59" spans="2:9" x14ac:dyDescent="0.25">
      <c r="B59" s="129" t="s">
        <v>6076</v>
      </c>
      <c r="C59" s="130">
        <v>0.16874999999999998</v>
      </c>
      <c r="D59" s="130" t="s">
        <v>164</v>
      </c>
      <c r="E59" s="130">
        <v>0.12638888888888888</v>
      </c>
      <c r="F59" s="637">
        <v>4.3750000000000004E-2</v>
      </c>
      <c r="G59" s="130">
        <v>0.50763888888888886</v>
      </c>
      <c r="H59" s="130">
        <v>0.33611111111111108</v>
      </c>
      <c r="I59" s="160" t="s">
        <v>557</v>
      </c>
    </row>
    <row r="60" spans="2:9" x14ac:dyDescent="0.25">
      <c r="B60" s="129" t="s">
        <v>326</v>
      </c>
      <c r="C60" s="130">
        <v>8.4027777777777771E-2</v>
      </c>
      <c r="D60" s="130" t="s">
        <v>163</v>
      </c>
      <c r="E60" s="130">
        <v>0.16805555555555554</v>
      </c>
      <c r="F60" s="637">
        <v>4.4444444444444446E-2</v>
      </c>
      <c r="G60" s="130">
        <v>0.42430555555555555</v>
      </c>
      <c r="H60" s="130">
        <v>0.2951388888888889</v>
      </c>
      <c r="I60" s="160" t="s">
        <v>557</v>
      </c>
    </row>
    <row r="61" spans="2:9" x14ac:dyDescent="0.25">
      <c r="B61" s="129" t="s">
        <v>327</v>
      </c>
      <c r="C61" s="130">
        <v>0.17152777777777775</v>
      </c>
      <c r="D61" s="130">
        <v>4.5138888888888888E-2</v>
      </c>
      <c r="E61" s="130">
        <v>8.6111111111111124E-2</v>
      </c>
      <c r="F61" s="637" t="s">
        <v>590</v>
      </c>
      <c r="G61" s="130">
        <v>0.51527777777777783</v>
      </c>
      <c r="H61" s="130">
        <v>4.9305555555555554E-2</v>
      </c>
      <c r="I61" s="392" t="s">
        <v>558</v>
      </c>
    </row>
    <row r="62" spans="2:9" x14ac:dyDescent="0.25">
      <c r="B62" s="129" t="s">
        <v>328</v>
      </c>
      <c r="C62" s="130" t="s">
        <v>354</v>
      </c>
      <c r="D62" s="130">
        <v>0.16805555555555554</v>
      </c>
      <c r="E62" s="130">
        <v>0.1673611111111111</v>
      </c>
      <c r="F62" s="637">
        <v>0.25069444444444444</v>
      </c>
      <c r="G62" s="130">
        <v>0.71388888888888891</v>
      </c>
      <c r="H62" s="130">
        <v>0.41805555555555557</v>
      </c>
      <c r="I62" s="160" t="s">
        <v>557</v>
      </c>
    </row>
    <row r="63" spans="2:9" x14ac:dyDescent="0.25">
      <c r="B63" s="129" t="s">
        <v>6091</v>
      </c>
      <c r="C63" s="130">
        <v>0.12638888888888888</v>
      </c>
      <c r="D63" s="130">
        <v>0.1277777777777778</v>
      </c>
      <c r="E63" s="130">
        <v>0.125</v>
      </c>
      <c r="F63" s="637">
        <v>0.25069444444444444</v>
      </c>
      <c r="G63" s="130">
        <v>0.62986111111111109</v>
      </c>
      <c r="H63" s="130">
        <v>0.37708333333333338</v>
      </c>
      <c r="I63" s="160" t="s">
        <v>557</v>
      </c>
    </row>
    <row r="64" spans="2:9" x14ac:dyDescent="0.25">
      <c r="B64" s="129" t="s">
        <v>332</v>
      </c>
      <c r="C64" s="130">
        <v>0.16874999999999998</v>
      </c>
      <c r="D64" s="130">
        <v>8.6805555555555566E-2</v>
      </c>
      <c r="E64" s="130">
        <v>8.5416666666666655E-2</v>
      </c>
      <c r="F64" s="637" t="s">
        <v>171</v>
      </c>
      <c r="G64" s="130">
        <v>0.42638888888888887</v>
      </c>
      <c r="H64" s="130">
        <v>0.17222222222222225</v>
      </c>
      <c r="I64" s="392" t="s">
        <v>558</v>
      </c>
    </row>
    <row r="69" spans="1:13" x14ac:dyDescent="0.25">
      <c r="A69" s="129" t="s">
        <v>3675</v>
      </c>
      <c r="B69" s="129" t="s">
        <v>617</v>
      </c>
    </row>
    <row r="70" spans="1:13" x14ac:dyDescent="0.25">
      <c r="A70" s="129" t="s">
        <v>595</v>
      </c>
      <c r="B70" s="129" t="s">
        <v>549</v>
      </c>
    </row>
    <row r="72" spans="1:13" x14ac:dyDescent="0.25">
      <c r="C72" s="129" t="s">
        <v>550</v>
      </c>
      <c r="D72" s="129" t="s">
        <v>551</v>
      </c>
      <c r="E72" s="129" t="s">
        <v>552</v>
      </c>
      <c r="F72" s="129" t="s">
        <v>553</v>
      </c>
      <c r="G72" s="129" t="s">
        <v>580</v>
      </c>
      <c r="H72" s="129" t="s">
        <v>555</v>
      </c>
      <c r="I72" s="129" t="s">
        <v>556</v>
      </c>
    </row>
    <row r="73" spans="1:13" x14ac:dyDescent="0.25">
      <c r="B73" s="129" t="s">
        <v>610</v>
      </c>
      <c r="C73" s="130">
        <v>4.5833333333333337E-2</v>
      </c>
      <c r="D73" s="130" t="s">
        <v>3795</v>
      </c>
      <c r="E73" s="130" t="s">
        <v>355</v>
      </c>
      <c r="F73" s="130">
        <v>0.12916666666666668</v>
      </c>
      <c r="G73" s="130">
        <v>0.30208333333333331</v>
      </c>
      <c r="H73" s="130">
        <v>0.13125000000000001</v>
      </c>
      <c r="I73" s="392" t="s">
        <v>558</v>
      </c>
    </row>
    <row r="74" spans="1:13" ht="14.4" x14ac:dyDescent="0.3">
      <c r="B74" s="129" t="s">
        <v>334</v>
      </c>
      <c r="C74" s="130">
        <v>0.12916666666666668</v>
      </c>
      <c r="D74" s="130">
        <v>4.3055555555555562E-2</v>
      </c>
      <c r="E74" s="130">
        <v>8.6111111111111124E-2</v>
      </c>
      <c r="F74" s="60">
        <v>0.12638888888888888</v>
      </c>
      <c r="G74" s="130">
        <v>0.38472222222222219</v>
      </c>
      <c r="H74" s="130">
        <v>0.13125000000000001</v>
      </c>
      <c r="I74" s="392" t="s">
        <v>558</v>
      </c>
    </row>
    <row r="75" spans="1:13" ht="14.4" x14ac:dyDescent="0.3">
      <c r="B75" s="129" t="s">
        <v>325</v>
      </c>
      <c r="C75" s="130">
        <v>4.3750000000000004E-2</v>
      </c>
      <c r="D75" s="130">
        <v>0.12847222222222224</v>
      </c>
      <c r="E75" s="130" t="s">
        <v>352</v>
      </c>
      <c r="F75" s="60">
        <v>0.16805555555555554</v>
      </c>
      <c r="G75" s="130">
        <v>0.46666666666666662</v>
      </c>
      <c r="H75" s="130">
        <v>0.21319444444444444</v>
      </c>
      <c r="I75" s="392" t="s">
        <v>558</v>
      </c>
    </row>
    <row r="76" spans="1:13" x14ac:dyDescent="0.25">
      <c r="B76" s="129" t="s">
        <v>6086</v>
      </c>
      <c r="C76" s="130">
        <v>8.6111111111111124E-2</v>
      </c>
      <c r="D76" s="130">
        <v>0.25208333333333333</v>
      </c>
      <c r="E76" s="130">
        <v>0.12638888888888888</v>
      </c>
      <c r="F76" s="130" t="s">
        <v>161</v>
      </c>
      <c r="G76" s="130">
        <v>0.54999999999999993</v>
      </c>
      <c r="H76" s="130">
        <v>0.2951388888888889</v>
      </c>
      <c r="I76" s="160" t="s">
        <v>557</v>
      </c>
    </row>
    <row r="77" spans="1:13" x14ac:dyDescent="0.25">
      <c r="B77" s="129" t="s">
        <v>331</v>
      </c>
      <c r="C77" s="130">
        <v>4.4444444444444446E-2</v>
      </c>
      <c r="D77" s="130">
        <v>2.0833333333333333E-3</v>
      </c>
      <c r="E77" s="130" t="s">
        <v>208</v>
      </c>
      <c r="F77" s="130">
        <v>0.17013888888888887</v>
      </c>
      <c r="G77" s="130">
        <v>0.25972222222222224</v>
      </c>
      <c r="H77" s="130">
        <v>4.9305555555555554E-2</v>
      </c>
      <c r="I77" s="392" t="s">
        <v>558</v>
      </c>
    </row>
    <row r="78" spans="1:13" x14ac:dyDescent="0.25">
      <c r="B78" s="129" t="s">
        <v>6179</v>
      </c>
      <c r="C78" s="130" t="s">
        <v>3796</v>
      </c>
      <c r="D78" s="130" t="s">
        <v>160</v>
      </c>
      <c r="E78" s="130">
        <v>0.16805555555555554</v>
      </c>
      <c r="F78" s="130">
        <v>0.16874999999999998</v>
      </c>
      <c r="G78" s="130">
        <v>0.67569444444444438</v>
      </c>
      <c r="H78" s="130">
        <v>0.37708333333333338</v>
      </c>
      <c r="I78" s="160" t="s">
        <v>557</v>
      </c>
    </row>
    <row r="79" spans="1:13" x14ac:dyDescent="0.25">
      <c r="B79" s="129" t="s">
        <v>626</v>
      </c>
      <c r="C79" s="130" t="s">
        <v>159</v>
      </c>
      <c r="D79" s="130" t="s">
        <v>160</v>
      </c>
      <c r="E79" s="130">
        <v>0.1277777777777778</v>
      </c>
      <c r="F79" s="130">
        <v>8.4027777777777771E-2</v>
      </c>
      <c r="G79" s="130">
        <v>0.46458333333333335</v>
      </c>
      <c r="H79" s="130">
        <v>0.2951388888888889</v>
      </c>
      <c r="I79" s="160" t="s">
        <v>557</v>
      </c>
    </row>
    <row r="80" spans="1:13" x14ac:dyDescent="0.25">
      <c r="B80" s="129" t="s">
        <v>1274</v>
      </c>
      <c r="C80" s="130">
        <v>8.6111111111111124E-2</v>
      </c>
      <c r="D80" s="130">
        <v>8.5416666666666655E-2</v>
      </c>
      <c r="E80" s="130">
        <v>4.4444444444444446E-2</v>
      </c>
      <c r="F80" s="130">
        <v>4.3750000000000004E-2</v>
      </c>
      <c r="G80" s="130">
        <v>0.25972222222222224</v>
      </c>
      <c r="H80" s="130">
        <v>8.3333333333333332E-3</v>
      </c>
      <c r="I80" s="392" t="s">
        <v>558</v>
      </c>
      <c r="J80" s="129" t="s">
        <v>582</v>
      </c>
      <c r="K80" s="130">
        <v>1.3888888888888889E-3</v>
      </c>
      <c r="L80" s="130">
        <v>4.3750000000000004E-2</v>
      </c>
      <c r="M80" s="130">
        <v>4.5138888888888888E-2</v>
      </c>
    </row>
    <row r="81" spans="1:17" x14ac:dyDescent="0.25">
      <c r="B81" s="129" t="s">
        <v>6076</v>
      </c>
      <c r="C81" s="130">
        <v>4.3055555555555562E-2</v>
      </c>
      <c r="D81" s="130" t="s">
        <v>351</v>
      </c>
      <c r="E81" s="130" t="s">
        <v>351</v>
      </c>
      <c r="F81" s="130">
        <v>0.25208333333333333</v>
      </c>
      <c r="G81" s="130">
        <v>0.54791666666666672</v>
      </c>
      <c r="H81" s="130">
        <v>0.2951388888888889</v>
      </c>
      <c r="I81" s="160" t="s">
        <v>557</v>
      </c>
    </row>
    <row r="82" spans="1:17" x14ac:dyDescent="0.25">
      <c r="B82" s="129" t="s">
        <v>326</v>
      </c>
      <c r="C82" s="130">
        <v>4.1666666666666664E-2</v>
      </c>
      <c r="D82" s="130">
        <v>0.12638888888888888</v>
      </c>
      <c r="E82" s="130">
        <v>8.3333333333333329E-2</v>
      </c>
      <c r="F82" s="130">
        <v>2.0833333333333333E-3</v>
      </c>
      <c r="G82" s="130">
        <v>0.25347222222222221</v>
      </c>
      <c r="H82" s="130">
        <v>0.37708333333333338</v>
      </c>
      <c r="I82" s="160" t="s">
        <v>557</v>
      </c>
    </row>
    <row r="83" spans="1:17" ht="14.4" x14ac:dyDescent="0.3">
      <c r="B83" s="129" t="s">
        <v>327</v>
      </c>
      <c r="C83" s="130" t="s">
        <v>208</v>
      </c>
      <c r="D83" s="130">
        <v>0.20833333333333334</v>
      </c>
      <c r="E83" s="60">
        <v>4.3055555555555562E-2</v>
      </c>
      <c r="F83" s="130">
        <v>0.12569444444444444</v>
      </c>
      <c r="G83" s="130">
        <v>0.4201388888888889</v>
      </c>
      <c r="H83" s="130">
        <v>0.2951388888888889</v>
      </c>
      <c r="I83" s="160" t="s">
        <v>557</v>
      </c>
    </row>
    <row r="84" spans="1:17" x14ac:dyDescent="0.25">
      <c r="B84" s="129" t="s">
        <v>328</v>
      </c>
      <c r="C84" s="130" t="s">
        <v>209</v>
      </c>
      <c r="D84" s="130">
        <v>0.12638888888888888</v>
      </c>
      <c r="E84" s="130">
        <v>8.7500000000000008E-2</v>
      </c>
      <c r="F84" s="130">
        <v>8.5416666666666655E-2</v>
      </c>
      <c r="G84" s="130">
        <v>0.34097222222222223</v>
      </c>
      <c r="H84" s="130">
        <v>0.21319444444444444</v>
      </c>
      <c r="I84" s="392" t="s">
        <v>558</v>
      </c>
    </row>
    <row r="85" spans="1:17" x14ac:dyDescent="0.25">
      <c r="B85" s="129" t="s">
        <v>6091</v>
      </c>
      <c r="C85" s="130">
        <v>0.12638888888888888</v>
      </c>
      <c r="D85" s="130">
        <v>0.29375000000000001</v>
      </c>
      <c r="E85" s="130">
        <v>0.1277777777777778</v>
      </c>
      <c r="F85" s="130">
        <v>0.16874999999999998</v>
      </c>
      <c r="G85" s="130">
        <v>0.71666666666666667</v>
      </c>
      <c r="H85" s="130">
        <v>0.37708333333333338</v>
      </c>
      <c r="I85" s="160" t="s">
        <v>557</v>
      </c>
    </row>
    <row r="86" spans="1:17" ht="14.4" x14ac:dyDescent="0.3">
      <c r="I86"/>
    </row>
    <row r="89" spans="1:17" x14ac:dyDescent="0.25">
      <c r="A89" s="129" t="s">
        <v>1233</v>
      </c>
      <c r="B89" s="129" t="s">
        <v>596</v>
      </c>
    </row>
    <row r="90" spans="1:17" x14ac:dyDescent="0.25">
      <c r="A90" s="129" t="s">
        <v>595</v>
      </c>
      <c r="B90" s="129" t="s">
        <v>549</v>
      </c>
    </row>
    <row r="91" spans="1:17" ht="14.4" x14ac:dyDescent="0.3">
      <c r="N91"/>
      <c r="O91"/>
      <c r="P91"/>
    </row>
    <row r="92" spans="1:17" ht="14.4" x14ac:dyDescent="0.3">
      <c r="C92" s="129" t="s">
        <v>550</v>
      </c>
      <c r="D92" s="129" t="s">
        <v>551</v>
      </c>
      <c r="E92" s="129" t="s">
        <v>552</v>
      </c>
      <c r="F92" s="129" t="s">
        <v>553</v>
      </c>
      <c r="G92" s="129" t="s">
        <v>580</v>
      </c>
      <c r="H92" s="129" t="s">
        <v>555</v>
      </c>
      <c r="I92" s="129" t="s">
        <v>556</v>
      </c>
      <c r="N92"/>
      <c r="O92"/>
      <c r="P92"/>
    </row>
    <row r="93" spans="1:17" ht="14.4" x14ac:dyDescent="0.3">
      <c r="B93" s="129" t="s">
        <v>610</v>
      </c>
      <c r="C93" s="130">
        <v>0.17013888888888887</v>
      </c>
      <c r="D93" s="130">
        <v>0.1277777777777778</v>
      </c>
      <c r="E93" s="130">
        <v>4.5833333333333337E-2</v>
      </c>
      <c r="F93" s="130" t="s">
        <v>359</v>
      </c>
      <c r="G93" s="130">
        <v>0.51388888888888895</v>
      </c>
      <c r="H93" s="130">
        <v>4.9305555555555554E-2</v>
      </c>
      <c r="I93" s="392" t="s">
        <v>558</v>
      </c>
      <c r="N93"/>
      <c r="O93"/>
      <c r="P93"/>
      <c r="Q93" s="60"/>
    </row>
    <row r="94" spans="1:17" ht="14.4" x14ac:dyDescent="0.3">
      <c r="B94" s="129" t="s">
        <v>334</v>
      </c>
      <c r="C94" s="130">
        <v>8.5416666666666655E-2</v>
      </c>
      <c r="D94" s="130">
        <v>0.20972222222222223</v>
      </c>
      <c r="E94" s="130">
        <v>8.5416666666666655E-2</v>
      </c>
      <c r="F94" s="60">
        <v>1.3888888888888889E-3</v>
      </c>
      <c r="G94" s="130">
        <v>0.38194444444444442</v>
      </c>
      <c r="H94" s="130">
        <v>0.13125000000000001</v>
      </c>
      <c r="I94" s="392" t="s">
        <v>558</v>
      </c>
      <c r="N94"/>
      <c r="O94"/>
      <c r="P94"/>
      <c r="Q94" s="130"/>
    </row>
    <row r="95" spans="1:17" ht="14.4" x14ac:dyDescent="0.3">
      <c r="B95" s="129" t="s">
        <v>325</v>
      </c>
      <c r="C95" s="130" t="s">
        <v>163</v>
      </c>
      <c r="D95" s="130">
        <v>8.5416666666666655E-2</v>
      </c>
      <c r="E95" s="130" t="s">
        <v>359</v>
      </c>
      <c r="F95" s="60">
        <v>0.17222222222222225</v>
      </c>
      <c r="G95" s="130">
        <v>0.55555555555555558</v>
      </c>
      <c r="H95" s="130">
        <v>9.0277777777777776E-2</v>
      </c>
      <c r="I95" s="392" t="s">
        <v>558</v>
      </c>
      <c r="N95"/>
      <c r="O95"/>
      <c r="P95"/>
      <c r="Q95" s="60"/>
    </row>
    <row r="96" spans="1:17" ht="14.4" x14ac:dyDescent="0.3">
      <c r="B96" s="129" t="s">
        <v>6086</v>
      </c>
      <c r="C96" s="130">
        <v>8.6805555555555566E-2</v>
      </c>
      <c r="D96" s="130" t="s">
        <v>161</v>
      </c>
      <c r="E96" s="130">
        <v>4.5138888888888888E-2</v>
      </c>
      <c r="F96" s="130">
        <v>0.25277777777777777</v>
      </c>
      <c r="G96" s="130">
        <v>0.47013888888888888</v>
      </c>
      <c r="H96" s="130">
        <v>0.17222222222222225</v>
      </c>
      <c r="I96" s="392" t="s">
        <v>558</v>
      </c>
      <c r="N96"/>
      <c r="O96"/>
      <c r="P96"/>
      <c r="Q96" s="130"/>
    </row>
    <row r="97" spans="1:17" ht="14.4" x14ac:dyDescent="0.3">
      <c r="B97" s="129" t="s">
        <v>331</v>
      </c>
      <c r="C97" s="130">
        <v>4.3750000000000004E-2</v>
      </c>
      <c r="D97" s="130">
        <v>0.20902777777777778</v>
      </c>
      <c r="E97" s="130">
        <v>1.3888888888888889E-3</v>
      </c>
      <c r="F97" s="130">
        <v>8.7500000000000008E-2</v>
      </c>
      <c r="G97" s="130">
        <v>0.34166666666666662</v>
      </c>
      <c r="H97" s="130">
        <v>0.13125000000000001</v>
      </c>
      <c r="I97" s="392" t="s">
        <v>558</v>
      </c>
      <c r="N97"/>
      <c r="O97"/>
      <c r="P97"/>
      <c r="Q97" s="130"/>
    </row>
    <row r="98" spans="1:17" ht="14.4" x14ac:dyDescent="0.3">
      <c r="B98" s="129" t="s">
        <v>6179</v>
      </c>
      <c r="C98" s="130">
        <v>8.4027777777777771E-2</v>
      </c>
      <c r="D98" s="130">
        <v>0.20972222222222223</v>
      </c>
      <c r="E98" s="130" t="s">
        <v>354</v>
      </c>
      <c r="F98" s="130" t="s">
        <v>354</v>
      </c>
      <c r="G98" s="130">
        <v>0.5493055555555556</v>
      </c>
      <c r="H98" s="130">
        <v>0.33611111111111108</v>
      </c>
      <c r="I98" s="160" t="s">
        <v>557</v>
      </c>
      <c r="N98"/>
      <c r="O98"/>
      <c r="P98"/>
      <c r="Q98" s="130"/>
    </row>
    <row r="99" spans="1:17" ht="14.4" x14ac:dyDescent="0.3">
      <c r="B99" s="129" t="s">
        <v>626</v>
      </c>
      <c r="C99" s="130">
        <v>0.1277777777777778</v>
      </c>
      <c r="D99" s="130">
        <v>4.3750000000000004E-2</v>
      </c>
      <c r="E99" s="130">
        <v>4.3750000000000004E-2</v>
      </c>
      <c r="F99" s="130">
        <v>4.3750000000000004E-2</v>
      </c>
      <c r="G99" s="130">
        <v>0.2590277777777778</v>
      </c>
      <c r="H99" s="130">
        <v>8.3333333333333332E-3</v>
      </c>
      <c r="I99" s="392" t="s">
        <v>558</v>
      </c>
      <c r="N99"/>
      <c r="O99"/>
      <c r="P99"/>
      <c r="Q99" s="130"/>
    </row>
    <row r="100" spans="1:17" ht="14.4" x14ac:dyDescent="0.3">
      <c r="B100" s="129" t="s">
        <v>1274</v>
      </c>
      <c r="C100" s="130">
        <v>0.25347222222222221</v>
      </c>
      <c r="D100" s="130">
        <v>8.5416666666666655E-2</v>
      </c>
      <c r="E100" s="130">
        <v>8.7500000000000008E-2</v>
      </c>
      <c r="F100" s="130" t="s">
        <v>162</v>
      </c>
      <c r="G100" s="130">
        <v>0.63750000000000007</v>
      </c>
      <c r="H100" s="130">
        <v>0.21319444444444444</v>
      </c>
      <c r="I100" s="392" t="s">
        <v>558</v>
      </c>
      <c r="N100"/>
      <c r="O100"/>
      <c r="P100"/>
      <c r="Q100" s="130"/>
    </row>
    <row r="101" spans="1:17" ht="14.4" x14ac:dyDescent="0.3">
      <c r="B101" s="129" t="s">
        <v>6076</v>
      </c>
      <c r="C101" s="130">
        <v>8.4027777777777771E-2</v>
      </c>
      <c r="D101" s="130">
        <v>0.25277777777777777</v>
      </c>
      <c r="E101" s="130" t="s">
        <v>163</v>
      </c>
      <c r="F101" s="130" t="s">
        <v>171</v>
      </c>
      <c r="G101" s="130">
        <v>0.54999999999999993</v>
      </c>
      <c r="H101" s="130">
        <v>0.33611111111111108</v>
      </c>
      <c r="I101" s="160" t="s">
        <v>557</v>
      </c>
      <c r="N101"/>
      <c r="O101"/>
      <c r="P101"/>
      <c r="Q101" s="130"/>
    </row>
    <row r="102" spans="1:17" ht="14.4" x14ac:dyDescent="0.3">
      <c r="B102" s="129" t="s">
        <v>326</v>
      </c>
      <c r="C102" s="130">
        <v>0.20902777777777778</v>
      </c>
      <c r="D102" s="130">
        <v>8.7500000000000008E-2</v>
      </c>
      <c r="E102" s="130">
        <v>4.3750000000000004E-2</v>
      </c>
      <c r="F102" s="130" t="s">
        <v>163</v>
      </c>
      <c r="G102" s="130">
        <v>0.4680555555555555</v>
      </c>
      <c r="H102" s="130">
        <v>0.17222222222222225</v>
      </c>
      <c r="I102" s="392" t="s">
        <v>558</v>
      </c>
      <c r="N102"/>
      <c r="O102"/>
      <c r="P102"/>
      <c r="Q102" s="130"/>
    </row>
    <row r="103" spans="1:17" ht="14.4" x14ac:dyDescent="0.3">
      <c r="B103" s="129" t="s">
        <v>327</v>
      </c>
      <c r="C103" s="130">
        <v>4.3055555555555562E-2</v>
      </c>
      <c r="D103" s="130" t="s">
        <v>159</v>
      </c>
      <c r="E103" s="60">
        <v>0.16874999999999998</v>
      </c>
      <c r="F103" s="130">
        <v>8.4027777777777771E-2</v>
      </c>
      <c r="G103" s="130">
        <v>0.42291666666666666</v>
      </c>
      <c r="H103" s="130">
        <v>0.33611111111111108</v>
      </c>
      <c r="I103" s="160" t="s">
        <v>557</v>
      </c>
      <c r="N103"/>
      <c r="O103"/>
      <c r="P103"/>
      <c r="Q103" s="130"/>
    </row>
    <row r="104" spans="1:17" ht="14.4" x14ac:dyDescent="0.3">
      <c r="B104" s="129" t="s">
        <v>328</v>
      </c>
      <c r="C104" s="130">
        <v>0.25138888888888888</v>
      </c>
      <c r="D104" s="130">
        <v>0.16666666666666666</v>
      </c>
      <c r="E104" s="130">
        <v>1.3888888888888889E-3</v>
      </c>
      <c r="F104" s="130">
        <v>0.12847222222222224</v>
      </c>
      <c r="G104" s="130">
        <v>0.54791666666666672</v>
      </c>
      <c r="H104" s="130">
        <v>0.25416666666666665</v>
      </c>
      <c r="I104" s="160" t="s">
        <v>557</v>
      </c>
      <c r="N104"/>
      <c r="O104"/>
      <c r="P104"/>
      <c r="Q104" s="130"/>
    </row>
    <row r="105" spans="1:17" ht="14.4" x14ac:dyDescent="0.3">
      <c r="B105" s="129" t="s">
        <v>332</v>
      </c>
      <c r="C105" s="130">
        <v>0.1673611111111111</v>
      </c>
      <c r="D105" s="130">
        <v>0.25138888888888888</v>
      </c>
      <c r="E105" s="130" t="s">
        <v>351</v>
      </c>
      <c r="F105" s="130">
        <v>0.21041666666666667</v>
      </c>
      <c r="G105" s="130">
        <v>0.75555555555555554</v>
      </c>
      <c r="H105" s="130">
        <v>0.45902777777777781</v>
      </c>
      <c r="I105" s="160" t="s">
        <v>557</v>
      </c>
      <c r="N105"/>
      <c r="O105"/>
      <c r="P105"/>
      <c r="Q105" s="130"/>
    </row>
    <row r="106" spans="1:17" ht="14.4" x14ac:dyDescent="0.3">
      <c r="N106"/>
      <c r="O106"/>
      <c r="P106"/>
    </row>
    <row r="107" spans="1:17" ht="14.4" x14ac:dyDescent="0.3">
      <c r="N107"/>
      <c r="O107"/>
      <c r="P107"/>
    </row>
    <row r="108" spans="1:17" ht="14.4" x14ac:dyDescent="0.3">
      <c r="N108"/>
      <c r="O108"/>
      <c r="P108"/>
    </row>
    <row r="109" spans="1:17" ht="14.4" x14ac:dyDescent="0.3">
      <c r="A109" s="129" t="s">
        <v>695</v>
      </c>
      <c r="B109" s="129" t="s">
        <v>617</v>
      </c>
      <c r="N109"/>
      <c r="O109"/>
      <c r="P109"/>
    </row>
    <row r="110" spans="1:17" ht="14.4" x14ac:dyDescent="0.3">
      <c r="A110" s="129" t="s">
        <v>618</v>
      </c>
      <c r="B110" s="129" t="s">
        <v>549</v>
      </c>
      <c r="N110"/>
      <c r="O110"/>
      <c r="P110"/>
    </row>
    <row r="111" spans="1:17" ht="14.4" x14ac:dyDescent="0.3">
      <c r="N111"/>
      <c r="O111"/>
      <c r="P111"/>
    </row>
    <row r="112" spans="1:17" ht="14.4" x14ac:dyDescent="0.3">
      <c r="C112" s="129" t="s">
        <v>550</v>
      </c>
      <c r="D112" s="129" t="s">
        <v>551</v>
      </c>
      <c r="E112" s="129" t="s">
        <v>552</v>
      </c>
      <c r="F112" s="129" t="s">
        <v>553</v>
      </c>
      <c r="G112" s="129" t="s">
        <v>580</v>
      </c>
      <c r="H112" s="129" t="s">
        <v>555</v>
      </c>
      <c r="I112" s="129" t="s">
        <v>556</v>
      </c>
      <c r="N112"/>
      <c r="O112"/>
      <c r="P112"/>
    </row>
    <row r="113" spans="2:16" ht="14.4" x14ac:dyDescent="0.3">
      <c r="B113" s="129" t="s">
        <v>610</v>
      </c>
      <c r="C113" s="130">
        <v>0.25138888888888888</v>
      </c>
      <c r="D113" s="130">
        <v>0.25208333333333333</v>
      </c>
      <c r="E113" s="130">
        <v>3.472222222222222E-3</v>
      </c>
      <c r="F113" s="130">
        <v>0.12638888888888888</v>
      </c>
      <c r="G113" s="130">
        <v>0.6333333333333333</v>
      </c>
      <c r="H113" s="130">
        <v>0.37708333333333338</v>
      </c>
      <c r="I113" s="129" t="s">
        <v>557</v>
      </c>
      <c r="N113"/>
      <c r="O113"/>
      <c r="P113"/>
    </row>
    <row r="114" spans="2:16" ht="14.4" x14ac:dyDescent="0.3">
      <c r="B114" s="129" t="s">
        <v>334</v>
      </c>
      <c r="C114" s="130">
        <v>1.3888888888888889E-3</v>
      </c>
      <c r="D114" s="130">
        <v>3.472222222222222E-3</v>
      </c>
      <c r="E114" s="130">
        <v>8.6111111111111124E-2</v>
      </c>
      <c r="F114" s="130">
        <v>4.4444444444444446E-2</v>
      </c>
      <c r="G114" s="130">
        <v>0.13541666666666666</v>
      </c>
      <c r="H114" s="130">
        <v>8.3333333333333332E-3</v>
      </c>
      <c r="I114" s="129" t="s">
        <v>558</v>
      </c>
      <c r="N114"/>
      <c r="O114"/>
      <c r="P114"/>
    </row>
    <row r="115" spans="2:16" ht="14.4" x14ac:dyDescent="0.3">
      <c r="B115" s="129" t="s">
        <v>331</v>
      </c>
      <c r="C115" s="130" t="s">
        <v>208</v>
      </c>
      <c r="D115" s="130">
        <v>0.20902777777777778</v>
      </c>
      <c r="E115" s="130">
        <v>4.4444444444444446E-2</v>
      </c>
      <c r="F115" s="130">
        <v>4.6527777777777779E-2</v>
      </c>
      <c r="G115" s="130">
        <v>0.3430555555555555</v>
      </c>
      <c r="H115" s="130">
        <v>0.17222222222222225</v>
      </c>
      <c r="I115" s="129" t="s">
        <v>558</v>
      </c>
      <c r="N115"/>
      <c r="O115"/>
      <c r="P115"/>
    </row>
    <row r="116" spans="2:16" x14ac:dyDescent="0.25">
      <c r="B116" s="129" t="s">
        <v>1274</v>
      </c>
      <c r="C116" s="130">
        <v>8.4027777777777771E-2</v>
      </c>
      <c r="D116" s="130">
        <v>4.3055555555555562E-2</v>
      </c>
      <c r="E116" s="130">
        <v>8.5416666666666655E-2</v>
      </c>
      <c r="F116" s="130">
        <v>4.4444444444444446E-2</v>
      </c>
      <c r="G116" s="130">
        <v>0.25694444444444448</v>
      </c>
      <c r="H116" s="130">
        <v>0.13125000000000001</v>
      </c>
      <c r="I116" s="129" t="s">
        <v>558</v>
      </c>
    </row>
    <row r="117" spans="2:16" x14ac:dyDescent="0.25">
      <c r="B117" s="129" t="s">
        <v>6179</v>
      </c>
      <c r="C117" s="130">
        <v>8.5416666666666655E-2</v>
      </c>
      <c r="D117" s="130">
        <v>0.1277777777777778</v>
      </c>
      <c r="E117" s="130">
        <v>4.3750000000000004E-2</v>
      </c>
      <c r="F117" s="130">
        <v>0.21041666666666667</v>
      </c>
      <c r="G117" s="130">
        <v>0.46736111111111112</v>
      </c>
      <c r="H117" s="130">
        <v>0.13125000000000001</v>
      </c>
      <c r="I117" s="129" t="s">
        <v>558</v>
      </c>
    </row>
    <row r="118" spans="2:16" ht="14.4" x14ac:dyDescent="0.3">
      <c r="B118" s="129" t="s">
        <v>328</v>
      </c>
      <c r="C118" s="130">
        <v>4.1666666666666664E-2</v>
      </c>
      <c r="D118" s="130">
        <v>0.20902777777777778</v>
      </c>
      <c r="E118" s="130">
        <v>0.125</v>
      </c>
      <c r="F118" s="130">
        <v>4.5138888888888888E-2</v>
      </c>
      <c r="G118" s="130">
        <v>0.42083333333333334</v>
      </c>
      <c r="H118" s="130">
        <v>0.37708333333333338</v>
      </c>
      <c r="I118" s="129" t="s">
        <v>557</v>
      </c>
      <c r="N118" s="60"/>
    </row>
    <row r="119" spans="2:16" ht="14.4" x14ac:dyDescent="0.3">
      <c r="B119" s="129" t="s">
        <v>6086</v>
      </c>
      <c r="C119" s="130">
        <v>2.0833333333333333E-3</v>
      </c>
      <c r="D119" s="130">
        <v>2.7777777777777779E-3</v>
      </c>
      <c r="E119" s="130">
        <v>0.16874999999999998</v>
      </c>
      <c r="F119" s="130">
        <v>8.6805555555555566E-2</v>
      </c>
      <c r="G119" s="130">
        <v>0.26041666666666669</v>
      </c>
      <c r="H119" s="130">
        <v>0.13125000000000001</v>
      </c>
      <c r="I119" s="129" t="s">
        <v>558</v>
      </c>
      <c r="N119" s="60"/>
    </row>
    <row r="120" spans="2:16" x14ac:dyDescent="0.25">
      <c r="B120" s="129" t="s">
        <v>325</v>
      </c>
      <c r="C120" s="130">
        <v>1.3888888888888889E-3</v>
      </c>
      <c r="D120" s="130">
        <v>4.4444444444444446E-2</v>
      </c>
      <c r="E120" s="130">
        <v>8.4027777777777771E-2</v>
      </c>
      <c r="F120" s="130">
        <v>0.12847222222222224</v>
      </c>
      <c r="G120" s="130">
        <v>0.25833333333333336</v>
      </c>
      <c r="H120" s="130">
        <v>0.13125000000000001</v>
      </c>
      <c r="I120" s="129" t="s">
        <v>558</v>
      </c>
    </row>
    <row r="121" spans="2:16" x14ac:dyDescent="0.25">
      <c r="B121" s="129" t="s">
        <v>626</v>
      </c>
      <c r="C121" s="130">
        <v>8.4027777777777771E-2</v>
      </c>
      <c r="D121" s="130">
        <v>4.4444444444444446E-2</v>
      </c>
      <c r="E121" s="130">
        <v>4.3750000000000004E-2</v>
      </c>
      <c r="F121" s="130" t="s">
        <v>601</v>
      </c>
      <c r="G121" s="130">
        <v>0.3833333333333333</v>
      </c>
      <c r="H121" s="130">
        <v>0.21319444444444444</v>
      </c>
      <c r="I121" s="129" t="s">
        <v>558</v>
      </c>
    </row>
    <row r="122" spans="2:16" x14ac:dyDescent="0.25">
      <c r="B122" s="129" t="s">
        <v>326</v>
      </c>
      <c r="C122" s="130">
        <v>0.20972222222222223</v>
      </c>
      <c r="D122" s="130">
        <v>0.21041666666666667</v>
      </c>
      <c r="E122" s="130">
        <v>8.6805555555555566E-2</v>
      </c>
      <c r="F122" s="130" t="s">
        <v>355</v>
      </c>
      <c r="G122" s="130">
        <v>0.59097222222222223</v>
      </c>
      <c r="H122" s="130">
        <v>0.33611111111111108</v>
      </c>
      <c r="I122" s="129" t="s">
        <v>557</v>
      </c>
    </row>
    <row r="123" spans="2:16" x14ac:dyDescent="0.25">
      <c r="B123" s="129" t="s">
        <v>6076</v>
      </c>
      <c r="C123" s="130">
        <v>0.29305555555555557</v>
      </c>
      <c r="D123" s="130" t="s">
        <v>601</v>
      </c>
      <c r="E123" s="130" t="s">
        <v>164</v>
      </c>
      <c r="F123" s="130">
        <v>0.12638888888888888</v>
      </c>
      <c r="G123" s="130">
        <v>0.7993055555555556</v>
      </c>
      <c r="H123" s="130">
        <v>0.41805555555555557</v>
      </c>
      <c r="I123" s="129" t="s">
        <v>557</v>
      </c>
      <c r="J123" s="129" t="s">
        <v>621</v>
      </c>
      <c r="K123" s="130">
        <v>0.12916666666666668</v>
      </c>
      <c r="L123" s="130" t="s">
        <v>601</v>
      </c>
    </row>
    <row r="124" spans="2:16" x14ac:dyDescent="0.25">
      <c r="B124" s="129" t="s">
        <v>612</v>
      </c>
      <c r="C124" s="130">
        <v>0.1673611111111111</v>
      </c>
      <c r="D124" s="130">
        <v>6.9444444444444447E-4</v>
      </c>
      <c r="E124" s="130" t="s">
        <v>160</v>
      </c>
      <c r="F124" s="130">
        <v>4.4444444444444446E-2</v>
      </c>
      <c r="G124" s="130">
        <v>0.29652777777777778</v>
      </c>
      <c r="H124" s="130">
        <v>0.21319444444444444</v>
      </c>
      <c r="I124" s="129" t="s">
        <v>558</v>
      </c>
      <c r="J124" s="129" t="s">
        <v>621</v>
      </c>
      <c r="K124" s="130">
        <v>0.16805555555555554</v>
      </c>
      <c r="L124" s="130">
        <v>0.16805555555555554</v>
      </c>
    </row>
    <row r="125" spans="2:16" x14ac:dyDescent="0.25">
      <c r="B125" s="129" t="s">
        <v>327</v>
      </c>
      <c r="C125" s="130">
        <v>0.1277777777777778</v>
      </c>
      <c r="D125" s="130">
        <v>8.4027777777777771E-2</v>
      </c>
      <c r="E125" s="130">
        <v>0.25138888888888888</v>
      </c>
      <c r="F125" s="130">
        <v>0.12638888888888888</v>
      </c>
      <c r="G125" s="130">
        <v>0.58958333333333335</v>
      </c>
      <c r="H125" s="130">
        <v>0.37708333333333338</v>
      </c>
      <c r="I125" s="129" t="s">
        <v>557</v>
      </c>
      <c r="J125" s="129" t="s">
        <v>621</v>
      </c>
      <c r="K125" s="130">
        <v>0.25208333333333333</v>
      </c>
      <c r="L125" s="130">
        <v>0.20972222222222223</v>
      </c>
    </row>
    <row r="129" spans="1:12" x14ac:dyDescent="0.25">
      <c r="A129" s="129" t="s">
        <v>693</v>
      </c>
      <c r="B129" s="129" t="s">
        <v>694</v>
      </c>
    </row>
    <row r="130" spans="1:12" x14ac:dyDescent="0.25">
      <c r="A130" s="129" t="s">
        <v>600</v>
      </c>
      <c r="B130" s="129" t="s">
        <v>549</v>
      </c>
    </row>
    <row r="132" spans="1:12" x14ac:dyDescent="0.25">
      <c r="C132" s="129" t="s">
        <v>550</v>
      </c>
      <c r="D132" s="129" t="s">
        <v>551</v>
      </c>
      <c r="E132" s="129" t="s">
        <v>552</v>
      </c>
      <c r="F132" s="129" t="s">
        <v>553</v>
      </c>
      <c r="G132" s="129" t="s">
        <v>580</v>
      </c>
      <c r="H132" s="129" t="s">
        <v>555</v>
      </c>
      <c r="I132" s="129" t="s">
        <v>556</v>
      </c>
    </row>
    <row r="133" spans="1:12" x14ac:dyDescent="0.25">
      <c r="B133" s="129" t="s">
        <v>6179</v>
      </c>
      <c r="C133" s="130" t="s">
        <v>159</v>
      </c>
      <c r="D133" s="130">
        <v>4.4444444444444446E-2</v>
      </c>
      <c r="E133" s="130">
        <v>8.7500000000000008E-2</v>
      </c>
      <c r="F133" s="130">
        <v>2.7777777777777779E-3</v>
      </c>
      <c r="G133" s="130">
        <v>0.3034722222222222</v>
      </c>
      <c r="H133" s="130">
        <v>9.0277777777777776E-2</v>
      </c>
      <c r="I133" s="129" t="s">
        <v>558</v>
      </c>
    </row>
    <row r="134" spans="1:12" x14ac:dyDescent="0.25">
      <c r="B134" s="129" t="s">
        <v>334</v>
      </c>
      <c r="C134" s="130">
        <v>8.5416666666666655E-2</v>
      </c>
      <c r="D134" s="130">
        <v>8.6805555555555566E-2</v>
      </c>
      <c r="E134" s="130">
        <v>4.5138888888888888E-2</v>
      </c>
      <c r="F134" s="130">
        <v>0.1277777777777778</v>
      </c>
      <c r="G134" s="130">
        <v>0.34513888888888888</v>
      </c>
      <c r="H134" s="130">
        <v>8.3333333333333332E-3</v>
      </c>
      <c r="I134" s="129" t="s">
        <v>558</v>
      </c>
    </row>
    <row r="135" spans="1:12" x14ac:dyDescent="0.25">
      <c r="B135" s="129" t="s">
        <v>331</v>
      </c>
      <c r="C135" s="130" t="s">
        <v>160</v>
      </c>
      <c r="D135" s="130">
        <v>0.17013888888888887</v>
      </c>
      <c r="E135" s="130">
        <v>4.5138888888888888E-2</v>
      </c>
      <c r="F135" s="130">
        <v>4.5138888888888888E-2</v>
      </c>
      <c r="G135" s="130">
        <v>0.3444444444444445</v>
      </c>
      <c r="H135" s="130">
        <v>9.0277777777777776E-2</v>
      </c>
      <c r="I135" s="129" t="s">
        <v>558</v>
      </c>
    </row>
    <row r="136" spans="1:12" x14ac:dyDescent="0.25">
      <c r="B136" s="129" t="s">
        <v>1274</v>
      </c>
      <c r="C136" s="130">
        <v>0.125</v>
      </c>
      <c r="D136" s="130">
        <v>0.1277777777777778</v>
      </c>
      <c r="E136" s="130" t="s">
        <v>162</v>
      </c>
      <c r="F136" s="130">
        <v>0.12986111111111112</v>
      </c>
      <c r="G136" s="130">
        <v>0.59375</v>
      </c>
      <c r="H136" s="130">
        <v>0.21319444444444444</v>
      </c>
      <c r="I136" s="129" t="s">
        <v>558</v>
      </c>
    </row>
    <row r="137" spans="1:12" x14ac:dyDescent="0.25">
      <c r="B137" s="129" t="s">
        <v>326</v>
      </c>
      <c r="C137" s="130">
        <v>4.3750000000000004E-2</v>
      </c>
      <c r="D137" s="130" t="s">
        <v>163</v>
      </c>
      <c r="E137" s="130">
        <v>8.5416666666666655E-2</v>
      </c>
      <c r="F137" s="130">
        <v>0.16805555555555554</v>
      </c>
      <c r="G137" s="130">
        <v>0.42499999999999999</v>
      </c>
      <c r="H137" s="130">
        <v>0.17222222222222225</v>
      </c>
      <c r="I137" s="129" t="s">
        <v>558</v>
      </c>
    </row>
    <row r="138" spans="1:12" x14ac:dyDescent="0.25">
      <c r="B138" s="129" t="s">
        <v>328</v>
      </c>
      <c r="C138" s="130" t="s">
        <v>160</v>
      </c>
      <c r="D138" s="130" t="s">
        <v>160</v>
      </c>
      <c r="E138" s="130">
        <v>0.12986111111111112</v>
      </c>
      <c r="F138" s="130">
        <v>0.12916666666666668</v>
      </c>
      <c r="G138" s="130">
        <v>0.42708333333333331</v>
      </c>
      <c r="H138" s="130">
        <v>0.17222222222222225</v>
      </c>
      <c r="I138" s="129" t="s">
        <v>558</v>
      </c>
    </row>
    <row r="139" spans="1:12" x14ac:dyDescent="0.25">
      <c r="B139" s="129" t="s">
        <v>327</v>
      </c>
      <c r="C139" s="130" t="s">
        <v>158</v>
      </c>
      <c r="D139" s="130">
        <v>4.3055555555555562E-2</v>
      </c>
      <c r="E139" s="130">
        <v>3.472222222222222E-3</v>
      </c>
      <c r="F139" s="130">
        <v>4.3055555555555562E-2</v>
      </c>
      <c r="G139" s="130">
        <v>9.0277777777777776E-2</v>
      </c>
      <c r="H139" s="130">
        <v>4.9305555555555554E-2</v>
      </c>
      <c r="I139" s="129" t="s">
        <v>558</v>
      </c>
    </row>
    <row r="140" spans="1:12" x14ac:dyDescent="0.25">
      <c r="B140" s="129" t="s">
        <v>610</v>
      </c>
      <c r="C140" s="130">
        <v>8.3333333333333329E-2</v>
      </c>
      <c r="D140" s="129" t="s">
        <v>161</v>
      </c>
      <c r="E140" s="130" t="s">
        <v>163</v>
      </c>
      <c r="F140" s="130">
        <v>4.5138888888888888E-2</v>
      </c>
      <c r="G140" s="130">
        <v>0.34166666666666662</v>
      </c>
      <c r="H140" s="130">
        <v>0.21319444444444444</v>
      </c>
      <c r="I140" s="129" t="s">
        <v>558</v>
      </c>
    </row>
    <row r="141" spans="1:12" x14ac:dyDescent="0.25">
      <c r="B141" s="129" t="s">
        <v>325</v>
      </c>
      <c r="C141" s="130">
        <v>0.16874999999999998</v>
      </c>
      <c r="D141" s="130">
        <v>4.4444444444444446E-2</v>
      </c>
      <c r="E141" s="130">
        <v>4.3750000000000004E-2</v>
      </c>
      <c r="F141" s="130">
        <v>0.25208333333333333</v>
      </c>
      <c r="G141" s="130">
        <v>0.50902777777777775</v>
      </c>
      <c r="H141" s="130">
        <v>0.25416666666666665</v>
      </c>
      <c r="I141" s="129" t="s">
        <v>558</v>
      </c>
    </row>
    <row r="142" spans="1:12" x14ac:dyDescent="0.25">
      <c r="B142" s="129" t="s">
        <v>626</v>
      </c>
      <c r="C142" s="130">
        <v>2.0833333333333333E-3</v>
      </c>
      <c r="D142" s="130" t="s">
        <v>161</v>
      </c>
      <c r="E142" s="130">
        <v>0.12569444444444444</v>
      </c>
      <c r="F142" s="130">
        <v>8.6111111111111124E-2</v>
      </c>
      <c r="G142" s="130">
        <v>0.29930555555555555</v>
      </c>
      <c r="H142" s="130">
        <v>0.17222222222222225</v>
      </c>
      <c r="I142" s="129" t="s">
        <v>558</v>
      </c>
    </row>
    <row r="143" spans="1:12" x14ac:dyDescent="0.25">
      <c r="B143" s="129" t="s">
        <v>6086</v>
      </c>
      <c r="C143" s="130">
        <v>0.25208333333333333</v>
      </c>
      <c r="D143" s="130" t="s">
        <v>164</v>
      </c>
      <c r="E143" s="130">
        <v>1.3888888888888889E-3</v>
      </c>
      <c r="F143" s="130">
        <v>8.3333333333333329E-2</v>
      </c>
      <c r="G143" s="130">
        <v>0.50555555555555554</v>
      </c>
      <c r="H143" s="130">
        <v>0.33611111111111108</v>
      </c>
      <c r="I143" s="129" t="s">
        <v>557</v>
      </c>
      <c r="J143" s="129" t="s">
        <v>621</v>
      </c>
      <c r="K143" s="130" t="s">
        <v>171</v>
      </c>
      <c r="L143" s="130">
        <v>8.6805555555555566E-2</v>
      </c>
    </row>
    <row r="144" spans="1:12" x14ac:dyDescent="0.25">
      <c r="B144" s="129" t="s">
        <v>612</v>
      </c>
      <c r="C144" s="130">
        <v>8.5416666666666655E-2</v>
      </c>
      <c r="D144" s="130" t="s">
        <v>161</v>
      </c>
      <c r="E144" s="130">
        <v>0.12569444444444444</v>
      </c>
      <c r="F144" s="130" t="s">
        <v>159</v>
      </c>
      <c r="G144" s="130">
        <v>0.46527777777777773</v>
      </c>
      <c r="H144" s="130">
        <v>0.25416666666666665</v>
      </c>
      <c r="I144" s="129" t="s">
        <v>557</v>
      </c>
      <c r="J144" s="129" t="s">
        <v>621</v>
      </c>
      <c r="K144" s="130" t="s">
        <v>164</v>
      </c>
      <c r="L144" s="130">
        <v>4.3750000000000004E-2</v>
      </c>
    </row>
    <row r="145" spans="1:12" x14ac:dyDescent="0.25">
      <c r="B145" s="129" t="s">
        <v>323</v>
      </c>
      <c r="C145" s="130">
        <v>0.125</v>
      </c>
      <c r="D145" s="130">
        <v>4.3750000000000004E-2</v>
      </c>
      <c r="E145" s="130">
        <v>4.4444444444444446E-2</v>
      </c>
      <c r="F145" s="130">
        <v>0.17013888888888887</v>
      </c>
      <c r="G145" s="130">
        <v>0.3833333333333333</v>
      </c>
      <c r="H145" s="130">
        <v>0.13125000000000001</v>
      </c>
      <c r="I145" s="129" t="s">
        <v>558</v>
      </c>
      <c r="J145" s="129" t="s">
        <v>621</v>
      </c>
      <c r="K145" s="130">
        <v>8.3333333333333329E-2</v>
      </c>
      <c r="L145" s="130">
        <v>4.1666666666666664E-2</v>
      </c>
    </row>
    <row r="146" spans="1:12" x14ac:dyDescent="0.25">
      <c r="K146" s="130"/>
      <c r="L146" s="130"/>
    </row>
    <row r="147" spans="1:12" x14ac:dyDescent="0.25">
      <c r="K147" s="130"/>
      <c r="L147" s="130"/>
    </row>
    <row r="148" spans="1:12" ht="13.8" x14ac:dyDescent="0.25">
      <c r="B148" s="161" t="s">
        <v>211</v>
      </c>
      <c r="C148" s="129" t="s">
        <v>550</v>
      </c>
      <c r="D148" s="129" t="s">
        <v>551</v>
      </c>
      <c r="E148" s="129" t="s">
        <v>552</v>
      </c>
      <c r="F148" s="129" t="s">
        <v>553</v>
      </c>
      <c r="G148" s="129" t="s">
        <v>580</v>
      </c>
      <c r="H148" s="129" t="s">
        <v>555</v>
      </c>
      <c r="I148" s="129" t="s">
        <v>556</v>
      </c>
    </row>
    <row r="149" spans="1:12" x14ac:dyDescent="0.25">
      <c r="B149" s="129" t="s">
        <v>6076</v>
      </c>
      <c r="C149" s="130">
        <v>0.12569444444444444</v>
      </c>
      <c r="D149" s="130">
        <v>4.5138888888888888E-2</v>
      </c>
      <c r="E149" s="130" t="s">
        <v>164</v>
      </c>
      <c r="F149" s="130" t="s">
        <v>209</v>
      </c>
      <c r="G149" s="130">
        <v>0.38125000000000003</v>
      </c>
      <c r="H149" s="130">
        <v>0.2951388888888889</v>
      </c>
      <c r="I149" s="130" t="s">
        <v>557</v>
      </c>
      <c r="K149" s="130"/>
      <c r="L149" s="130"/>
    </row>
    <row r="150" spans="1:12" x14ac:dyDescent="0.25">
      <c r="B150" s="129" t="s">
        <v>323</v>
      </c>
      <c r="C150" s="130">
        <v>8.6111111111111124E-2</v>
      </c>
      <c r="D150" s="130">
        <v>0.12638888888888888</v>
      </c>
      <c r="E150" s="130">
        <v>4.4444444444444446E-2</v>
      </c>
      <c r="F150" s="130" t="s">
        <v>208</v>
      </c>
      <c r="G150" s="130">
        <v>0.3</v>
      </c>
      <c r="H150" s="130">
        <v>0.17222222222222225</v>
      </c>
      <c r="I150" s="130" t="s">
        <v>558</v>
      </c>
    </row>
    <row r="151" spans="1:12" x14ac:dyDescent="0.25">
      <c r="B151" s="129" t="s">
        <v>332</v>
      </c>
      <c r="C151" s="130">
        <v>4.3055555555555562E-2</v>
      </c>
      <c r="D151" s="130">
        <v>0.20972222222222223</v>
      </c>
      <c r="E151" s="130">
        <v>8.4027777777777771E-2</v>
      </c>
      <c r="F151" s="130">
        <v>0.12569444444444444</v>
      </c>
      <c r="G151" s="130">
        <v>0.46249999999999997</v>
      </c>
      <c r="H151" s="130">
        <v>0.37708333333333338</v>
      </c>
      <c r="I151" s="130" t="s">
        <v>557</v>
      </c>
    </row>
    <row r="154" spans="1:12" x14ac:dyDescent="0.25">
      <c r="A154" s="129" t="s">
        <v>633</v>
      </c>
      <c r="B154" s="129" t="s">
        <v>587</v>
      </c>
    </row>
    <row r="155" spans="1:12" x14ac:dyDescent="0.25">
      <c r="A155" s="129" t="s">
        <v>635</v>
      </c>
      <c r="B155" s="129" t="s">
        <v>549</v>
      </c>
    </row>
    <row r="157" spans="1:12" x14ac:dyDescent="0.25">
      <c r="C157" s="129" t="s">
        <v>550</v>
      </c>
      <c r="D157" s="129" t="s">
        <v>551</v>
      </c>
      <c r="E157" s="129" t="s">
        <v>552</v>
      </c>
      <c r="F157" s="129" t="s">
        <v>553</v>
      </c>
      <c r="G157" s="129" t="s">
        <v>580</v>
      </c>
      <c r="H157" s="129" t="s">
        <v>555</v>
      </c>
      <c r="I157" s="129" t="s">
        <v>556</v>
      </c>
    </row>
    <row r="158" spans="1:12" x14ac:dyDescent="0.25">
      <c r="B158" s="129" t="s">
        <v>608</v>
      </c>
      <c r="C158" s="130">
        <v>8.3333333333333329E-2</v>
      </c>
      <c r="D158" s="130">
        <v>8.3333333333333329E-2</v>
      </c>
      <c r="E158" s="130">
        <v>0.16874999999999998</v>
      </c>
      <c r="F158" s="130">
        <v>8.6111111111111124E-2</v>
      </c>
      <c r="G158" s="130">
        <v>0.42152777777777778</v>
      </c>
      <c r="H158" s="130">
        <v>0.37708333333333338</v>
      </c>
      <c r="I158" s="130" t="s">
        <v>557</v>
      </c>
    </row>
    <row r="159" spans="1:12" x14ac:dyDescent="0.25">
      <c r="B159" s="129" t="s">
        <v>1274</v>
      </c>
      <c r="C159" s="130" t="s">
        <v>352</v>
      </c>
      <c r="D159" s="130" t="s">
        <v>351</v>
      </c>
      <c r="E159" s="130">
        <v>0.125</v>
      </c>
      <c r="F159" s="130">
        <v>4.3750000000000004E-2</v>
      </c>
      <c r="G159" s="130">
        <v>0.42152777777777778</v>
      </c>
      <c r="H159" s="130">
        <v>0.2951388888888889</v>
      </c>
      <c r="I159" s="130" t="s">
        <v>557</v>
      </c>
    </row>
    <row r="160" spans="1:12" x14ac:dyDescent="0.25">
      <c r="B160" s="129" t="s">
        <v>326</v>
      </c>
      <c r="C160" s="130">
        <v>0.12916666666666668</v>
      </c>
      <c r="D160" s="130">
        <v>8.4027777777777771E-2</v>
      </c>
      <c r="E160" s="130">
        <v>4.4444444444444446E-2</v>
      </c>
      <c r="F160" s="130">
        <v>4.3750000000000004E-2</v>
      </c>
      <c r="G160" s="130">
        <v>0.30138888888888887</v>
      </c>
      <c r="H160" s="130">
        <v>0.13125000000000001</v>
      </c>
      <c r="I160" s="130" t="s">
        <v>558</v>
      </c>
    </row>
    <row r="161" spans="1:9" x14ac:dyDescent="0.25">
      <c r="B161" s="129" t="s">
        <v>328</v>
      </c>
      <c r="C161" s="130">
        <v>8.3333333333333329E-2</v>
      </c>
      <c r="D161" s="130">
        <v>4.3055555555555562E-2</v>
      </c>
      <c r="E161" s="130">
        <v>4.4444444444444446E-2</v>
      </c>
      <c r="F161" s="130">
        <v>8.4027777777777771E-2</v>
      </c>
      <c r="G161" s="130">
        <v>0.25486111111111109</v>
      </c>
      <c r="H161" s="130">
        <v>0.25416666666666665</v>
      </c>
      <c r="I161" s="130" t="s">
        <v>558</v>
      </c>
    </row>
    <row r="162" spans="1:9" x14ac:dyDescent="0.25">
      <c r="B162" s="129" t="s">
        <v>609</v>
      </c>
      <c r="C162" s="130" t="s">
        <v>160</v>
      </c>
      <c r="D162" s="130" t="s">
        <v>351</v>
      </c>
      <c r="E162" s="130">
        <v>0.12569444444444444</v>
      </c>
      <c r="F162" s="130">
        <v>0.12638888888888888</v>
      </c>
      <c r="G162" s="130">
        <v>0.46249999999999997</v>
      </c>
      <c r="H162" s="130">
        <v>0.41805555555555557</v>
      </c>
      <c r="I162" s="130" t="s">
        <v>557</v>
      </c>
    </row>
    <row r="163" spans="1:9" x14ac:dyDescent="0.25">
      <c r="B163" s="129" t="s">
        <v>6179</v>
      </c>
      <c r="C163" s="130" t="s">
        <v>351</v>
      </c>
      <c r="D163" s="130">
        <v>0.21041666666666667</v>
      </c>
      <c r="E163" s="130">
        <v>4.6527777777777779E-2</v>
      </c>
      <c r="F163" s="130">
        <v>4.3055555555555562E-2</v>
      </c>
      <c r="G163" s="130">
        <v>0.42638888888888887</v>
      </c>
      <c r="H163" s="130">
        <v>0.21319444444444444</v>
      </c>
      <c r="I163" s="130" t="s">
        <v>558</v>
      </c>
    </row>
    <row r="164" spans="1:9" x14ac:dyDescent="0.25">
      <c r="B164" s="129" t="s">
        <v>327</v>
      </c>
      <c r="C164" s="130">
        <v>8.3333333333333329E-2</v>
      </c>
      <c r="D164" s="130" t="s">
        <v>601</v>
      </c>
      <c r="E164" s="130">
        <v>0.12638888888888888</v>
      </c>
      <c r="F164" s="130" t="s">
        <v>163</v>
      </c>
      <c r="G164" s="130">
        <v>0.54861111111111105</v>
      </c>
      <c r="H164" s="130">
        <v>0.37708333333333338</v>
      </c>
      <c r="I164" s="130" t="s">
        <v>557</v>
      </c>
    </row>
    <row r="165" spans="1:9" x14ac:dyDescent="0.25">
      <c r="B165" s="129" t="s">
        <v>610</v>
      </c>
      <c r="C165" s="130" t="s">
        <v>351</v>
      </c>
      <c r="D165" s="129" t="s">
        <v>355</v>
      </c>
      <c r="E165" s="130">
        <v>8.4027777777777771E-2</v>
      </c>
      <c r="F165" s="130">
        <v>4.3055555555555562E-2</v>
      </c>
      <c r="G165" s="130">
        <v>0.33749999999999997</v>
      </c>
      <c r="H165" s="130">
        <v>0.2951388888888889</v>
      </c>
      <c r="I165" s="130" t="s">
        <v>557</v>
      </c>
    </row>
    <row r="166" spans="1:9" x14ac:dyDescent="0.25">
      <c r="B166" s="129" t="s">
        <v>325</v>
      </c>
      <c r="C166" s="130">
        <v>0.20902777777777778</v>
      </c>
      <c r="D166" s="130">
        <v>0.12638888888888888</v>
      </c>
      <c r="E166" s="130">
        <v>2.0833333333333333E-3</v>
      </c>
      <c r="F166" s="130">
        <v>4.3750000000000004E-2</v>
      </c>
      <c r="G166" s="130">
        <v>0.38125000000000003</v>
      </c>
      <c r="H166" s="130">
        <v>0.25416666666666665</v>
      </c>
      <c r="I166" s="130" t="s">
        <v>562</v>
      </c>
    </row>
    <row r="167" spans="1:9" x14ac:dyDescent="0.25">
      <c r="B167" s="129" t="s">
        <v>334</v>
      </c>
      <c r="C167" s="130" t="s">
        <v>163</v>
      </c>
      <c r="D167" s="130">
        <v>4.4444444444444446E-2</v>
      </c>
      <c r="E167" s="130">
        <v>4.3055555555555562E-2</v>
      </c>
      <c r="F167" s="130" t="s">
        <v>351</v>
      </c>
      <c r="G167" s="130">
        <v>0.34166666666666662</v>
      </c>
      <c r="H167" s="130">
        <v>0.13125000000000001</v>
      </c>
      <c r="I167" s="130" t="s">
        <v>558</v>
      </c>
    </row>
    <row r="168" spans="1:9" x14ac:dyDescent="0.25">
      <c r="B168" s="129" t="s">
        <v>6086</v>
      </c>
      <c r="C168" s="130">
        <v>0.12638888888888888</v>
      </c>
      <c r="D168" s="130" t="s">
        <v>601</v>
      </c>
      <c r="E168" s="130" t="s">
        <v>164</v>
      </c>
      <c r="F168" s="130">
        <v>0.25208333333333333</v>
      </c>
      <c r="G168" s="130">
        <v>0.7583333333333333</v>
      </c>
      <c r="H168" s="130">
        <v>0.41805555555555557</v>
      </c>
      <c r="I168" s="130" t="s">
        <v>557</v>
      </c>
    </row>
    <row r="169" spans="1:9" x14ac:dyDescent="0.25">
      <c r="B169" s="129" t="s">
        <v>626</v>
      </c>
      <c r="C169" s="130" t="s">
        <v>352</v>
      </c>
      <c r="D169" s="130">
        <v>2.0833333333333333E-3</v>
      </c>
      <c r="E169" s="130">
        <v>0.12569444444444444</v>
      </c>
      <c r="F169" s="130">
        <v>4.6527777777777779E-2</v>
      </c>
      <c r="G169" s="130">
        <v>0.30069444444444443</v>
      </c>
      <c r="H169" s="130">
        <v>0.21319444444444444</v>
      </c>
      <c r="I169" s="130" t="s">
        <v>558</v>
      </c>
    </row>
    <row r="170" spans="1:9" x14ac:dyDescent="0.25">
      <c r="B170" s="129" t="s">
        <v>612</v>
      </c>
      <c r="C170" s="130">
        <v>8.6111111111111124E-2</v>
      </c>
      <c r="D170" s="130" t="s">
        <v>351</v>
      </c>
      <c r="E170" s="130">
        <v>0.16805555555555554</v>
      </c>
      <c r="F170" s="130">
        <v>8.4027777777777771E-2</v>
      </c>
      <c r="G170" s="130">
        <v>0.46458333333333335</v>
      </c>
      <c r="H170" s="130">
        <v>0.33611111111111108</v>
      </c>
      <c r="I170" s="130" t="s">
        <v>557</v>
      </c>
    </row>
    <row r="172" spans="1:9" x14ac:dyDescent="0.25">
      <c r="A172" s="129" t="s">
        <v>614</v>
      </c>
      <c r="C172" s="130" t="s">
        <v>339</v>
      </c>
      <c r="D172" s="130" t="s">
        <v>340</v>
      </c>
      <c r="E172" s="130" t="s">
        <v>341</v>
      </c>
      <c r="F172" s="130" t="s">
        <v>342</v>
      </c>
      <c r="G172" s="130" t="s">
        <v>343</v>
      </c>
      <c r="H172" s="130" t="s">
        <v>337</v>
      </c>
    </row>
    <row r="173" spans="1:9" x14ac:dyDescent="0.25">
      <c r="A173" s="129" t="s">
        <v>615</v>
      </c>
      <c r="B173" s="129" t="s">
        <v>637</v>
      </c>
      <c r="C173" s="130">
        <v>0.12638888888888888</v>
      </c>
      <c r="D173" s="130">
        <v>2.0833333333333333E-3</v>
      </c>
      <c r="E173" s="130">
        <v>4.4444444444444446E-2</v>
      </c>
      <c r="F173" s="130">
        <v>4.3055555555555562E-2</v>
      </c>
      <c r="G173" s="130">
        <v>0.17152777777777775</v>
      </c>
      <c r="H173" s="130">
        <v>4.4444444444444446E-2</v>
      </c>
    </row>
    <row r="176" spans="1:9" x14ac:dyDescent="0.25">
      <c r="A176" s="129" t="s">
        <v>630</v>
      </c>
      <c r="B176" s="129" t="s">
        <v>599</v>
      </c>
    </row>
    <row r="177" spans="1:12" x14ac:dyDescent="0.25">
      <c r="A177" s="129" t="s">
        <v>600</v>
      </c>
      <c r="B177" s="129" t="s">
        <v>549</v>
      </c>
    </row>
    <row r="178" spans="1:12" x14ac:dyDescent="0.25">
      <c r="C178" s="129" t="s">
        <v>550</v>
      </c>
      <c r="D178" s="129" t="s">
        <v>551</v>
      </c>
      <c r="E178" s="129" t="s">
        <v>552</v>
      </c>
      <c r="F178" s="129" t="s">
        <v>553</v>
      </c>
      <c r="G178" s="129" t="s">
        <v>580</v>
      </c>
      <c r="H178" s="129" t="s">
        <v>555</v>
      </c>
      <c r="I178" s="129" t="s">
        <v>556</v>
      </c>
    </row>
    <row r="179" spans="1:12" x14ac:dyDescent="0.25">
      <c r="B179" s="129" t="s">
        <v>608</v>
      </c>
      <c r="C179" s="130">
        <v>4.3750000000000004E-2</v>
      </c>
      <c r="D179" s="130">
        <v>0.12569444444444444</v>
      </c>
      <c r="E179" s="130" t="s">
        <v>163</v>
      </c>
      <c r="F179" s="130">
        <v>4.3055555555555562E-2</v>
      </c>
      <c r="G179" s="130">
        <v>0.34027777777777773</v>
      </c>
      <c r="H179" s="130">
        <v>0.17222222222222225</v>
      </c>
      <c r="I179" s="130" t="s">
        <v>558</v>
      </c>
    </row>
    <row r="180" spans="1:12" x14ac:dyDescent="0.25">
      <c r="B180" s="129" t="s">
        <v>1274</v>
      </c>
      <c r="C180" s="130">
        <v>4.5138888888888888E-2</v>
      </c>
      <c r="D180" s="130">
        <v>0.20902777777777778</v>
      </c>
      <c r="E180" s="130">
        <v>0.17083333333333331</v>
      </c>
      <c r="F180" s="130">
        <v>4.5138888888888888E-2</v>
      </c>
      <c r="G180" s="130">
        <v>0.47013888888888888</v>
      </c>
      <c r="H180" s="130">
        <v>0.13125000000000001</v>
      </c>
      <c r="I180" s="130" t="s">
        <v>558</v>
      </c>
    </row>
    <row r="181" spans="1:12" x14ac:dyDescent="0.25">
      <c r="B181" s="129" t="s">
        <v>326</v>
      </c>
      <c r="C181" s="130">
        <v>0.16666666666666666</v>
      </c>
      <c r="D181" s="130" t="s">
        <v>351</v>
      </c>
      <c r="E181" s="130" t="s">
        <v>161</v>
      </c>
      <c r="F181" s="130">
        <v>4.4444444444444446E-2</v>
      </c>
      <c r="G181" s="130">
        <v>0.42291666666666666</v>
      </c>
      <c r="H181" s="130">
        <v>0.25416666666666665</v>
      </c>
      <c r="I181" s="130" t="s">
        <v>557</v>
      </c>
    </row>
    <row r="182" spans="1:12" x14ac:dyDescent="0.25">
      <c r="B182" s="129" t="s">
        <v>328</v>
      </c>
      <c r="C182" s="130">
        <v>0.12569444444444444</v>
      </c>
      <c r="D182" s="130" t="s">
        <v>160</v>
      </c>
      <c r="E182" s="130">
        <v>6.9444444444444447E-4</v>
      </c>
      <c r="F182" s="130" t="s">
        <v>353</v>
      </c>
      <c r="G182" s="130">
        <v>0.38055555555555554</v>
      </c>
      <c r="H182" s="130">
        <v>0.25416666666666665</v>
      </c>
      <c r="I182" s="130" t="s">
        <v>557</v>
      </c>
      <c r="J182" s="129" t="s">
        <v>621</v>
      </c>
      <c r="K182" s="130" t="s">
        <v>160</v>
      </c>
      <c r="L182" s="130">
        <v>0.16805555555555554</v>
      </c>
    </row>
    <row r="183" spans="1:12" x14ac:dyDescent="0.25">
      <c r="B183" s="129" t="s">
        <v>609</v>
      </c>
      <c r="C183" s="130">
        <v>4.4444444444444446E-2</v>
      </c>
      <c r="D183" s="130">
        <v>0.12569444444444444</v>
      </c>
      <c r="E183" s="130">
        <v>0.12638888888888888</v>
      </c>
      <c r="F183" s="130">
        <v>0.1277777777777778</v>
      </c>
      <c r="G183" s="130">
        <v>0.42430555555555555</v>
      </c>
      <c r="H183" s="130">
        <v>0.25416666666666665</v>
      </c>
      <c r="I183" s="130" t="s">
        <v>558</v>
      </c>
      <c r="J183" s="129" t="s">
        <v>621</v>
      </c>
      <c r="K183" s="130" t="s">
        <v>160</v>
      </c>
      <c r="L183" s="130">
        <v>0.12638888888888888</v>
      </c>
    </row>
    <row r="184" spans="1:12" x14ac:dyDescent="0.25">
      <c r="B184" s="129" t="s">
        <v>6179</v>
      </c>
      <c r="C184" s="130">
        <v>8.5416666666666655E-2</v>
      </c>
      <c r="D184" s="130">
        <v>6.9444444444444447E-4</v>
      </c>
      <c r="E184" s="130">
        <v>0.12569444444444444</v>
      </c>
      <c r="F184" s="130">
        <v>0.25069444444444444</v>
      </c>
      <c r="G184" s="130">
        <v>0.46249999999999997</v>
      </c>
      <c r="H184" s="130">
        <v>0.25416666666666665</v>
      </c>
      <c r="I184" s="130" t="s">
        <v>557</v>
      </c>
    </row>
    <row r="185" spans="1:12" x14ac:dyDescent="0.25">
      <c r="B185" s="129" t="s">
        <v>327</v>
      </c>
      <c r="C185" s="130">
        <v>4.3055555555555562E-2</v>
      </c>
      <c r="D185" s="130" t="s">
        <v>352</v>
      </c>
      <c r="E185" s="130" t="s">
        <v>159</v>
      </c>
      <c r="F185" s="130">
        <v>4.3055555555555562E-2</v>
      </c>
      <c r="G185" s="130">
        <v>0.38125000000000003</v>
      </c>
      <c r="H185" s="130">
        <v>0.17222222222222225</v>
      </c>
      <c r="I185" s="130" t="s">
        <v>558</v>
      </c>
      <c r="J185" s="129" t="s">
        <v>621</v>
      </c>
      <c r="K185" s="130">
        <v>0.25069444444444444</v>
      </c>
      <c r="L185" s="129" t="s">
        <v>354</v>
      </c>
    </row>
    <row r="186" spans="1:12" x14ac:dyDescent="0.25">
      <c r="B186" s="129" t="s">
        <v>610</v>
      </c>
      <c r="C186" s="130">
        <v>8.6805555555555566E-2</v>
      </c>
      <c r="D186" s="129" t="s">
        <v>161</v>
      </c>
      <c r="E186" s="130">
        <v>4.4444444444444446E-2</v>
      </c>
      <c r="F186" s="130">
        <v>6.9444444444444447E-4</v>
      </c>
      <c r="G186" s="130">
        <v>0.21736111111111112</v>
      </c>
      <c r="H186" s="130">
        <v>4.9305555555555554E-2</v>
      </c>
      <c r="I186" s="130" t="s">
        <v>558</v>
      </c>
    </row>
    <row r="187" spans="1:12" x14ac:dyDescent="0.25">
      <c r="B187" s="129" t="s">
        <v>325</v>
      </c>
      <c r="C187" s="130" t="s">
        <v>352</v>
      </c>
      <c r="D187" s="130">
        <v>0.12569444444444444</v>
      </c>
      <c r="E187" s="130" t="s">
        <v>352</v>
      </c>
      <c r="F187" s="130">
        <v>3.472222222222222E-3</v>
      </c>
      <c r="G187" s="130">
        <v>0.38194444444444442</v>
      </c>
      <c r="H187" s="130">
        <v>0.2951388888888889</v>
      </c>
      <c r="I187" s="130" t="s">
        <v>557</v>
      </c>
    </row>
    <row r="188" spans="1:12" x14ac:dyDescent="0.25">
      <c r="B188" s="129" t="s">
        <v>334</v>
      </c>
      <c r="C188" s="130">
        <v>4.4444444444444446E-2</v>
      </c>
      <c r="D188" s="130">
        <v>8.4027777777777771E-2</v>
      </c>
      <c r="E188" s="130">
        <v>8.6111111111111124E-2</v>
      </c>
      <c r="F188" s="130">
        <v>2.0833333333333333E-3</v>
      </c>
      <c r="G188" s="130">
        <v>0.21666666666666667</v>
      </c>
      <c r="H188" s="130">
        <v>0.13125000000000001</v>
      </c>
      <c r="I188" s="130" t="s">
        <v>558</v>
      </c>
    </row>
    <row r="189" spans="1:12" x14ac:dyDescent="0.25">
      <c r="B189" s="129" t="s">
        <v>6086</v>
      </c>
      <c r="C189" s="130" t="s">
        <v>352</v>
      </c>
      <c r="D189" s="130" t="s">
        <v>359</v>
      </c>
      <c r="E189" s="130">
        <v>0.12847222222222224</v>
      </c>
      <c r="F189" s="130">
        <v>1.3888888888888889E-3</v>
      </c>
      <c r="G189" s="130">
        <v>0.42638888888888887</v>
      </c>
      <c r="H189" s="130">
        <v>0.13125000000000001</v>
      </c>
      <c r="I189" s="130" t="s">
        <v>558</v>
      </c>
    </row>
    <row r="190" spans="1:12" x14ac:dyDescent="0.25">
      <c r="B190" s="129" t="s">
        <v>626</v>
      </c>
      <c r="C190" s="130" t="s">
        <v>352</v>
      </c>
      <c r="D190" s="130">
        <v>4.3055555555555562E-2</v>
      </c>
      <c r="E190" s="130">
        <v>2.0833333333333333E-3</v>
      </c>
      <c r="F190" s="130">
        <v>4.4444444444444446E-2</v>
      </c>
      <c r="G190" s="130">
        <v>0.21597222222222223</v>
      </c>
      <c r="H190" s="130">
        <v>9.0277777777777776E-2</v>
      </c>
      <c r="I190" s="130" t="s">
        <v>558</v>
      </c>
    </row>
    <row r="191" spans="1:12" x14ac:dyDescent="0.25">
      <c r="B191" s="129" t="s">
        <v>612</v>
      </c>
      <c r="C191" s="130" t="s">
        <v>352</v>
      </c>
      <c r="D191" s="130">
        <v>8.5416666666666655E-2</v>
      </c>
      <c r="E191" s="130">
        <v>6.9444444444444447E-4</v>
      </c>
      <c r="F191" s="130" t="s">
        <v>351</v>
      </c>
      <c r="G191" s="130">
        <v>0.33888888888888885</v>
      </c>
      <c r="H191" s="130">
        <v>0.17222222222222225</v>
      </c>
      <c r="I191" s="130" t="s">
        <v>558</v>
      </c>
    </row>
    <row r="194" spans="1:9" ht="13.8" x14ac:dyDescent="0.25">
      <c r="B194" s="161" t="s">
        <v>211</v>
      </c>
      <c r="C194" s="129" t="s">
        <v>550</v>
      </c>
      <c r="D194" s="129" t="s">
        <v>551</v>
      </c>
      <c r="E194" s="129" t="s">
        <v>552</v>
      </c>
      <c r="F194" s="129" t="s">
        <v>553</v>
      </c>
      <c r="G194" s="129" t="s">
        <v>580</v>
      </c>
      <c r="H194" s="129" t="s">
        <v>555</v>
      </c>
      <c r="I194" s="129" t="s">
        <v>556</v>
      </c>
    </row>
    <row r="195" spans="1:9" x14ac:dyDescent="0.25">
      <c r="B195" s="129" t="s">
        <v>6076</v>
      </c>
      <c r="C195" s="130">
        <v>0.21041666666666667</v>
      </c>
      <c r="D195" s="130">
        <v>0.12638888888888888</v>
      </c>
      <c r="E195" s="130">
        <v>8.5416666666666655E-2</v>
      </c>
      <c r="F195" s="130">
        <v>0.12847222222222224</v>
      </c>
      <c r="G195" s="130">
        <v>0.55069444444444449</v>
      </c>
      <c r="H195" s="130">
        <v>0.25416666666666665</v>
      </c>
      <c r="I195" s="130" t="s">
        <v>562</v>
      </c>
    </row>
    <row r="196" spans="1:9" x14ac:dyDescent="0.25">
      <c r="B196" s="129" t="s">
        <v>323</v>
      </c>
      <c r="C196" s="130">
        <v>0.1673611111111111</v>
      </c>
      <c r="D196" s="130">
        <v>0.3347222222222222</v>
      </c>
      <c r="E196" s="130" t="s">
        <v>208</v>
      </c>
      <c r="F196" s="130">
        <v>8.4027777777777771E-2</v>
      </c>
      <c r="G196" s="130">
        <v>0.62916666666666665</v>
      </c>
      <c r="H196" s="130">
        <v>0.41805555555555557</v>
      </c>
      <c r="I196" s="130" t="s">
        <v>557</v>
      </c>
    </row>
    <row r="197" spans="1:9" x14ac:dyDescent="0.25">
      <c r="B197" s="129" t="s">
        <v>333</v>
      </c>
      <c r="C197" s="130">
        <v>0.16805555555555554</v>
      </c>
      <c r="D197" s="130">
        <v>0.20902777777777778</v>
      </c>
      <c r="E197" s="130" t="s">
        <v>164</v>
      </c>
      <c r="F197" s="130" t="s">
        <v>589</v>
      </c>
      <c r="G197" s="130">
        <v>0.58888888888888891</v>
      </c>
      <c r="H197" s="130">
        <v>0.37708333333333338</v>
      </c>
      <c r="I197" s="130" t="s">
        <v>557</v>
      </c>
    </row>
    <row r="200" spans="1:9" x14ac:dyDescent="0.25">
      <c r="A200" s="160" t="s">
        <v>623</v>
      </c>
      <c r="B200" s="129" t="s">
        <v>624</v>
      </c>
    </row>
    <row r="201" spans="1:9" x14ac:dyDescent="0.25">
      <c r="A201" s="160" t="s">
        <v>692</v>
      </c>
      <c r="B201" s="129" t="s">
        <v>549</v>
      </c>
    </row>
    <row r="202" spans="1:9" x14ac:dyDescent="0.25">
      <c r="C202" s="129" t="s">
        <v>550</v>
      </c>
      <c r="D202" s="129" t="s">
        <v>551</v>
      </c>
      <c r="E202" s="129" t="s">
        <v>552</v>
      </c>
      <c r="F202" s="129" t="s">
        <v>553</v>
      </c>
      <c r="G202" s="129" t="s">
        <v>580</v>
      </c>
      <c r="H202" s="129" t="s">
        <v>555</v>
      </c>
      <c r="I202" s="129" t="s">
        <v>556</v>
      </c>
    </row>
    <row r="203" spans="1:9" x14ac:dyDescent="0.25">
      <c r="B203" s="129" t="s">
        <v>608</v>
      </c>
      <c r="C203" s="130">
        <v>4.1666666666666664E-2</v>
      </c>
      <c r="D203" s="130">
        <v>0.1673611111111111</v>
      </c>
      <c r="E203" s="130" t="s">
        <v>352</v>
      </c>
      <c r="F203" s="130" t="s">
        <v>590</v>
      </c>
      <c r="G203" s="130">
        <v>0.54791666666666672</v>
      </c>
      <c r="H203" s="130">
        <v>0.37708333333333338</v>
      </c>
      <c r="I203" s="130" t="s">
        <v>557</v>
      </c>
    </row>
    <row r="204" spans="1:9" x14ac:dyDescent="0.25">
      <c r="B204" s="129" t="s">
        <v>1274</v>
      </c>
      <c r="C204" s="130">
        <v>0.1673611111111111</v>
      </c>
      <c r="D204" s="130">
        <v>0.20972222222222223</v>
      </c>
      <c r="E204" s="130">
        <v>8.4027777777777771E-2</v>
      </c>
      <c r="F204" s="130">
        <v>4.3055555555555562E-2</v>
      </c>
      <c r="G204" s="130">
        <v>0.50416666666666665</v>
      </c>
      <c r="H204" s="130">
        <v>0.37708333333333338</v>
      </c>
      <c r="I204" s="130" t="s">
        <v>557</v>
      </c>
    </row>
    <row r="205" spans="1:9" x14ac:dyDescent="0.25">
      <c r="B205" s="129" t="s">
        <v>333</v>
      </c>
      <c r="C205" s="130">
        <v>6.9444444444444447E-4</v>
      </c>
      <c r="D205" s="130">
        <v>0.1673611111111111</v>
      </c>
      <c r="E205" s="130">
        <v>0.12916666666666668</v>
      </c>
      <c r="F205" s="130">
        <v>4.1666666666666664E-2</v>
      </c>
      <c r="G205" s="130">
        <v>0.33888888888888885</v>
      </c>
      <c r="H205" s="130">
        <v>0.25416666666666665</v>
      </c>
      <c r="I205" s="130" t="s">
        <v>562</v>
      </c>
    </row>
    <row r="206" spans="1:9" x14ac:dyDescent="0.25">
      <c r="B206" s="129" t="s">
        <v>326</v>
      </c>
      <c r="C206" s="130">
        <v>0.20902777777777778</v>
      </c>
      <c r="D206" s="130" t="s">
        <v>159</v>
      </c>
      <c r="E206" s="130" t="s">
        <v>590</v>
      </c>
      <c r="F206" s="130">
        <v>8.6111111111111124E-2</v>
      </c>
      <c r="G206" s="130">
        <v>0.67638888888888893</v>
      </c>
      <c r="H206" s="130">
        <v>0.25416666666666665</v>
      </c>
      <c r="I206" s="130" t="s">
        <v>557</v>
      </c>
    </row>
    <row r="207" spans="1:9" x14ac:dyDescent="0.25">
      <c r="B207" s="129" t="s">
        <v>328</v>
      </c>
      <c r="C207" s="130">
        <v>0.12638888888888888</v>
      </c>
      <c r="D207" s="130">
        <v>0.20902777777777778</v>
      </c>
      <c r="E207" s="130">
        <v>0.12638888888888888</v>
      </c>
      <c r="F207" s="130">
        <v>0.20833333333333334</v>
      </c>
      <c r="G207" s="130">
        <v>0.67013888888888884</v>
      </c>
      <c r="H207" s="130">
        <v>0.5</v>
      </c>
      <c r="I207" s="130" t="s">
        <v>557</v>
      </c>
    </row>
    <row r="208" spans="1:9" x14ac:dyDescent="0.25">
      <c r="B208" s="129" t="s">
        <v>609</v>
      </c>
      <c r="C208" s="130">
        <v>0.20833333333333334</v>
      </c>
      <c r="D208" s="130">
        <v>0.16805555555555554</v>
      </c>
      <c r="E208" s="130">
        <v>4.3055555555555562E-2</v>
      </c>
      <c r="F208" s="130">
        <v>8.3333333333333329E-2</v>
      </c>
      <c r="G208" s="130">
        <v>0.50277777777777777</v>
      </c>
      <c r="H208" s="130">
        <v>0.37708333333333338</v>
      </c>
      <c r="I208" s="130" t="s">
        <v>557</v>
      </c>
    </row>
    <row r="209" spans="1:11" x14ac:dyDescent="0.25">
      <c r="B209" s="129" t="s">
        <v>6179</v>
      </c>
      <c r="C209" s="130">
        <v>0.25069444444444444</v>
      </c>
      <c r="D209" s="130">
        <v>4.3750000000000004E-2</v>
      </c>
      <c r="E209" s="130" t="s">
        <v>568</v>
      </c>
      <c r="F209" s="130">
        <v>4.3055555555555562E-2</v>
      </c>
      <c r="G209" s="130">
        <v>0.59097222222222223</v>
      </c>
      <c r="H209" s="130">
        <v>0.21319444444444444</v>
      </c>
      <c r="I209" s="130" t="s">
        <v>558</v>
      </c>
    </row>
    <row r="210" spans="1:11" x14ac:dyDescent="0.25">
      <c r="B210" s="129" t="s">
        <v>327</v>
      </c>
      <c r="C210" s="130">
        <v>8.6111111111111124E-2</v>
      </c>
      <c r="D210" s="130">
        <v>0.25138888888888888</v>
      </c>
      <c r="E210" s="130">
        <v>0.17083333333333331</v>
      </c>
      <c r="F210" s="130">
        <v>8.3333333333333329E-2</v>
      </c>
      <c r="G210" s="130">
        <v>0.59166666666666667</v>
      </c>
      <c r="H210" s="130">
        <v>0.25416666666666665</v>
      </c>
      <c r="I210" s="130" t="s">
        <v>557</v>
      </c>
      <c r="K210" s="130"/>
    </row>
    <row r="211" spans="1:11" x14ac:dyDescent="0.25">
      <c r="B211" s="129" t="s">
        <v>610</v>
      </c>
      <c r="C211" s="130">
        <v>4.4444444444444446E-2</v>
      </c>
      <c r="D211" s="130" t="s">
        <v>351</v>
      </c>
      <c r="E211" s="130" t="s">
        <v>354</v>
      </c>
      <c r="F211" s="130">
        <v>8.3333333333333329E-2</v>
      </c>
      <c r="G211" s="130">
        <v>0.38194444444444442</v>
      </c>
      <c r="H211" s="130">
        <v>0.25416666666666665</v>
      </c>
      <c r="I211" s="130" t="s">
        <v>558</v>
      </c>
    </row>
    <row r="212" spans="1:11" x14ac:dyDescent="0.25">
      <c r="B212" s="129" t="s">
        <v>325</v>
      </c>
      <c r="C212" s="130">
        <v>0.25208333333333333</v>
      </c>
      <c r="D212" s="130">
        <v>0.21041666666666667</v>
      </c>
      <c r="E212" s="130">
        <v>4.1666666666666664E-2</v>
      </c>
      <c r="F212" s="130">
        <v>4.6527777777777779E-2</v>
      </c>
      <c r="G212" s="130">
        <v>0.55069444444444449</v>
      </c>
      <c r="H212" s="130">
        <v>0.37708333333333338</v>
      </c>
      <c r="I212" s="130" t="s">
        <v>557</v>
      </c>
    </row>
    <row r="213" spans="1:11" x14ac:dyDescent="0.25">
      <c r="B213" s="129" t="s">
        <v>334</v>
      </c>
      <c r="C213" s="130" t="s">
        <v>352</v>
      </c>
      <c r="D213" s="130">
        <v>0.12847222222222224</v>
      </c>
      <c r="E213" s="130">
        <v>0.1673611111111111</v>
      </c>
      <c r="F213" s="130">
        <v>4.4444444444444446E-2</v>
      </c>
      <c r="G213" s="130">
        <v>0.46666666666666662</v>
      </c>
      <c r="H213" s="130">
        <v>0.21319444444444444</v>
      </c>
      <c r="I213" s="130" t="s">
        <v>558</v>
      </c>
    </row>
    <row r="214" spans="1:11" x14ac:dyDescent="0.25">
      <c r="B214" s="129" t="s">
        <v>6086</v>
      </c>
      <c r="C214" s="130">
        <v>0.12569444444444444</v>
      </c>
      <c r="D214" s="130">
        <v>0.12569444444444444</v>
      </c>
      <c r="E214" s="130">
        <v>0.16874999999999998</v>
      </c>
      <c r="F214" s="130" t="s">
        <v>352</v>
      </c>
      <c r="G214" s="130">
        <v>0.54652777777777783</v>
      </c>
      <c r="H214" s="130">
        <v>0.45902777777777781</v>
      </c>
      <c r="I214" s="130" t="s">
        <v>557</v>
      </c>
    </row>
    <row r="215" spans="1:11" x14ac:dyDescent="0.25">
      <c r="B215" s="129" t="s">
        <v>626</v>
      </c>
      <c r="C215" s="130">
        <v>0.12569444444444444</v>
      </c>
      <c r="D215" s="130">
        <v>0.16805555555555554</v>
      </c>
      <c r="E215" s="130">
        <v>0.21111111111111111</v>
      </c>
      <c r="F215" s="130">
        <v>0.16805555555555554</v>
      </c>
      <c r="G215" s="130">
        <v>0.67291666666666661</v>
      </c>
      <c r="H215" s="130">
        <v>0.5</v>
      </c>
      <c r="I215" s="130" t="s">
        <v>557</v>
      </c>
    </row>
    <row r="216" spans="1:11" x14ac:dyDescent="0.25">
      <c r="C216" s="130"/>
      <c r="D216" s="130"/>
      <c r="E216" s="130"/>
      <c r="F216" s="130"/>
      <c r="G216" s="130"/>
      <c r="H216" s="130"/>
      <c r="I216" s="130"/>
    </row>
    <row r="217" spans="1:11" x14ac:dyDescent="0.25">
      <c r="A217" s="129" t="s">
        <v>614</v>
      </c>
      <c r="C217" s="130" t="s">
        <v>339</v>
      </c>
      <c r="D217" s="130" t="s">
        <v>340</v>
      </c>
      <c r="E217" s="130" t="s">
        <v>341</v>
      </c>
      <c r="F217" s="130" t="s">
        <v>342</v>
      </c>
      <c r="G217" s="130" t="s">
        <v>343</v>
      </c>
      <c r="H217" s="130" t="s">
        <v>344</v>
      </c>
      <c r="I217" s="130" t="s">
        <v>627</v>
      </c>
      <c r="K217" s="130" t="s">
        <v>337</v>
      </c>
    </row>
    <row r="218" spans="1:11" x14ac:dyDescent="0.25">
      <c r="A218" s="129" t="s">
        <v>615</v>
      </c>
      <c r="B218" s="129" t="s">
        <v>565</v>
      </c>
      <c r="C218" s="130">
        <v>0.16666666666666666</v>
      </c>
      <c r="D218" s="130">
        <v>0.1673611111111111</v>
      </c>
      <c r="E218" s="130">
        <v>0.12569444444444444</v>
      </c>
      <c r="F218" s="130" t="s">
        <v>171</v>
      </c>
      <c r="G218" s="130" t="s">
        <v>160</v>
      </c>
      <c r="K218" s="130">
        <v>0.1673611111111111</v>
      </c>
    </row>
    <row r="219" spans="1:11" x14ac:dyDescent="0.25">
      <c r="A219" s="129" t="s">
        <v>628</v>
      </c>
      <c r="B219" s="129" t="s">
        <v>560</v>
      </c>
      <c r="C219" s="130">
        <v>0.12638888888888888</v>
      </c>
      <c r="D219" s="130">
        <v>8.4027777777777771E-2</v>
      </c>
      <c r="E219" s="130">
        <v>0.125</v>
      </c>
      <c r="F219" s="130">
        <v>4.4444444444444446E-2</v>
      </c>
      <c r="G219" s="130" t="s">
        <v>351</v>
      </c>
      <c r="K219" s="130">
        <v>0.1673611111111111</v>
      </c>
    </row>
    <row r="220" spans="1:11" x14ac:dyDescent="0.25">
      <c r="A220" s="129" t="s">
        <v>629</v>
      </c>
      <c r="B220" s="129" t="s">
        <v>575</v>
      </c>
      <c r="C220" s="130">
        <v>0.12569444444444444</v>
      </c>
      <c r="D220" s="130">
        <v>0.12638888888888888</v>
      </c>
      <c r="E220" s="130">
        <v>6.9444444444444447E-4</v>
      </c>
      <c r="F220" s="130">
        <v>0.125</v>
      </c>
      <c r="G220" s="130" t="s">
        <v>208</v>
      </c>
      <c r="H220" s="130">
        <v>0.12916666666666668</v>
      </c>
      <c r="I220" s="130">
        <v>8.3333333333333329E-2</v>
      </c>
      <c r="K220" s="130">
        <v>0.16874999999999998</v>
      </c>
    </row>
    <row r="223" spans="1:11" x14ac:dyDescent="0.25">
      <c r="A223" s="129" t="s">
        <v>616</v>
      </c>
      <c r="B223" s="129" t="s">
        <v>617</v>
      </c>
    </row>
    <row r="224" spans="1:11" x14ac:dyDescent="0.25">
      <c r="A224" s="129" t="s">
        <v>618</v>
      </c>
      <c r="B224" s="129" t="s">
        <v>549</v>
      </c>
    </row>
    <row r="225" spans="2:12" x14ac:dyDescent="0.25">
      <c r="C225" s="129" t="s">
        <v>550</v>
      </c>
      <c r="D225" s="129" t="s">
        <v>551</v>
      </c>
      <c r="E225" s="129" t="s">
        <v>552</v>
      </c>
      <c r="F225" s="129" t="s">
        <v>553</v>
      </c>
      <c r="G225" s="129" t="s">
        <v>580</v>
      </c>
      <c r="H225" s="129" t="s">
        <v>555</v>
      </c>
      <c r="I225" s="129" t="s">
        <v>556</v>
      </c>
    </row>
    <row r="226" spans="2:12" x14ac:dyDescent="0.25">
      <c r="B226" s="129" t="s">
        <v>326</v>
      </c>
      <c r="C226" s="130" t="s">
        <v>161</v>
      </c>
      <c r="D226" s="130" t="s">
        <v>619</v>
      </c>
      <c r="E226" s="130">
        <v>4.4444444444444446E-2</v>
      </c>
      <c r="F226" s="130">
        <v>4.3055555555555562E-2</v>
      </c>
      <c r="G226" s="130">
        <v>0.21458333333333335</v>
      </c>
      <c r="H226" s="130">
        <v>0.13125000000000001</v>
      </c>
      <c r="I226" s="139" t="s">
        <v>558</v>
      </c>
    </row>
    <row r="227" spans="2:12" x14ac:dyDescent="0.25">
      <c r="B227" s="129" t="s">
        <v>327</v>
      </c>
      <c r="C227" s="130">
        <v>0.20902777777777778</v>
      </c>
      <c r="D227" s="130">
        <v>8.4027777777777771E-2</v>
      </c>
      <c r="E227" s="130">
        <v>3.472222222222222E-3</v>
      </c>
      <c r="F227" s="130">
        <v>8.5416666666666655E-2</v>
      </c>
      <c r="G227" s="130">
        <v>0.38194444444444442</v>
      </c>
      <c r="H227" s="130">
        <v>0.25416666666666665</v>
      </c>
      <c r="I227" s="139" t="s">
        <v>558</v>
      </c>
    </row>
    <row r="228" spans="2:12" x14ac:dyDescent="0.25">
      <c r="B228" s="129" t="s">
        <v>610</v>
      </c>
      <c r="C228" s="130" t="s">
        <v>352</v>
      </c>
      <c r="D228" s="130">
        <v>0.3354166666666667</v>
      </c>
      <c r="E228" s="130" t="s">
        <v>589</v>
      </c>
      <c r="F228" s="130" t="s">
        <v>171</v>
      </c>
      <c r="G228" s="130">
        <v>0.59027777777777779</v>
      </c>
      <c r="H228" s="130">
        <v>0.2951388888888889</v>
      </c>
      <c r="I228" s="139" t="s">
        <v>557</v>
      </c>
    </row>
    <row r="229" spans="2:12" x14ac:dyDescent="0.25">
      <c r="B229" s="129" t="s">
        <v>612</v>
      </c>
      <c r="C229" s="130">
        <v>8.4027777777777771E-2</v>
      </c>
      <c r="D229" s="130" t="s">
        <v>355</v>
      </c>
      <c r="E229" s="130" t="s">
        <v>352</v>
      </c>
      <c r="F229" s="130">
        <v>0.16666666666666666</v>
      </c>
      <c r="G229" s="130">
        <v>0.46111111111111108</v>
      </c>
      <c r="H229" s="130">
        <v>0.41805555555555557</v>
      </c>
      <c r="I229" s="139" t="s">
        <v>557</v>
      </c>
      <c r="J229" s="129" t="s">
        <v>621</v>
      </c>
      <c r="K229" s="130">
        <v>0.12569444444444444</v>
      </c>
      <c r="L229" s="130">
        <v>0.12638888888888888</v>
      </c>
    </row>
    <row r="230" spans="2:12" x14ac:dyDescent="0.25">
      <c r="B230" s="129" t="s">
        <v>608</v>
      </c>
      <c r="C230" s="130">
        <v>0.1673611111111111</v>
      </c>
      <c r="D230" s="130">
        <v>8.4027777777777771E-2</v>
      </c>
      <c r="E230" s="130" t="s">
        <v>158</v>
      </c>
      <c r="F230" s="130">
        <v>8.6111111111111124E-2</v>
      </c>
      <c r="G230" s="130">
        <v>0.33819444444444446</v>
      </c>
      <c r="H230" s="130">
        <v>0.2951388888888889</v>
      </c>
      <c r="I230" s="139" t="s">
        <v>557</v>
      </c>
      <c r="K230" s="130"/>
      <c r="L230" s="130"/>
    </row>
    <row r="231" spans="2:12" x14ac:dyDescent="0.25">
      <c r="B231" s="129" t="s">
        <v>1274</v>
      </c>
      <c r="C231" s="130" t="s">
        <v>171</v>
      </c>
      <c r="D231" s="130">
        <v>0.12638888888888888</v>
      </c>
      <c r="E231" s="130" t="s">
        <v>352</v>
      </c>
      <c r="F231" s="130">
        <v>8.5416666666666655E-2</v>
      </c>
      <c r="G231" s="130">
        <v>0.4236111111111111</v>
      </c>
      <c r="H231" s="130">
        <v>0.25416666666666665</v>
      </c>
      <c r="I231" s="139" t="s">
        <v>562</v>
      </c>
      <c r="K231" s="130"/>
      <c r="L231" s="130"/>
    </row>
    <row r="232" spans="2:12" x14ac:dyDescent="0.25">
      <c r="B232" s="129" t="s">
        <v>334</v>
      </c>
      <c r="C232" s="130">
        <v>4.3750000000000004E-2</v>
      </c>
      <c r="D232" s="130">
        <v>4.1666666666666664E-2</v>
      </c>
      <c r="E232" s="130">
        <v>8.3333333333333329E-2</v>
      </c>
      <c r="F232" s="130">
        <v>8.7500000000000008E-2</v>
      </c>
      <c r="G232" s="130">
        <v>0.25625000000000003</v>
      </c>
      <c r="H232" s="130">
        <v>0.25416666666666665</v>
      </c>
      <c r="I232" s="139" t="s">
        <v>558</v>
      </c>
      <c r="K232" s="130"/>
      <c r="L232" s="130"/>
    </row>
    <row r="233" spans="2:12" x14ac:dyDescent="0.25">
      <c r="B233" s="129" t="s">
        <v>325</v>
      </c>
      <c r="C233" s="130">
        <v>8.5416666666666655E-2</v>
      </c>
      <c r="D233" s="130" t="s">
        <v>352</v>
      </c>
      <c r="E233" s="130">
        <v>4.8611111111111112E-3</v>
      </c>
      <c r="F233" s="130">
        <v>4.5138888888888888E-2</v>
      </c>
      <c r="G233" s="130">
        <v>0.26180555555555557</v>
      </c>
      <c r="H233" s="130">
        <v>9.0277777777777776E-2</v>
      </c>
      <c r="I233" s="139" t="s">
        <v>558</v>
      </c>
      <c r="K233" s="130"/>
      <c r="L233" s="130"/>
    </row>
    <row r="234" spans="2:12" x14ac:dyDescent="0.25">
      <c r="B234" s="129" t="s">
        <v>609</v>
      </c>
      <c r="C234" s="130">
        <v>8.4027777777777771E-2</v>
      </c>
      <c r="D234" s="130">
        <v>8.4027777777777771E-2</v>
      </c>
      <c r="E234" s="130">
        <v>4.3750000000000004E-2</v>
      </c>
      <c r="F234" s="130">
        <v>4.3055555555555562E-2</v>
      </c>
      <c r="G234" s="130">
        <v>0.25486111111111109</v>
      </c>
      <c r="H234" s="130">
        <v>0.25416666666666665</v>
      </c>
      <c r="I234" s="139" t="s">
        <v>558</v>
      </c>
      <c r="J234" s="129" t="s">
        <v>621</v>
      </c>
      <c r="K234" s="130">
        <v>0.20902777777777778</v>
      </c>
      <c r="L234" s="130">
        <v>0.125</v>
      </c>
    </row>
    <row r="235" spans="2:12" x14ac:dyDescent="0.25">
      <c r="B235" s="129" t="s">
        <v>6179</v>
      </c>
      <c r="C235" s="130">
        <v>4.4444444444444446E-2</v>
      </c>
      <c r="D235" s="130">
        <v>0.1673611111111111</v>
      </c>
      <c r="E235" s="130">
        <v>0.12638888888888888</v>
      </c>
      <c r="F235" s="130">
        <v>4.4444444444444446E-2</v>
      </c>
      <c r="G235" s="130">
        <v>0.38263888888888892</v>
      </c>
      <c r="H235" s="130">
        <v>0.25416666666666665</v>
      </c>
      <c r="I235" s="139" t="s">
        <v>558</v>
      </c>
      <c r="K235" s="130"/>
      <c r="L235" s="130"/>
    </row>
    <row r="236" spans="2:12" x14ac:dyDescent="0.25">
      <c r="B236" s="129" t="s">
        <v>332</v>
      </c>
      <c r="C236" s="130">
        <v>0.20972222222222223</v>
      </c>
      <c r="D236" s="130">
        <v>8.5416666666666655E-2</v>
      </c>
      <c r="E236" s="130">
        <v>8.5416666666666655E-2</v>
      </c>
      <c r="F236" s="130">
        <v>1.3888888888888889E-3</v>
      </c>
      <c r="G236" s="130">
        <v>0.38194444444444442</v>
      </c>
      <c r="H236" s="130">
        <v>0.13125000000000001</v>
      </c>
      <c r="I236" s="139" t="s">
        <v>558</v>
      </c>
      <c r="J236" s="129" t="s">
        <v>621</v>
      </c>
      <c r="K236" s="130">
        <v>0.16874999999999998</v>
      </c>
      <c r="L236" s="130">
        <v>0.16805555555555554</v>
      </c>
    </row>
    <row r="237" spans="2:12" x14ac:dyDescent="0.25">
      <c r="B237" s="129" t="s">
        <v>328</v>
      </c>
      <c r="C237" s="130">
        <v>4.4444444444444446E-2</v>
      </c>
      <c r="D237" s="130" t="s">
        <v>208</v>
      </c>
      <c r="E237" s="130" t="s">
        <v>160</v>
      </c>
      <c r="F237" s="130">
        <v>4.3750000000000004E-2</v>
      </c>
      <c r="G237" s="130">
        <v>0.21527777777777779</v>
      </c>
      <c r="H237" s="130">
        <v>0.13125000000000001</v>
      </c>
      <c r="I237" s="139" t="s">
        <v>558</v>
      </c>
    </row>
    <row r="238" spans="2:12" x14ac:dyDescent="0.25">
      <c r="B238" s="129" t="s">
        <v>333</v>
      </c>
      <c r="C238" s="130" t="s">
        <v>619</v>
      </c>
      <c r="D238" s="130">
        <v>0.16805555555555554</v>
      </c>
      <c r="E238" s="130">
        <v>4.3750000000000004E-2</v>
      </c>
      <c r="F238" s="130" t="s">
        <v>161</v>
      </c>
      <c r="G238" s="130">
        <v>0.33888888888888885</v>
      </c>
      <c r="H238" s="130">
        <v>0.25416666666666665</v>
      </c>
      <c r="I238" s="139" t="s">
        <v>562</v>
      </c>
    </row>
    <row r="241" spans="1:9" x14ac:dyDescent="0.25">
      <c r="A241" s="129" t="s">
        <v>605</v>
      </c>
      <c r="B241" s="129" t="s">
        <v>606</v>
      </c>
    </row>
    <row r="242" spans="1:9" x14ac:dyDescent="0.25">
      <c r="A242" s="129" t="s">
        <v>545</v>
      </c>
      <c r="B242" s="129" t="s">
        <v>549</v>
      </c>
    </row>
    <row r="243" spans="1:9" x14ac:dyDescent="0.25">
      <c r="C243" s="129" t="s">
        <v>550</v>
      </c>
      <c r="D243" s="129" t="s">
        <v>551</v>
      </c>
      <c r="E243" s="129" t="s">
        <v>552</v>
      </c>
      <c r="F243" s="129" t="s">
        <v>553</v>
      </c>
      <c r="G243" s="129" t="s">
        <v>580</v>
      </c>
      <c r="H243" s="129" t="s">
        <v>555</v>
      </c>
      <c r="I243" s="129" t="s">
        <v>556</v>
      </c>
    </row>
    <row r="244" spans="1:9" x14ac:dyDescent="0.25">
      <c r="B244" s="129" t="s">
        <v>608</v>
      </c>
      <c r="C244" s="130">
        <v>4.3055555555555562E-2</v>
      </c>
      <c r="D244" s="130" t="s">
        <v>355</v>
      </c>
      <c r="E244" s="130">
        <v>0.17083333333333331</v>
      </c>
      <c r="F244" s="130">
        <v>8.5416666666666655E-2</v>
      </c>
      <c r="G244" s="130">
        <v>0.3833333333333333</v>
      </c>
      <c r="H244" s="130">
        <v>9.0277777777777776E-2</v>
      </c>
      <c r="I244" s="130" t="s">
        <v>558</v>
      </c>
    </row>
    <row r="245" spans="1:9" x14ac:dyDescent="0.25">
      <c r="B245" s="129" t="s">
        <v>6091</v>
      </c>
      <c r="C245" s="130">
        <v>0.12569444444444444</v>
      </c>
      <c r="D245" s="130">
        <v>4.4444444444444446E-2</v>
      </c>
      <c r="E245" s="130">
        <v>0.125</v>
      </c>
      <c r="F245" s="130">
        <v>4.3750000000000004E-2</v>
      </c>
      <c r="G245" s="130">
        <v>0.33888888888888885</v>
      </c>
      <c r="H245" s="130">
        <v>0.25416666666666665</v>
      </c>
      <c r="I245" s="130" t="s">
        <v>562</v>
      </c>
    </row>
    <row r="246" spans="1:9" x14ac:dyDescent="0.25">
      <c r="B246" s="129" t="s">
        <v>333</v>
      </c>
      <c r="C246" s="130">
        <v>0.16805555555555554</v>
      </c>
      <c r="D246" s="130">
        <v>0.29236111111111113</v>
      </c>
      <c r="E246" s="130">
        <v>8.4027777777777771E-2</v>
      </c>
      <c r="F246" s="130" t="s">
        <v>589</v>
      </c>
      <c r="G246" s="130">
        <v>0.58750000000000002</v>
      </c>
      <c r="H246" s="130">
        <v>0.41805555555555557</v>
      </c>
      <c r="I246" s="130" t="s">
        <v>557</v>
      </c>
    </row>
    <row r="247" spans="1:9" x14ac:dyDescent="0.25">
      <c r="B247" s="129" t="s">
        <v>326</v>
      </c>
      <c r="C247" s="130">
        <v>4.3055555555555562E-2</v>
      </c>
      <c r="D247" s="130">
        <v>4.4444444444444446E-2</v>
      </c>
      <c r="E247" s="130">
        <v>4.5138888888888888E-2</v>
      </c>
      <c r="F247" s="130" t="s">
        <v>589</v>
      </c>
      <c r="G247" s="130">
        <v>0.17569444444444446</v>
      </c>
      <c r="H247" s="130">
        <v>4.9305555555555554E-2</v>
      </c>
      <c r="I247" s="130" t="s">
        <v>558</v>
      </c>
    </row>
    <row r="248" spans="1:9" x14ac:dyDescent="0.25">
      <c r="B248" s="129" t="s">
        <v>328</v>
      </c>
      <c r="C248" s="130">
        <v>0.16874999999999998</v>
      </c>
      <c r="D248" s="130">
        <v>8.5416666666666655E-2</v>
      </c>
      <c r="E248" s="130">
        <v>0.21041666666666667</v>
      </c>
      <c r="F248" s="130" t="s">
        <v>163</v>
      </c>
      <c r="G248" s="130">
        <v>0.59236111111111112</v>
      </c>
      <c r="H248" s="130">
        <v>0.2951388888888889</v>
      </c>
      <c r="I248" s="130" t="s">
        <v>557</v>
      </c>
    </row>
    <row r="249" spans="1:9" x14ac:dyDescent="0.25">
      <c r="B249" s="129" t="s">
        <v>609</v>
      </c>
      <c r="C249" s="130">
        <v>0.20972222222222223</v>
      </c>
      <c r="D249" s="130">
        <v>0.1673611111111111</v>
      </c>
      <c r="E249" s="130">
        <v>8.6111111111111124E-2</v>
      </c>
      <c r="F249" s="130">
        <v>0.12638888888888888</v>
      </c>
      <c r="G249" s="130">
        <v>0.58958333333333335</v>
      </c>
      <c r="H249" s="130">
        <v>0.37708333333333338</v>
      </c>
      <c r="I249" s="130" t="s">
        <v>557</v>
      </c>
    </row>
    <row r="250" spans="1:9" x14ac:dyDescent="0.25">
      <c r="B250" s="129" t="s">
        <v>6179</v>
      </c>
      <c r="C250" s="130" t="s">
        <v>159</v>
      </c>
      <c r="D250" s="130">
        <v>0.20972222222222223</v>
      </c>
      <c r="E250" s="130" t="s">
        <v>164</v>
      </c>
      <c r="F250" s="130" t="s">
        <v>159</v>
      </c>
      <c r="G250" s="130">
        <v>0.71597222222222223</v>
      </c>
      <c r="H250" s="130">
        <v>0.37708333333333338</v>
      </c>
      <c r="I250" s="130" t="s">
        <v>557</v>
      </c>
    </row>
    <row r="251" spans="1:9" x14ac:dyDescent="0.25">
      <c r="B251" s="129" t="s">
        <v>327</v>
      </c>
      <c r="C251" s="130">
        <v>0.25208333333333333</v>
      </c>
      <c r="D251" s="130" t="s">
        <v>352</v>
      </c>
      <c r="E251" s="130" t="s">
        <v>159</v>
      </c>
      <c r="F251" s="130">
        <v>8.6111111111111124E-2</v>
      </c>
      <c r="G251" s="130">
        <v>0.6333333333333333</v>
      </c>
      <c r="H251" s="130">
        <v>0.2951388888888889</v>
      </c>
      <c r="I251" s="130" t="s">
        <v>557</v>
      </c>
    </row>
    <row r="252" spans="1:9" x14ac:dyDescent="0.25">
      <c r="B252" s="129" t="s">
        <v>610</v>
      </c>
      <c r="C252" s="130" t="s">
        <v>352</v>
      </c>
      <c r="D252" s="130">
        <v>0.20972222222222223</v>
      </c>
      <c r="E252" s="130">
        <v>0.16874999999999998</v>
      </c>
      <c r="F252" s="130">
        <v>0.12847222222222224</v>
      </c>
      <c r="G252" s="130">
        <v>0.6333333333333333</v>
      </c>
      <c r="H252" s="130">
        <v>0.33611111111111108</v>
      </c>
      <c r="I252" s="130" t="s">
        <v>557</v>
      </c>
    </row>
    <row r="253" spans="1:9" x14ac:dyDescent="0.25">
      <c r="B253" s="129" t="s">
        <v>325</v>
      </c>
      <c r="C253" s="130" t="s">
        <v>171</v>
      </c>
      <c r="D253" s="130">
        <v>0.1673611111111111</v>
      </c>
      <c r="E253" s="130">
        <v>0.21111111111111111</v>
      </c>
      <c r="F253" s="130">
        <v>0.12916666666666668</v>
      </c>
      <c r="G253" s="130">
        <v>0.59305555555555556</v>
      </c>
      <c r="H253" s="130">
        <v>0.2951388888888889</v>
      </c>
      <c r="I253" s="130" t="s">
        <v>557</v>
      </c>
    </row>
    <row r="254" spans="1:9" x14ac:dyDescent="0.25">
      <c r="B254" s="129" t="s">
        <v>334</v>
      </c>
      <c r="C254" s="130">
        <v>4.4444444444444446E-2</v>
      </c>
      <c r="D254" s="130" t="s">
        <v>568</v>
      </c>
      <c r="E254" s="130">
        <v>0.12916666666666668</v>
      </c>
      <c r="F254" s="130">
        <v>0.20972222222222223</v>
      </c>
      <c r="G254" s="130">
        <v>0.63680555555555551</v>
      </c>
      <c r="H254" s="130">
        <v>0.21319444444444444</v>
      </c>
      <c r="I254" s="130" t="s">
        <v>558</v>
      </c>
    </row>
    <row r="255" spans="1:9" x14ac:dyDescent="0.25">
      <c r="B255" s="129" t="s">
        <v>332</v>
      </c>
      <c r="C255" s="130">
        <v>0.21041666666666667</v>
      </c>
      <c r="D255" s="130" t="s">
        <v>355</v>
      </c>
      <c r="E255" s="130">
        <v>4.3055555555555562E-2</v>
      </c>
      <c r="F255" s="130">
        <v>8.5416666666666655E-2</v>
      </c>
      <c r="G255" s="130">
        <v>0.42291666666666666</v>
      </c>
      <c r="H255" s="130">
        <v>0.21319444444444444</v>
      </c>
      <c r="I255" s="130" t="s">
        <v>558</v>
      </c>
    </row>
    <row r="256" spans="1:9" x14ac:dyDescent="0.25">
      <c r="B256" s="129" t="s">
        <v>612</v>
      </c>
      <c r="C256" s="130" t="s">
        <v>163</v>
      </c>
      <c r="D256" s="130">
        <v>0.25138888888888888</v>
      </c>
      <c r="E256" s="130">
        <v>8.4027777777777771E-2</v>
      </c>
      <c r="F256" s="130">
        <v>8.6805555555555566E-2</v>
      </c>
      <c r="G256" s="130">
        <v>0.54999999999999993</v>
      </c>
      <c r="H256" s="130">
        <v>0.2951388888888889</v>
      </c>
      <c r="I256" s="130" t="s">
        <v>557</v>
      </c>
    </row>
    <row r="258" spans="1:10" x14ac:dyDescent="0.25">
      <c r="A258" s="129" t="s">
        <v>614</v>
      </c>
      <c r="C258" s="129" t="s">
        <v>339</v>
      </c>
      <c r="D258" s="129" t="s">
        <v>340</v>
      </c>
      <c r="E258" s="129" t="s">
        <v>341</v>
      </c>
      <c r="F258" s="129" t="s">
        <v>342</v>
      </c>
      <c r="G258" s="129" t="s">
        <v>343</v>
      </c>
      <c r="H258" s="129" t="s">
        <v>344</v>
      </c>
      <c r="I258" s="129" t="s">
        <v>345</v>
      </c>
      <c r="J258" s="129" t="s">
        <v>337</v>
      </c>
    </row>
    <row r="259" spans="1:10" x14ac:dyDescent="0.25">
      <c r="A259" s="129" t="s">
        <v>615</v>
      </c>
      <c r="B259" s="129" t="s">
        <v>577</v>
      </c>
      <c r="C259" s="130">
        <v>4.1666666666666664E-2</v>
      </c>
      <c r="D259" s="130">
        <v>4.3055555555555562E-2</v>
      </c>
      <c r="E259" s="130">
        <v>0.125</v>
      </c>
      <c r="F259" s="130" t="s">
        <v>354</v>
      </c>
      <c r="G259" s="130" t="s">
        <v>355</v>
      </c>
      <c r="H259" s="130">
        <v>8.6805555555555566E-2</v>
      </c>
      <c r="I259" s="130">
        <v>0.1277777777777778</v>
      </c>
      <c r="J259" s="130">
        <v>0.1277777777777778</v>
      </c>
    </row>
    <row r="262" spans="1:10" x14ac:dyDescent="0.25">
      <c r="A262" s="129" t="s">
        <v>598</v>
      </c>
      <c r="B262" s="129" t="s">
        <v>599</v>
      </c>
    </row>
    <row r="263" spans="1:10" x14ac:dyDescent="0.25">
      <c r="A263" s="129" t="s">
        <v>600</v>
      </c>
      <c r="B263" s="129" t="s">
        <v>549</v>
      </c>
      <c r="C263" s="129" t="s">
        <v>550</v>
      </c>
      <c r="D263" s="129" t="s">
        <v>551</v>
      </c>
      <c r="E263" s="129" t="s">
        <v>552</v>
      </c>
      <c r="F263" s="129" t="s">
        <v>553</v>
      </c>
      <c r="G263" s="129" t="s">
        <v>554</v>
      </c>
      <c r="H263" s="129" t="s">
        <v>555</v>
      </c>
      <c r="I263" s="129" t="s">
        <v>556</v>
      </c>
    </row>
    <row r="265" spans="1:10" x14ac:dyDescent="0.25">
      <c r="B265" s="129" t="s">
        <v>333</v>
      </c>
      <c r="C265" s="130" t="s">
        <v>568</v>
      </c>
      <c r="D265" s="130">
        <v>0.12638888888888888</v>
      </c>
      <c r="E265" s="130">
        <v>0.16874999999999998</v>
      </c>
      <c r="F265" s="130">
        <v>0.20902777777777778</v>
      </c>
      <c r="G265" s="130">
        <v>0.75763888888888886</v>
      </c>
      <c r="H265" s="130">
        <v>0.45902777777777781</v>
      </c>
      <c r="I265" s="129" t="s">
        <v>557</v>
      </c>
    </row>
    <row r="266" spans="1:10" x14ac:dyDescent="0.25">
      <c r="B266" s="129" t="s">
        <v>6076</v>
      </c>
      <c r="C266" s="130" t="s">
        <v>164</v>
      </c>
      <c r="D266" s="130">
        <v>0.1673611111111111</v>
      </c>
      <c r="E266" s="130">
        <v>8.7500000000000008E-2</v>
      </c>
      <c r="F266" s="130">
        <v>0.20972222222222223</v>
      </c>
      <c r="G266" s="130">
        <v>0.6333333333333333</v>
      </c>
      <c r="H266" s="130">
        <v>0.33611111111111108</v>
      </c>
      <c r="I266" s="129" t="s">
        <v>557</v>
      </c>
    </row>
    <row r="267" spans="1:10" x14ac:dyDescent="0.25">
      <c r="B267" s="129" t="s">
        <v>6091</v>
      </c>
      <c r="C267" s="130">
        <v>0.12638888888888888</v>
      </c>
      <c r="D267" s="130" t="s">
        <v>161</v>
      </c>
      <c r="E267" s="130">
        <v>0.125</v>
      </c>
      <c r="F267" s="130">
        <v>8.5416666666666655E-2</v>
      </c>
      <c r="G267" s="130">
        <v>0.42222222222222222</v>
      </c>
      <c r="H267" s="130">
        <v>0.2951388888888889</v>
      </c>
      <c r="I267" s="129" t="s">
        <v>557</v>
      </c>
    </row>
    <row r="268" spans="1:10" x14ac:dyDescent="0.25">
      <c r="B268" s="129" t="s">
        <v>610</v>
      </c>
      <c r="C268" s="130">
        <v>0.12916666666666668</v>
      </c>
      <c r="D268" s="130">
        <v>1.3888888888888889E-3</v>
      </c>
      <c r="E268" s="130">
        <v>4.4444444444444446E-2</v>
      </c>
      <c r="F268" s="130" t="s">
        <v>162</v>
      </c>
      <c r="G268" s="130">
        <v>0.38611111111111113</v>
      </c>
      <c r="H268" s="130">
        <v>9.0277777777777776E-2</v>
      </c>
      <c r="I268" s="129" t="s">
        <v>558</v>
      </c>
    </row>
    <row r="269" spans="1:10" x14ac:dyDescent="0.25">
      <c r="B269" s="129" t="s">
        <v>325</v>
      </c>
      <c r="C269" s="130">
        <v>4.3055555555555562E-2</v>
      </c>
      <c r="D269" s="130">
        <v>4.5833333333333337E-2</v>
      </c>
      <c r="E269" s="130">
        <v>4.5138888888888888E-2</v>
      </c>
      <c r="F269" s="130">
        <v>8.5416666666666655E-2</v>
      </c>
      <c r="G269" s="130">
        <v>0.21944444444444444</v>
      </c>
      <c r="H269" s="130">
        <v>8.3333333333333332E-3</v>
      </c>
      <c r="I269" s="129" t="s">
        <v>558</v>
      </c>
    </row>
    <row r="270" spans="1:10" x14ac:dyDescent="0.25">
      <c r="B270" s="129" t="s">
        <v>334</v>
      </c>
      <c r="C270" s="130">
        <v>2.7777777777777779E-3</v>
      </c>
      <c r="D270" s="130">
        <v>0.21041666666666667</v>
      </c>
      <c r="E270" s="130">
        <v>0.12986111111111112</v>
      </c>
      <c r="F270" s="130">
        <v>0.17083333333333331</v>
      </c>
      <c r="G270" s="130">
        <v>0.51388888888888895</v>
      </c>
      <c r="H270" s="130">
        <v>0.13125000000000001</v>
      </c>
      <c r="I270" s="129" t="s">
        <v>558</v>
      </c>
    </row>
    <row r="271" spans="1:10" x14ac:dyDescent="0.25">
      <c r="B271" s="129" t="s">
        <v>332</v>
      </c>
      <c r="C271" s="130" t="s">
        <v>601</v>
      </c>
      <c r="D271" s="130" t="s">
        <v>568</v>
      </c>
      <c r="E271" s="130">
        <v>4.4444444444444446E-2</v>
      </c>
      <c r="F271" s="130">
        <v>3.472222222222222E-3</v>
      </c>
      <c r="G271" s="130">
        <v>0.51250000000000007</v>
      </c>
      <c r="H271" s="130">
        <v>0.17222222222222225</v>
      </c>
      <c r="I271" s="129" t="s">
        <v>558</v>
      </c>
    </row>
    <row r="272" spans="1:10" x14ac:dyDescent="0.25">
      <c r="B272" s="129" t="s">
        <v>331</v>
      </c>
      <c r="C272" s="130">
        <v>0.3347222222222222</v>
      </c>
      <c r="D272" s="130">
        <v>0.1673611111111111</v>
      </c>
      <c r="E272" s="130">
        <v>4.3055555555555562E-2</v>
      </c>
      <c r="F272" s="130">
        <v>4.4444444444444446E-2</v>
      </c>
      <c r="G272" s="130">
        <v>0.58958333333333335</v>
      </c>
      <c r="H272" s="130">
        <v>0.25416666666666665</v>
      </c>
      <c r="I272" s="129" t="s">
        <v>557</v>
      </c>
    </row>
    <row r="273" spans="1:9" x14ac:dyDescent="0.25">
      <c r="B273" s="129" t="s">
        <v>6179</v>
      </c>
      <c r="C273" s="130">
        <v>0.1673611111111111</v>
      </c>
      <c r="D273" s="130" t="s">
        <v>352</v>
      </c>
      <c r="E273" s="130">
        <v>4.5138888888888888E-2</v>
      </c>
      <c r="F273" s="130">
        <v>4.4444444444444446E-2</v>
      </c>
      <c r="G273" s="130">
        <v>0.3833333333333333</v>
      </c>
      <c r="H273" s="130">
        <v>0.21319444444444444</v>
      </c>
      <c r="I273" s="129" t="s">
        <v>558</v>
      </c>
    </row>
    <row r="274" spans="1:9" x14ac:dyDescent="0.25">
      <c r="B274" s="129" t="s">
        <v>328</v>
      </c>
      <c r="C274" s="130">
        <v>0.12638888888888888</v>
      </c>
      <c r="D274" s="130">
        <v>1.3888888888888889E-3</v>
      </c>
      <c r="E274" s="130" t="s">
        <v>208</v>
      </c>
      <c r="F274" s="130">
        <v>0.16805555555555554</v>
      </c>
      <c r="G274" s="130">
        <v>0.33888888888888885</v>
      </c>
      <c r="H274" s="130">
        <v>0.2951388888888889</v>
      </c>
      <c r="I274" s="129" t="s">
        <v>557</v>
      </c>
    </row>
    <row r="275" spans="1:9" x14ac:dyDescent="0.25">
      <c r="B275" s="129" t="s">
        <v>327</v>
      </c>
      <c r="C275" s="130" t="s">
        <v>352</v>
      </c>
      <c r="D275" s="130" t="s">
        <v>159</v>
      </c>
      <c r="E275" s="130">
        <v>4.5138888888888888E-2</v>
      </c>
      <c r="F275" s="130">
        <v>8.8888888888888892E-2</v>
      </c>
      <c r="G275" s="130">
        <v>0.4291666666666667</v>
      </c>
      <c r="H275" s="130">
        <v>0.17222222222222225</v>
      </c>
      <c r="I275" s="129" t="s">
        <v>558</v>
      </c>
    </row>
    <row r="276" spans="1:9" x14ac:dyDescent="0.25">
      <c r="B276" s="129" t="s">
        <v>326</v>
      </c>
      <c r="C276" s="130" t="s">
        <v>208</v>
      </c>
      <c r="D276" s="130">
        <v>4.3750000000000004E-2</v>
      </c>
      <c r="E276" s="130">
        <v>8.5416666666666655E-2</v>
      </c>
      <c r="F276" s="130">
        <v>2.0833333333333333E-3</v>
      </c>
      <c r="G276" s="130">
        <v>0.17430555555555557</v>
      </c>
      <c r="H276" s="130">
        <v>4.9305555555555554E-2</v>
      </c>
      <c r="I276" s="129" t="s">
        <v>558</v>
      </c>
    </row>
    <row r="277" spans="1:9" x14ac:dyDescent="0.25">
      <c r="B277" s="129" t="s">
        <v>6086</v>
      </c>
      <c r="C277" s="130">
        <v>0.16874999999999998</v>
      </c>
      <c r="D277" s="130" t="s">
        <v>161</v>
      </c>
      <c r="E277" s="130">
        <v>4.3055555555555562E-2</v>
      </c>
      <c r="F277" s="130" t="s">
        <v>162</v>
      </c>
      <c r="G277" s="130">
        <v>0.5083333333333333</v>
      </c>
      <c r="H277" s="130">
        <v>0.25416666666666665</v>
      </c>
      <c r="I277" s="129" t="s">
        <v>562</v>
      </c>
    </row>
    <row r="280" spans="1:9" x14ac:dyDescent="0.25">
      <c r="A280" s="129" t="s">
        <v>604</v>
      </c>
      <c r="C280" s="129" t="s">
        <v>550</v>
      </c>
      <c r="D280" s="129" t="s">
        <v>551</v>
      </c>
      <c r="E280" s="129" t="s">
        <v>552</v>
      </c>
      <c r="F280" s="129" t="s">
        <v>553</v>
      </c>
      <c r="G280" s="129" t="s">
        <v>554</v>
      </c>
      <c r="H280" s="129" t="s">
        <v>555</v>
      </c>
    </row>
    <row r="281" spans="1:9" x14ac:dyDescent="0.25">
      <c r="B281" s="129" t="s">
        <v>333</v>
      </c>
      <c r="C281" s="130" t="s">
        <v>209</v>
      </c>
      <c r="D281" s="130">
        <v>8.4027777777777771E-2</v>
      </c>
      <c r="E281" s="130">
        <v>8.4027777777777771E-2</v>
      </c>
      <c r="F281" s="130">
        <v>8.7500000000000008E-2</v>
      </c>
      <c r="G281" s="130">
        <v>0.29722222222222222</v>
      </c>
      <c r="H281" s="130">
        <v>0.33611111111111108</v>
      </c>
    </row>
    <row r="282" spans="1:9" x14ac:dyDescent="0.25">
      <c r="B282" s="129" t="s">
        <v>6076</v>
      </c>
      <c r="C282" s="130">
        <v>0.1277777777777778</v>
      </c>
      <c r="D282" s="130">
        <v>0.25208333333333333</v>
      </c>
      <c r="E282" s="130">
        <v>8.7500000000000008E-2</v>
      </c>
      <c r="F282" s="130">
        <v>4.4444444444444446E-2</v>
      </c>
      <c r="G282" s="130">
        <v>0.51180555555555551</v>
      </c>
      <c r="H282" s="130">
        <v>0.13125000000000001</v>
      </c>
    </row>
    <row r="283" spans="1:9" x14ac:dyDescent="0.25">
      <c r="B283" s="129" t="s">
        <v>6086</v>
      </c>
      <c r="C283" s="130">
        <v>0.21111111111111111</v>
      </c>
      <c r="D283" s="130" t="s">
        <v>160</v>
      </c>
      <c r="E283" s="130">
        <v>0.1277777777777778</v>
      </c>
      <c r="F283" s="130">
        <v>0.12569444444444444</v>
      </c>
      <c r="G283" s="130">
        <v>0.54861111111111105</v>
      </c>
      <c r="H283" s="130">
        <v>0.33611111111111108</v>
      </c>
    </row>
    <row r="286" spans="1:9" x14ac:dyDescent="0.25">
      <c r="A286" s="129" t="s">
        <v>584</v>
      </c>
      <c r="B286" s="129" t="s">
        <v>585</v>
      </c>
    </row>
    <row r="287" spans="1:9" x14ac:dyDescent="0.25">
      <c r="A287" s="129" t="s">
        <v>588</v>
      </c>
      <c r="B287" s="129" t="s">
        <v>549</v>
      </c>
      <c r="C287" s="129" t="s">
        <v>550</v>
      </c>
      <c r="D287" s="129" t="s">
        <v>551</v>
      </c>
      <c r="E287" s="129" t="s">
        <v>552</v>
      </c>
      <c r="F287" s="129" t="s">
        <v>553</v>
      </c>
      <c r="G287" s="129" t="s">
        <v>554</v>
      </c>
      <c r="H287" s="129" t="s">
        <v>555</v>
      </c>
      <c r="I287" s="129" t="s">
        <v>556</v>
      </c>
    </row>
    <row r="289" spans="1:9" x14ac:dyDescent="0.25">
      <c r="B289" s="129" t="s">
        <v>559</v>
      </c>
      <c r="C289" s="130">
        <v>0.12569444444444444</v>
      </c>
      <c r="D289" s="130">
        <v>0.16874999999999998</v>
      </c>
      <c r="E289" s="130">
        <v>0.25277777777777777</v>
      </c>
      <c r="F289" s="130">
        <v>8.6805555555555566E-2</v>
      </c>
      <c r="G289" s="130">
        <v>0.63402777777777775</v>
      </c>
      <c r="H289" s="130">
        <v>0.37708333333333338</v>
      </c>
      <c r="I289" s="129" t="s">
        <v>557</v>
      </c>
    </row>
    <row r="290" spans="1:9" x14ac:dyDescent="0.25">
      <c r="B290" s="129" t="s">
        <v>560</v>
      </c>
      <c r="C290" s="130">
        <v>0.21041666666666667</v>
      </c>
      <c r="D290" s="130">
        <v>4.6527777777777779E-2</v>
      </c>
      <c r="E290" s="130">
        <v>4.3750000000000004E-2</v>
      </c>
      <c r="F290" s="130">
        <v>4.4444444444444446E-2</v>
      </c>
      <c r="G290" s="130">
        <v>0.34513888888888888</v>
      </c>
      <c r="H290" s="130">
        <v>0.13125000000000001</v>
      </c>
      <c r="I290" s="129" t="s">
        <v>558</v>
      </c>
    </row>
    <row r="291" spans="1:9" x14ac:dyDescent="0.25">
      <c r="B291" s="129" t="s">
        <v>561</v>
      </c>
      <c r="C291" s="130">
        <v>8.3333333333333329E-2</v>
      </c>
      <c r="D291" s="130" t="s">
        <v>161</v>
      </c>
      <c r="E291" s="130">
        <v>4.5138888888888888E-2</v>
      </c>
      <c r="F291" s="130">
        <v>8.5416666666666655E-2</v>
      </c>
      <c r="G291" s="130">
        <v>0.29930555555555555</v>
      </c>
      <c r="H291" s="130">
        <v>0.17222222222222225</v>
      </c>
      <c r="I291" s="129" t="s">
        <v>558</v>
      </c>
    </row>
    <row r="292" spans="1:9" x14ac:dyDescent="0.25">
      <c r="B292" s="129" t="s">
        <v>563</v>
      </c>
      <c r="C292" s="130">
        <v>8.6111111111111124E-2</v>
      </c>
      <c r="D292" s="130">
        <v>0.12569444444444444</v>
      </c>
      <c r="E292" s="130">
        <v>9.0277777777777776E-2</v>
      </c>
      <c r="F292" s="130">
        <v>8.819444444444445E-2</v>
      </c>
      <c r="G292" s="130">
        <v>0.39027777777777778</v>
      </c>
      <c r="H292" s="130">
        <v>0.13125000000000001</v>
      </c>
      <c r="I292" s="129" t="s">
        <v>558</v>
      </c>
    </row>
    <row r="293" spans="1:9" x14ac:dyDescent="0.25">
      <c r="B293" s="129" t="s">
        <v>565</v>
      </c>
      <c r="C293" s="130">
        <v>0.12569444444444444</v>
      </c>
      <c r="D293" s="130">
        <v>0.12569444444444444</v>
      </c>
      <c r="E293" s="130" t="s">
        <v>163</v>
      </c>
      <c r="F293" s="130">
        <v>8.6111111111111124E-2</v>
      </c>
      <c r="G293" s="130">
        <v>0.46527777777777773</v>
      </c>
      <c r="H293" s="130">
        <v>0.2951388888888889</v>
      </c>
      <c r="I293" s="129" t="s">
        <v>557</v>
      </c>
    </row>
    <row r="294" spans="1:9" x14ac:dyDescent="0.25">
      <c r="B294" s="129" t="s">
        <v>566</v>
      </c>
      <c r="C294" s="130">
        <v>0.16805555555555554</v>
      </c>
      <c r="D294" s="130">
        <v>0.12569444444444444</v>
      </c>
      <c r="E294" s="130">
        <v>8.6111111111111124E-2</v>
      </c>
      <c r="F294" s="130">
        <v>8.6111111111111124E-2</v>
      </c>
      <c r="G294" s="130">
        <v>0.46597222222222223</v>
      </c>
      <c r="H294" s="130">
        <v>0.25416666666666665</v>
      </c>
      <c r="I294" s="129" t="s">
        <v>562</v>
      </c>
    </row>
    <row r="295" spans="1:9" x14ac:dyDescent="0.25">
      <c r="B295" s="129" t="s">
        <v>569</v>
      </c>
      <c r="C295" s="130">
        <v>6.9444444444444447E-4</v>
      </c>
      <c r="D295" s="130">
        <v>0.16874999999999998</v>
      </c>
      <c r="E295" s="130" t="s">
        <v>171</v>
      </c>
      <c r="F295" s="130">
        <v>0.12916666666666668</v>
      </c>
      <c r="G295" s="130">
        <v>0.3840277777777778</v>
      </c>
      <c r="H295" s="130">
        <v>0.17222222222222225</v>
      </c>
      <c r="I295" s="129" t="s">
        <v>558</v>
      </c>
    </row>
    <row r="296" spans="1:9" x14ac:dyDescent="0.25">
      <c r="B296" s="129" t="s">
        <v>570</v>
      </c>
      <c r="C296" s="130">
        <v>0.1673611111111111</v>
      </c>
      <c r="D296" s="130">
        <v>0.12847222222222224</v>
      </c>
      <c r="E296" s="130" t="s">
        <v>355</v>
      </c>
      <c r="F296" s="130" t="s">
        <v>161</v>
      </c>
      <c r="G296" s="130">
        <v>0.46527777777777773</v>
      </c>
      <c r="H296" s="130">
        <v>0.25416666666666665</v>
      </c>
      <c r="I296" s="129" t="s">
        <v>557</v>
      </c>
    </row>
    <row r="297" spans="1:9" x14ac:dyDescent="0.25">
      <c r="B297" s="129" t="s">
        <v>572</v>
      </c>
      <c r="C297" s="130">
        <v>1.3888888888888889E-3</v>
      </c>
      <c r="D297" s="130">
        <v>8.5416666666666655E-2</v>
      </c>
      <c r="E297" s="130">
        <v>0.12916666666666668</v>
      </c>
      <c r="F297" s="130">
        <v>4.4444444444444446E-2</v>
      </c>
      <c r="G297" s="130">
        <v>0.26041666666666669</v>
      </c>
      <c r="H297" s="130">
        <v>8.3333333333333332E-3</v>
      </c>
      <c r="I297" s="129" t="s">
        <v>558</v>
      </c>
    </row>
    <row r="298" spans="1:9" x14ac:dyDescent="0.25">
      <c r="B298" s="129" t="s">
        <v>573</v>
      </c>
      <c r="C298" s="130">
        <v>8.4027777777777771E-2</v>
      </c>
      <c r="D298" s="130">
        <v>8.4027777777777771E-2</v>
      </c>
      <c r="E298" s="130">
        <v>0.1673611111111111</v>
      </c>
      <c r="F298" s="130">
        <v>0.12569444444444444</v>
      </c>
      <c r="G298" s="130">
        <v>0.46111111111111108</v>
      </c>
      <c r="H298" s="130">
        <v>0.5</v>
      </c>
      <c r="I298" s="129" t="s">
        <v>557</v>
      </c>
    </row>
    <row r="299" spans="1:9" x14ac:dyDescent="0.25">
      <c r="B299" s="129" t="s">
        <v>575</v>
      </c>
      <c r="C299" s="130">
        <v>8.6111111111111124E-2</v>
      </c>
      <c r="D299" s="130">
        <v>0.25208333333333333</v>
      </c>
      <c r="E299" s="130">
        <v>4.8611111111111112E-2</v>
      </c>
      <c r="F299" s="130">
        <v>0.12569444444444444</v>
      </c>
      <c r="G299" s="130">
        <v>0.51250000000000007</v>
      </c>
      <c r="H299" s="130">
        <v>0.25416666666666665</v>
      </c>
      <c r="I299" s="129" t="s">
        <v>558</v>
      </c>
    </row>
    <row r="300" spans="1:9" x14ac:dyDescent="0.25">
      <c r="B300" s="129" t="s">
        <v>577</v>
      </c>
      <c r="C300" s="130">
        <v>2.0833333333333333E-3</v>
      </c>
      <c r="D300" s="130">
        <v>4.1666666666666699E-2</v>
      </c>
      <c r="E300" s="130" t="s">
        <v>691</v>
      </c>
      <c r="F300" s="130" t="s">
        <v>159</v>
      </c>
      <c r="G300" s="130">
        <v>0.25833333333333336</v>
      </c>
      <c r="H300" s="130">
        <v>0.21111111111111111</v>
      </c>
      <c r="I300" s="129" t="s">
        <v>557</v>
      </c>
    </row>
    <row r="301" spans="1:9" x14ac:dyDescent="0.25">
      <c r="B301" s="129" t="s">
        <v>578</v>
      </c>
      <c r="C301" s="130">
        <v>0.1673611111111111</v>
      </c>
      <c r="D301" s="130">
        <v>0.12569444444444444</v>
      </c>
      <c r="E301" s="130">
        <v>0.20902777777777778</v>
      </c>
      <c r="F301" s="130">
        <v>0.21041666666666667</v>
      </c>
      <c r="G301" s="130">
        <v>0.71250000000000002</v>
      </c>
      <c r="H301" s="130">
        <v>0.5</v>
      </c>
      <c r="I301" s="129" t="s">
        <v>557</v>
      </c>
    </row>
    <row r="303" spans="1:9" x14ac:dyDescent="0.25">
      <c r="A303" s="129" t="s">
        <v>581</v>
      </c>
      <c r="C303" s="129" t="s">
        <v>339</v>
      </c>
      <c r="D303" s="129" t="s">
        <v>340</v>
      </c>
      <c r="E303" s="129" t="s">
        <v>341</v>
      </c>
      <c r="F303" s="129" t="s">
        <v>342</v>
      </c>
      <c r="G303" s="129" t="s">
        <v>343</v>
      </c>
      <c r="H303" s="129" t="s">
        <v>344</v>
      </c>
      <c r="I303" s="129" t="s">
        <v>337</v>
      </c>
    </row>
    <row r="304" spans="1:9" x14ac:dyDescent="0.25">
      <c r="A304" s="129" t="s">
        <v>582</v>
      </c>
      <c r="B304" s="129" t="s">
        <v>577</v>
      </c>
      <c r="C304" s="130">
        <v>0.16805555555555554</v>
      </c>
      <c r="D304" s="130">
        <v>0.20972222222222223</v>
      </c>
      <c r="E304" s="130">
        <v>2.7777777777777779E-3</v>
      </c>
      <c r="F304" s="130" t="s">
        <v>164</v>
      </c>
      <c r="I304" s="130">
        <v>0.12569444444444444</v>
      </c>
    </row>
    <row r="305" spans="1:9" x14ac:dyDescent="0.25">
      <c r="A305" s="129" t="s">
        <v>593</v>
      </c>
      <c r="B305" s="129" t="s">
        <v>575</v>
      </c>
      <c r="C305" s="130">
        <v>4.1666666666666666E-3</v>
      </c>
      <c r="D305" s="130">
        <v>8.5416666666666655E-2</v>
      </c>
      <c r="E305" s="130">
        <v>0.21041666666666667</v>
      </c>
      <c r="F305" s="130">
        <v>0.16805555555555554</v>
      </c>
      <c r="G305" s="130">
        <v>4.5833333333333337E-2</v>
      </c>
      <c r="H305" s="130">
        <v>4.4444444444444446E-2</v>
      </c>
      <c r="I305" s="130">
        <v>8.6111111111111124E-2</v>
      </c>
    </row>
    <row r="308" spans="1:9" x14ac:dyDescent="0.25">
      <c r="A308" s="129" t="s">
        <v>544</v>
      </c>
    </row>
    <row r="309" spans="1:9" x14ac:dyDescent="0.25">
      <c r="A309" s="129" t="s">
        <v>547</v>
      </c>
      <c r="B309" s="129" t="s">
        <v>548</v>
      </c>
    </row>
    <row r="310" spans="1:9" x14ac:dyDescent="0.25">
      <c r="B310" s="129" t="s">
        <v>549</v>
      </c>
      <c r="C310" s="129" t="s">
        <v>550</v>
      </c>
      <c r="D310" s="129" t="s">
        <v>551</v>
      </c>
      <c r="E310" s="129" t="s">
        <v>552</v>
      </c>
      <c r="F310" s="129" t="s">
        <v>553</v>
      </c>
      <c r="G310" s="129" t="s">
        <v>554</v>
      </c>
      <c r="H310" s="129" t="s">
        <v>555</v>
      </c>
      <c r="I310" s="129" t="s">
        <v>556</v>
      </c>
    </row>
    <row r="312" spans="1:9" x14ac:dyDescent="0.25">
      <c r="B312" s="129" t="s">
        <v>559</v>
      </c>
      <c r="C312" s="130">
        <v>0.20972222222222223</v>
      </c>
      <c r="D312" s="130" t="s">
        <v>354</v>
      </c>
      <c r="E312" s="130">
        <v>4.4444444444444446E-2</v>
      </c>
      <c r="F312" s="130">
        <v>2.0833333333333333E-3</v>
      </c>
      <c r="G312" s="130">
        <v>0.3840277777777778</v>
      </c>
      <c r="H312" s="130">
        <v>0.17222222222222225</v>
      </c>
      <c r="I312" s="129" t="s">
        <v>558</v>
      </c>
    </row>
    <row r="313" spans="1:9" x14ac:dyDescent="0.25">
      <c r="B313" s="129" t="s">
        <v>560</v>
      </c>
      <c r="C313" s="130">
        <v>0.21041666666666667</v>
      </c>
      <c r="D313" s="130">
        <v>0.25347222222222221</v>
      </c>
      <c r="E313" s="130">
        <v>0.12569444444444444</v>
      </c>
      <c r="F313" s="130">
        <v>8.5416666666666655E-2</v>
      </c>
      <c r="G313" s="130">
        <v>0.67500000000000004</v>
      </c>
      <c r="H313" s="130">
        <v>0.37708333333333338</v>
      </c>
      <c r="I313" s="129" t="s">
        <v>557</v>
      </c>
    </row>
    <row r="314" spans="1:9" x14ac:dyDescent="0.25">
      <c r="B314" s="129" t="s">
        <v>561</v>
      </c>
      <c r="C314" s="130">
        <v>1.3888888888888889E-3</v>
      </c>
      <c r="D314" s="130">
        <v>8.4027777777777771E-2</v>
      </c>
      <c r="E314" s="130">
        <v>8.6111111111111124E-2</v>
      </c>
      <c r="F314" s="130">
        <v>0.21041666666666667</v>
      </c>
      <c r="G314" s="130">
        <v>0.38194444444444442</v>
      </c>
      <c r="H314" s="130">
        <v>0.25416666666666665</v>
      </c>
      <c r="I314" s="129" t="s">
        <v>558</v>
      </c>
    </row>
    <row r="315" spans="1:9" x14ac:dyDescent="0.25">
      <c r="B315" s="129" t="s">
        <v>563</v>
      </c>
      <c r="C315" s="130">
        <v>4.3055555555555562E-2</v>
      </c>
      <c r="D315" s="130">
        <v>8.6111111111111124E-2</v>
      </c>
      <c r="E315" s="130" t="s">
        <v>564</v>
      </c>
      <c r="F315" s="130">
        <v>8.4027777777777771E-2</v>
      </c>
      <c r="G315" s="130">
        <v>0.42430555555555555</v>
      </c>
      <c r="H315" s="130">
        <v>0.21319444444444444</v>
      </c>
      <c r="I315" s="129" t="s">
        <v>558</v>
      </c>
    </row>
    <row r="316" spans="1:9" x14ac:dyDescent="0.25">
      <c r="B316" s="129" t="s">
        <v>565</v>
      </c>
      <c r="C316" s="130">
        <v>0.25277777777777777</v>
      </c>
      <c r="D316" s="130">
        <v>8.6111111111111124E-2</v>
      </c>
      <c r="E316" s="130">
        <v>0.13125000000000001</v>
      </c>
      <c r="F316" s="130">
        <v>0.16875000000000001</v>
      </c>
      <c r="G316" s="130">
        <v>0.63888888888888895</v>
      </c>
      <c r="H316" s="130">
        <v>0.25416666666666665</v>
      </c>
      <c r="I316" s="129" t="s">
        <v>558</v>
      </c>
    </row>
    <row r="317" spans="1:9" x14ac:dyDescent="0.25">
      <c r="B317" s="129" t="s">
        <v>566</v>
      </c>
      <c r="C317" s="130">
        <v>4.4444444444444446E-2</v>
      </c>
      <c r="D317" s="130" t="s">
        <v>161</v>
      </c>
      <c r="E317" s="130" t="s">
        <v>567</v>
      </c>
      <c r="F317" s="130">
        <v>0.12916666666666668</v>
      </c>
      <c r="G317" s="130">
        <v>0.42777777777777781</v>
      </c>
      <c r="H317" s="130">
        <v>0.13125000000000001</v>
      </c>
      <c r="I317" s="129" t="s">
        <v>558</v>
      </c>
    </row>
    <row r="318" spans="1:9" x14ac:dyDescent="0.25">
      <c r="B318" s="129" t="s">
        <v>569</v>
      </c>
      <c r="C318" s="130">
        <v>0.21041666666666667</v>
      </c>
      <c r="D318" s="130">
        <v>4.3055555555555562E-2</v>
      </c>
      <c r="E318" s="130">
        <v>4.3749999999999997E-2</v>
      </c>
      <c r="F318" s="130">
        <v>0.1673611111111111</v>
      </c>
      <c r="G318" s="130">
        <v>0.46458333333333335</v>
      </c>
      <c r="H318" s="130">
        <v>0.25416666666666665</v>
      </c>
      <c r="I318" s="129" t="s">
        <v>557</v>
      </c>
    </row>
    <row r="319" spans="1:9" x14ac:dyDescent="0.25">
      <c r="B319" s="129" t="s">
        <v>570</v>
      </c>
      <c r="C319" s="130" t="s">
        <v>571</v>
      </c>
      <c r="D319" s="130">
        <v>0.12638888888888888</v>
      </c>
      <c r="E319" s="130">
        <v>0.21041666666666667</v>
      </c>
      <c r="F319" s="130" t="s">
        <v>354</v>
      </c>
      <c r="G319" s="130">
        <v>0.50763888888888886</v>
      </c>
      <c r="H319" s="130">
        <v>0.33611111111111108</v>
      </c>
      <c r="I319" s="129" t="s">
        <v>557</v>
      </c>
    </row>
    <row r="320" spans="1:9" x14ac:dyDescent="0.25">
      <c r="B320" s="129" t="s">
        <v>572</v>
      </c>
      <c r="C320" s="130">
        <v>0.21249999999999999</v>
      </c>
      <c r="D320" s="130">
        <v>0.16875000000000001</v>
      </c>
      <c r="E320" s="130">
        <v>0.12638888888888888</v>
      </c>
      <c r="F320" s="130">
        <v>8.7499999999999994E-2</v>
      </c>
      <c r="G320" s="130">
        <v>0.59513888888888888</v>
      </c>
      <c r="H320" s="130">
        <v>0.25416666666666665</v>
      </c>
      <c r="I320" s="129" t="s">
        <v>558</v>
      </c>
    </row>
    <row r="321" spans="1:9" x14ac:dyDescent="0.25">
      <c r="B321" s="129" t="s">
        <v>573</v>
      </c>
      <c r="C321" s="130" t="s">
        <v>574</v>
      </c>
      <c r="D321" s="130">
        <v>8.4027777777777771E-2</v>
      </c>
      <c r="E321" s="130">
        <v>0.12847222222222224</v>
      </c>
      <c r="F321" s="130">
        <v>0.16875000000000001</v>
      </c>
      <c r="G321" s="130">
        <v>0.63472222222222219</v>
      </c>
      <c r="H321" s="130">
        <v>0.33611111111111108</v>
      </c>
      <c r="I321" s="129" t="s">
        <v>557</v>
      </c>
    </row>
    <row r="322" spans="1:9" x14ac:dyDescent="0.25">
      <c r="B322" s="129" t="s">
        <v>575</v>
      </c>
      <c r="C322" s="130" t="s">
        <v>576</v>
      </c>
      <c r="D322" s="130">
        <v>0.20972222222222223</v>
      </c>
      <c r="E322" s="130">
        <v>8.7499999999999994E-2</v>
      </c>
      <c r="F322" s="130" t="s">
        <v>354</v>
      </c>
      <c r="G322" s="130">
        <v>0.55138888888888882</v>
      </c>
      <c r="H322" s="130">
        <v>0.25416666666666665</v>
      </c>
      <c r="I322" s="129" t="s">
        <v>558</v>
      </c>
    </row>
    <row r="323" spans="1:9" x14ac:dyDescent="0.25">
      <c r="B323" s="129" t="s">
        <v>577</v>
      </c>
      <c r="C323" s="130">
        <v>8.7499999999999994E-2</v>
      </c>
      <c r="D323" s="130">
        <v>4.5138888888888888E-2</v>
      </c>
      <c r="E323" s="130">
        <v>0.21111111111111111</v>
      </c>
      <c r="F323" s="130">
        <v>0.17222222222222225</v>
      </c>
      <c r="G323" s="130">
        <v>0.51597222222222217</v>
      </c>
      <c r="H323" s="130">
        <v>0.13125000000000001</v>
      </c>
      <c r="I323" s="129" t="s">
        <v>558</v>
      </c>
    </row>
    <row r="324" spans="1:9" x14ac:dyDescent="0.25">
      <c r="B324" s="129" t="s">
        <v>578</v>
      </c>
      <c r="C324" s="130">
        <v>4.5833333333333337E-2</v>
      </c>
      <c r="D324" s="130">
        <v>8.6111111111111124E-2</v>
      </c>
      <c r="E324" s="130">
        <v>8.7499999999999994E-2</v>
      </c>
      <c r="F324" s="130">
        <v>4.6527777777777779E-2</v>
      </c>
      <c r="G324" s="130">
        <v>0.26597222222222222</v>
      </c>
      <c r="H324" s="130">
        <v>8.3333333333333332E-3</v>
      </c>
      <c r="I324" s="129" t="s">
        <v>558</v>
      </c>
    </row>
    <row r="326" spans="1:9" x14ac:dyDescent="0.25">
      <c r="A326" s="129" t="s">
        <v>581</v>
      </c>
      <c r="C326" s="129" t="s">
        <v>339</v>
      </c>
      <c r="D326" s="129" t="s">
        <v>340</v>
      </c>
      <c r="E326" s="129" t="s">
        <v>341</v>
      </c>
      <c r="F326" s="129" t="s">
        <v>342</v>
      </c>
      <c r="G326" s="129" t="s">
        <v>343</v>
      </c>
      <c r="H326" s="129" t="s">
        <v>337</v>
      </c>
    </row>
    <row r="327" spans="1:9" x14ac:dyDescent="0.25">
      <c r="A327" s="129" t="s">
        <v>582</v>
      </c>
      <c r="B327" s="129" t="s">
        <v>561</v>
      </c>
      <c r="C327" s="130">
        <v>4.3750000000000004E-2</v>
      </c>
      <c r="D327" s="130">
        <v>0.20902777777777778</v>
      </c>
      <c r="E327" s="130">
        <v>0.21041666666666667</v>
      </c>
      <c r="F327" s="130">
        <v>0.12847222222222224</v>
      </c>
      <c r="G327" s="130">
        <v>0.12847222222222224</v>
      </c>
      <c r="H327" s="130">
        <v>8.5416666666666655E-2</v>
      </c>
      <c r="I327" s="130"/>
    </row>
    <row r="330" spans="1:9" x14ac:dyDescent="0.25">
      <c r="A330" s="129" t="s">
        <v>543</v>
      </c>
    </row>
    <row r="331" spans="1:9" x14ac:dyDescent="0.25">
      <c r="A331" s="129" t="s">
        <v>545</v>
      </c>
      <c r="B331" s="129" t="s">
        <v>546</v>
      </c>
    </row>
    <row r="332" spans="1:9" x14ac:dyDescent="0.25">
      <c r="B332" s="129" t="s">
        <v>549</v>
      </c>
      <c r="C332" s="129" t="s">
        <v>550</v>
      </c>
      <c r="D332" s="129" t="s">
        <v>551</v>
      </c>
      <c r="E332" s="129" t="s">
        <v>552</v>
      </c>
      <c r="F332" s="129" t="s">
        <v>553</v>
      </c>
      <c r="G332" s="129" t="s">
        <v>554</v>
      </c>
      <c r="H332" s="129" t="s">
        <v>555</v>
      </c>
      <c r="I332" s="129" t="s">
        <v>556</v>
      </c>
    </row>
    <row r="333" spans="1:9" x14ac:dyDescent="0.25">
      <c r="B333" s="129" t="s">
        <v>6076</v>
      </c>
      <c r="C333" s="130">
        <v>0.16805555555555554</v>
      </c>
      <c r="D333" s="130">
        <v>0.21111111111111111</v>
      </c>
      <c r="E333" s="130">
        <v>8.4027777777777771E-2</v>
      </c>
      <c r="F333" s="130">
        <v>4.5138888888888888E-2</v>
      </c>
      <c r="G333" s="131">
        <v>0.5083333333333333</v>
      </c>
      <c r="H333" s="130">
        <v>0.37708333333333338</v>
      </c>
      <c r="I333" s="129" t="s">
        <v>557</v>
      </c>
    </row>
    <row r="334" spans="1:9" x14ac:dyDescent="0.25">
      <c r="B334" s="129" t="s">
        <v>333</v>
      </c>
      <c r="C334" s="130">
        <v>0.16805555555555554</v>
      </c>
      <c r="D334" s="130">
        <v>8.6805555555555566E-2</v>
      </c>
      <c r="E334" s="130">
        <v>0.12569444444444444</v>
      </c>
      <c r="F334" s="130">
        <v>4.5833333333333337E-2</v>
      </c>
      <c r="G334" s="131">
        <v>0.42638888888888887</v>
      </c>
      <c r="H334" s="130">
        <v>0.25416666666666665</v>
      </c>
      <c r="I334" s="129" t="s">
        <v>558</v>
      </c>
    </row>
    <row r="335" spans="1:9" x14ac:dyDescent="0.25">
      <c r="B335" s="129" t="s">
        <v>325</v>
      </c>
      <c r="C335" s="130">
        <v>0.12847222222222224</v>
      </c>
      <c r="D335" s="130">
        <v>0.1673611111111111</v>
      </c>
      <c r="E335" s="130">
        <v>0.21041666666666667</v>
      </c>
      <c r="F335" s="130">
        <v>0.17013888888888887</v>
      </c>
      <c r="G335" s="131">
        <v>0.67638888888888893</v>
      </c>
      <c r="H335" s="130">
        <v>0.25416666666666665</v>
      </c>
      <c r="I335" s="129" t="s">
        <v>557</v>
      </c>
    </row>
    <row r="336" spans="1:9" x14ac:dyDescent="0.25">
      <c r="B336" s="129" t="s">
        <v>331</v>
      </c>
      <c r="C336" s="130">
        <v>8.6111111111111124E-2</v>
      </c>
      <c r="D336" s="130">
        <v>0.25069444444444444</v>
      </c>
      <c r="E336" s="130">
        <v>8.4027777777777771E-2</v>
      </c>
      <c r="F336" s="130">
        <v>0.16805555555555554</v>
      </c>
      <c r="G336" s="130">
        <v>0.58888888888888891</v>
      </c>
      <c r="H336" s="130">
        <v>0.37708333333333338</v>
      </c>
      <c r="I336" s="129" t="s">
        <v>557</v>
      </c>
    </row>
    <row r="337" spans="1:11" x14ac:dyDescent="0.25">
      <c r="B337" s="129" t="s">
        <v>327</v>
      </c>
      <c r="C337" s="130">
        <v>0.12916666666666668</v>
      </c>
      <c r="D337" s="129" t="s">
        <v>161</v>
      </c>
      <c r="E337" s="130">
        <v>0.125</v>
      </c>
      <c r="F337" s="129" t="s">
        <v>352</v>
      </c>
      <c r="G337" s="131">
        <v>0.46597222222222223</v>
      </c>
      <c r="H337" s="130">
        <v>0.25416666666666665</v>
      </c>
      <c r="I337" s="129" t="s">
        <v>562</v>
      </c>
    </row>
    <row r="338" spans="1:11" x14ac:dyDescent="0.25">
      <c r="B338" s="129" t="s">
        <v>326</v>
      </c>
      <c r="C338" s="130">
        <v>0.12569444444444444</v>
      </c>
      <c r="D338" s="129" t="s">
        <v>161</v>
      </c>
      <c r="E338" s="130">
        <v>8.5416666666666655E-2</v>
      </c>
      <c r="F338" s="130">
        <v>8.6111111111111124E-2</v>
      </c>
      <c r="G338" s="131">
        <v>0.38263888888888892</v>
      </c>
      <c r="H338" s="130">
        <v>0.17222222222222225</v>
      </c>
      <c r="I338" s="129" t="s">
        <v>558</v>
      </c>
    </row>
    <row r="339" spans="1:11" x14ac:dyDescent="0.25">
      <c r="B339" s="129" t="s">
        <v>328</v>
      </c>
      <c r="C339" s="130">
        <v>0.12638888888888888</v>
      </c>
      <c r="D339" s="129" t="s">
        <v>354</v>
      </c>
      <c r="E339" s="130">
        <v>4.5833333333333337E-2</v>
      </c>
      <c r="F339" s="130">
        <v>0.20972222222222223</v>
      </c>
      <c r="G339" s="131">
        <v>0.50972222222222219</v>
      </c>
      <c r="H339" s="130">
        <v>0.2951388888888889</v>
      </c>
      <c r="I339" s="129" t="s">
        <v>557</v>
      </c>
    </row>
    <row r="340" spans="1:11" x14ac:dyDescent="0.25">
      <c r="B340" s="129" t="s">
        <v>610</v>
      </c>
      <c r="C340" s="130">
        <v>4.3055555555555562E-2</v>
      </c>
      <c r="D340" s="130">
        <v>0.16666666666666666</v>
      </c>
      <c r="E340" s="129" t="s">
        <v>568</v>
      </c>
      <c r="F340" s="130">
        <v>0.1277777777777778</v>
      </c>
      <c r="G340" s="131">
        <v>0.59097222222222223</v>
      </c>
      <c r="H340" s="130">
        <v>0.21319444444444444</v>
      </c>
      <c r="I340" s="129" t="s">
        <v>558</v>
      </c>
    </row>
    <row r="341" spans="1:11" x14ac:dyDescent="0.25">
      <c r="B341" s="129" t="s">
        <v>334</v>
      </c>
      <c r="C341" s="130">
        <v>0.16875000000000001</v>
      </c>
      <c r="D341" s="130">
        <v>0.20833333333333334</v>
      </c>
      <c r="E341" s="130">
        <v>0.12986111111111112</v>
      </c>
      <c r="F341" s="130">
        <v>0.17083333333333331</v>
      </c>
      <c r="G341" s="131">
        <v>0.6777777777777777</v>
      </c>
      <c r="H341" s="130">
        <v>0.25416666666666665</v>
      </c>
      <c r="I341" s="129" t="s">
        <v>562</v>
      </c>
    </row>
    <row r="342" spans="1:11" x14ac:dyDescent="0.25">
      <c r="B342" s="129" t="s">
        <v>6091</v>
      </c>
      <c r="C342" s="130">
        <v>0.20902777777777778</v>
      </c>
      <c r="D342" s="130">
        <v>4.3749999999999997E-2</v>
      </c>
      <c r="E342" s="129" t="s">
        <v>159</v>
      </c>
      <c r="F342" s="130">
        <v>4.5138888888888888E-2</v>
      </c>
      <c r="G342" s="131">
        <v>0.46666666666666662</v>
      </c>
      <c r="H342" s="130">
        <v>0.21319444444444444</v>
      </c>
      <c r="I342" s="129" t="s">
        <v>558</v>
      </c>
    </row>
    <row r="343" spans="1:11" x14ac:dyDescent="0.25">
      <c r="B343" s="129" t="s">
        <v>332</v>
      </c>
      <c r="C343" s="130">
        <v>0.16666666666666666</v>
      </c>
      <c r="D343" s="129" t="s">
        <v>160</v>
      </c>
      <c r="E343" s="129" t="s">
        <v>160</v>
      </c>
      <c r="F343" s="130">
        <v>2.0833333333333333E-3</v>
      </c>
      <c r="G343" s="130">
        <v>0.33680555555555558</v>
      </c>
      <c r="H343" s="130">
        <v>0.2951388888888889</v>
      </c>
      <c r="I343" s="129" t="s">
        <v>557</v>
      </c>
    </row>
    <row r="344" spans="1:11" x14ac:dyDescent="0.25">
      <c r="B344" s="129" t="s">
        <v>522</v>
      </c>
      <c r="C344" s="130">
        <v>0.16805555555555554</v>
      </c>
      <c r="D344" s="130">
        <v>0.125</v>
      </c>
      <c r="E344" s="130">
        <v>0.12847222222222224</v>
      </c>
      <c r="F344" s="130">
        <v>8.5416666666666655E-2</v>
      </c>
      <c r="G344" s="131">
        <v>0.50694444444444442</v>
      </c>
      <c r="H344" s="130">
        <v>0.25416666666666665</v>
      </c>
      <c r="I344" s="129" t="s">
        <v>557</v>
      </c>
    </row>
    <row r="345" spans="1:11" x14ac:dyDescent="0.25">
      <c r="B345" s="129" t="s">
        <v>6086</v>
      </c>
      <c r="C345" s="130">
        <v>0.16805555555555554</v>
      </c>
      <c r="D345" s="129" t="s">
        <v>159</v>
      </c>
      <c r="E345" s="129" t="s">
        <v>160</v>
      </c>
      <c r="F345" s="130">
        <v>0.16805555555555554</v>
      </c>
      <c r="G345" s="131">
        <v>0.58888888888888891</v>
      </c>
      <c r="H345" s="130">
        <v>0.41805555555555557</v>
      </c>
      <c r="I345" s="129" t="s">
        <v>557</v>
      </c>
    </row>
    <row r="348" spans="1:11" x14ac:dyDescent="0.25">
      <c r="A348" s="129" t="s">
        <v>579</v>
      </c>
      <c r="C348" s="130" t="s">
        <v>339</v>
      </c>
      <c r="D348" s="130" t="s">
        <v>340</v>
      </c>
      <c r="E348" s="130" t="s">
        <v>341</v>
      </c>
      <c r="F348" s="130" t="s">
        <v>342</v>
      </c>
      <c r="G348" s="130" t="s">
        <v>580</v>
      </c>
      <c r="H348" s="130" t="s">
        <v>337</v>
      </c>
    </row>
    <row r="349" spans="1:11" x14ac:dyDescent="0.25">
      <c r="A349" s="129" t="s">
        <v>534</v>
      </c>
      <c r="B349" s="129" t="s">
        <v>572</v>
      </c>
      <c r="C349" s="129" t="s">
        <v>161</v>
      </c>
      <c r="D349" s="129" t="s">
        <v>208</v>
      </c>
      <c r="E349" s="130">
        <v>4.3749999999999997E-2</v>
      </c>
      <c r="F349" s="130">
        <v>8.6111111111111124E-2</v>
      </c>
      <c r="G349" s="131">
        <v>0.25833333333333336</v>
      </c>
      <c r="H349" s="130">
        <v>2.7777777777777779E-3</v>
      </c>
    </row>
    <row r="350" spans="1:11" x14ac:dyDescent="0.25">
      <c r="J350" s="130"/>
      <c r="K350" s="130"/>
    </row>
    <row r="351" spans="1:11" x14ac:dyDescent="0.25">
      <c r="J351" s="130"/>
      <c r="K351" s="130"/>
    </row>
    <row r="352" spans="1:11" x14ac:dyDescent="0.25">
      <c r="A352" s="129" t="s">
        <v>583</v>
      </c>
      <c r="J352" s="130"/>
      <c r="K352" s="130"/>
    </row>
    <row r="353" spans="1:11" x14ac:dyDescent="0.25">
      <c r="A353" s="129" t="s">
        <v>586</v>
      </c>
      <c r="B353" s="129" t="s">
        <v>587</v>
      </c>
      <c r="J353" s="130"/>
      <c r="K353" s="130"/>
    </row>
    <row r="354" spans="1:11" x14ac:dyDescent="0.25">
      <c r="B354" s="129" t="s">
        <v>549</v>
      </c>
      <c r="C354" s="129" t="s">
        <v>550</v>
      </c>
      <c r="D354" s="129" t="s">
        <v>551</v>
      </c>
      <c r="E354" s="129" t="s">
        <v>552</v>
      </c>
      <c r="F354" s="129" t="s">
        <v>553</v>
      </c>
      <c r="G354" s="129" t="s">
        <v>554</v>
      </c>
      <c r="H354" s="129" t="s">
        <v>555</v>
      </c>
      <c r="I354" s="129" t="s">
        <v>556</v>
      </c>
      <c r="J354" s="130"/>
      <c r="K354" s="130"/>
    </row>
    <row r="355" spans="1:11" x14ac:dyDescent="0.25">
      <c r="B355" s="130" t="s">
        <v>561</v>
      </c>
      <c r="C355" s="130">
        <v>8.5416666666666655E-2</v>
      </c>
      <c r="D355" s="130">
        <v>0.21041666666666667</v>
      </c>
      <c r="E355" s="130">
        <v>4.6527777777777779E-2</v>
      </c>
      <c r="F355" s="130">
        <v>0.12569444444444444</v>
      </c>
      <c r="G355" s="130">
        <v>0.4680555555555555</v>
      </c>
      <c r="H355" s="130">
        <v>0.25416666666666665</v>
      </c>
      <c r="I355" s="130" t="s">
        <v>558</v>
      </c>
      <c r="J355" s="130"/>
      <c r="K355" s="130"/>
    </row>
    <row r="356" spans="1:11" x14ac:dyDescent="0.25">
      <c r="B356" s="130" t="s">
        <v>572</v>
      </c>
      <c r="C356" s="130">
        <v>0.25138888888888888</v>
      </c>
      <c r="D356" s="130" t="s">
        <v>209</v>
      </c>
      <c r="E356" s="130">
        <v>4.3749999999999997E-2</v>
      </c>
      <c r="F356" s="130">
        <v>0.21041666666666667</v>
      </c>
      <c r="G356" s="130">
        <v>0.54722222222222217</v>
      </c>
      <c r="H356" s="130">
        <v>0.33611111111111108</v>
      </c>
      <c r="I356" s="130" t="s">
        <v>557</v>
      </c>
      <c r="J356" s="130"/>
      <c r="K356" s="130"/>
    </row>
    <row r="357" spans="1:11" x14ac:dyDescent="0.25">
      <c r="B357" s="130" t="s">
        <v>559</v>
      </c>
      <c r="C357" s="130">
        <v>0.21041666666666667</v>
      </c>
      <c r="D357" s="130">
        <v>0.12916666666666668</v>
      </c>
      <c r="E357" s="130">
        <v>0.1277777777777778</v>
      </c>
      <c r="F357" s="130">
        <v>1.3888888888888889E-3</v>
      </c>
      <c r="G357" s="130">
        <v>0.46875</v>
      </c>
      <c r="H357" s="130">
        <v>0.13125000000000001</v>
      </c>
      <c r="I357" s="130" t="s">
        <v>558</v>
      </c>
      <c r="J357" s="130"/>
      <c r="K357" s="130"/>
    </row>
    <row r="358" spans="1:11" x14ac:dyDescent="0.25">
      <c r="B358" s="130" t="s">
        <v>569</v>
      </c>
      <c r="C358" s="130">
        <v>8.4027777777777771E-2</v>
      </c>
      <c r="D358" s="130" t="s">
        <v>351</v>
      </c>
      <c r="E358" s="130">
        <v>8.6805555555555566E-2</v>
      </c>
      <c r="F358" s="130">
        <v>4.3055555555555562E-2</v>
      </c>
      <c r="G358" s="130">
        <v>0.34027777777777773</v>
      </c>
      <c r="H358" s="130">
        <v>0.21319444444444444</v>
      </c>
      <c r="I358" s="130" t="s">
        <v>558</v>
      </c>
      <c r="J358" s="130"/>
      <c r="K358" s="130"/>
    </row>
    <row r="359" spans="1:11" x14ac:dyDescent="0.25">
      <c r="B359" s="130" t="s">
        <v>573</v>
      </c>
      <c r="C359" s="130" t="s">
        <v>162</v>
      </c>
      <c r="D359" s="130">
        <v>0.16666666666666666</v>
      </c>
      <c r="E359" s="130">
        <v>8.6111111111111124E-2</v>
      </c>
      <c r="F359" s="130">
        <v>4.3749999999999997E-2</v>
      </c>
      <c r="G359" s="130">
        <v>0.50763888888888886</v>
      </c>
      <c r="H359" s="130">
        <v>0.21319444444444444</v>
      </c>
      <c r="I359" s="130" t="s">
        <v>558</v>
      </c>
      <c r="J359" s="130"/>
      <c r="K359" s="130"/>
    </row>
    <row r="360" spans="1:11" x14ac:dyDescent="0.25">
      <c r="B360" s="130" t="s">
        <v>575</v>
      </c>
      <c r="C360" s="130">
        <v>0.16805555555555554</v>
      </c>
      <c r="D360" s="130" t="s">
        <v>589</v>
      </c>
      <c r="E360" s="130" t="s">
        <v>161</v>
      </c>
      <c r="F360" s="130" t="s">
        <v>352</v>
      </c>
      <c r="G360" s="130">
        <v>0.42291666666666666</v>
      </c>
      <c r="H360" s="130">
        <v>0.2951388888888889</v>
      </c>
      <c r="I360" s="130" t="s">
        <v>557</v>
      </c>
      <c r="J360" s="130"/>
      <c r="K360" s="130"/>
    </row>
    <row r="361" spans="1:11" x14ac:dyDescent="0.25">
      <c r="B361" s="130" t="s">
        <v>578</v>
      </c>
      <c r="C361" s="130">
        <v>0.25138888888888888</v>
      </c>
      <c r="D361" s="130">
        <v>4.4444444444444446E-2</v>
      </c>
      <c r="E361" s="130">
        <v>0.12847222222222224</v>
      </c>
      <c r="F361" s="130">
        <v>4.5138888888888888E-2</v>
      </c>
      <c r="G361" s="130">
        <v>0.4694444444444445</v>
      </c>
      <c r="H361" s="130">
        <v>0.13125000000000001</v>
      </c>
      <c r="I361" s="130" t="s">
        <v>558</v>
      </c>
      <c r="J361" s="130"/>
      <c r="K361" s="130"/>
    </row>
    <row r="362" spans="1:11" x14ac:dyDescent="0.25">
      <c r="B362" s="130" t="s">
        <v>577</v>
      </c>
      <c r="C362" s="130" t="s">
        <v>351</v>
      </c>
      <c r="D362" s="130" t="s">
        <v>161</v>
      </c>
      <c r="E362" s="130" t="s">
        <v>590</v>
      </c>
      <c r="F362" s="130">
        <v>0.25208333333333333</v>
      </c>
      <c r="G362" s="130">
        <v>0.67638888888888893</v>
      </c>
      <c r="H362" s="130">
        <v>0.2951388888888889</v>
      </c>
      <c r="I362" s="130" t="s">
        <v>557</v>
      </c>
      <c r="J362" s="130"/>
      <c r="K362" s="130"/>
    </row>
    <row r="363" spans="1:11" x14ac:dyDescent="0.25">
      <c r="B363" s="130" t="s">
        <v>591</v>
      </c>
      <c r="C363" s="130">
        <v>0.16805555555555554</v>
      </c>
      <c r="D363" s="130">
        <v>0.1673611111111111</v>
      </c>
      <c r="E363" s="130">
        <v>4.3749999999999997E-2</v>
      </c>
      <c r="F363" s="130" t="s">
        <v>352</v>
      </c>
      <c r="G363" s="130">
        <v>0.50555555555555554</v>
      </c>
      <c r="H363" s="130">
        <v>0.33611111111111108</v>
      </c>
      <c r="I363" s="130" t="s">
        <v>557</v>
      </c>
      <c r="J363" s="130"/>
      <c r="K363" s="130"/>
    </row>
    <row r="364" spans="1:11" x14ac:dyDescent="0.25">
      <c r="B364" s="130" t="s">
        <v>566</v>
      </c>
      <c r="C364" s="130">
        <v>0.20833333333333334</v>
      </c>
      <c r="D364" s="130">
        <v>8.3333333333333329E-2</v>
      </c>
      <c r="E364" s="130" t="s">
        <v>163</v>
      </c>
      <c r="F364" s="130">
        <v>0.1277777777777778</v>
      </c>
      <c r="G364" s="130">
        <v>0.54722222222222217</v>
      </c>
      <c r="H364" s="130">
        <v>0.2951388888888889</v>
      </c>
      <c r="I364" s="130" t="s">
        <v>557</v>
      </c>
      <c r="J364" s="130"/>
      <c r="K364" s="130"/>
    </row>
    <row r="365" spans="1:11" x14ac:dyDescent="0.25">
      <c r="B365" s="130" t="s">
        <v>565</v>
      </c>
      <c r="C365" s="130" t="s">
        <v>208</v>
      </c>
      <c r="D365" s="130">
        <v>0.125</v>
      </c>
      <c r="E365" s="130">
        <v>2.0833333333333333E-3</v>
      </c>
      <c r="F365" s="130">
        <v>8.4027777777777771E-2</v>
      </c>
      <c r="G365" s="130">
        <v>0.25416666666666665</v>
      </c>
      <c r="H365" s="130">
        <v>0.2951388888888889</v>
      </c>
      <c r="I365" s="130" t="s">
        <v>557</v>
      </c>
      <c r="J365" s="130"/>
      <c r="K365" s="130"/>
    </row>
    <row r="366" spans="1:11" x14ac:dyDescent="0.25">
      <c r="B366" s="130" t="s">
        <v>563</v>
      </c>
      <c r="C366" s="130">
        <v>0.16805555555555554</v>
      </c>
      <c r="D366" s="130">
        <v>0.21041666666666667</v>
      </c>
      <c r="E366" s="130">
        <v>0.12916666666666668</v>
      </c>
      <c r="F366" s="130">
        <v>4.3749999999999997E-2</v>
      </c>
      <c r="G366" s="130">
        <v>0.55138888888888882</v>
      </c>
      <c r="H366" s="130">
        <v>0.25416666666666665</v>
      </c>
      <c r="I366" s="130" t="s">
        <v>558</v>
      </c>
      <c r="J366" s="130"/>
      <c r="K366" s="130"/>
    </row>
    <row r="367" spans="1:11" x14ac:dyDescent="0.25">
      <c r="B367" s="130" t="s">
        <v>592</v>
      </c>
      <c r="C367" s="130">
        <v>0.16875000000000001</v>
      </c>
      <c r="D367" s="130" t="s">
        <v>161</v>
      </c>
      <c r="E367" s="130" t="s">
        <v>589</v>
      </c>
      <c r="F367" s="130">
        <v>8.3333333333333329E-2</v>
      </c>
      <c r="G367" s="130">
        <v>0.38055555555555554</v>
      </c>
      <c r="H367" s="130">
        <v>0.33611111111111108</v>
      </c>
      <c r="I367" s="130" t="s">
        <v>557</v>
      </c>
      <c r="J367" s="130"/>
      <c r="K367" s="130"/>
    </row>
    <row r="368" spans="1:11" x14ac:dyDescent="0.25">
      <c r="J368" s="130"/>
      <c r="K368" s="130"/>
    </row>
    <row r="369" spans="1:15" x14ac:dyDescent="0.25">
      <c r="A369" s="129" t="s">
        <v>579</v>
      </c>
      <c r="C369" s="130" t="s">
        <v>339</v>
      </c>
      <c r="D369" s="130" t="s">
        <v>340</v>
      </c>
      <c r="E369" s="130" t="s">
        <v>341</v>
      </c>
      <c r="F369" s="130" t="s">
        <v>342</v>
      </c>
      <c r="G369" s="130" t="s">
        <v>343</v>
      </c>
      <c r="H369" s="130" t="s">
        <v>580</v>
      </c>
      <c r="I369" s="130" t="s">
        <v>337</v>
      </c>
      <c r="J369" s="130"/>
      <c r="K369" s="130"/>
    </row>
    <row r="370" spans="1:15" x14ac:dyDescent="0.25">
      <c r="A370" s="129" t="s">
        <v>534</v>
      </c>
      <c r="B370" s="130" t="s">
        <v>572</v>
      </c>
      <c r="C370" s="130">
        <v>8.7499999999999994E-2</v>
      </c>
      <c r="D370" s="130">
        <v>8.5416666666666655E-2</v>
      </c>
      <c r="E370" s="130" t="s">
        <v>352</v>
      </c>
      <c r="F370" s="130">
        <v>8.5416666666666655E-2</v>
      </c>
      <c r="G370" s="130">
        <v>8.5416666666666655E-2</v>
      </c>
      <c r="H370" s="130">
        <v>0.47013888888888888</v>
      </c>
      <c r="I370" s="130">
        <v>4.4444444444444446E-2</v>
      </c>
      <c r="J370" s="130"/>
      <c r="K370" s="130"/>
    </row>
    <row r="371" spans="1:15" x14ac:dyDescent="0.25">
      <c r="C371" s="130"/>
      <c r="D371" s="130"/>
      <c r="E371" s="130"/>
      <c r="F371" s="130"/>
      <c r="G371" s="130"/>
      <c r="H371" s="130"/>
      <c r="I371" s="130"/>
      <c r="J371" s="130"/>
      <c r="K371" s="130"/>
    </row>
    <row r="372" spans="1:15" x14ac:dyDescent="0.25">
      <c r="C372" s="130"/>
      <c r="D372" s="130"/>
      <c r="E372" s="130"/>
      <c r="F372" s="130"/>
      <c r="G372" s="130"/>
      <c r="H372" s="130"/>
      <c r="I372" s="130"/>
      <c r="J372" s="130"/>
      <c r="K372" s="130"/>
    </row>
    <row r="373" spans="1:15" x14ac:dyDescent="0.25">
      <c r="A373" s="129" t="s">
        <v>594</v>
      </c>
      <c r="J373" s="130"/>
      <c r="K373" s="130"/>
    </row>
    <row r="374" spans="1:15" x14ac:dyDescent="0.25">
      <c r="A374" s="129" t="s">
        <v>595</v>
      </c>
      <c r="B374" s="129" t="s">
        <v>596</v>
      </c>
      <c r="D374" s="162" t="s">
        <v>597</v>
      </c>
      <c r="J374" s="130"/>
      <c r="K374" s="130"/>
    </row>
    <row r="375" spans="1:15" x14ac:dyDescent="0.25">
      <c r="B375" s="129" t="s">
        <v>549</v>
      </c>
      <c r="C375" s="129" t="s">
        <v>550</v>
      </c>
      <c r="D375" s="129" t="s">
        <v>551</v>
      </c>
      <c r="E375" s="129" t="s">
        <v>552</v>
      </c>
      <c r="F375" s="129" t="s">
        <v>553</v>
      </c>
      <c r="G375" s="129" t="s">
        <v>554</v>
      </c>
      <c r="H375" s="129" t="s">
        <v>555</v>
      </c>
      <c r="I375" s="129" t="s">
        <v>556</v>
      </c>
      <c r="J375" s="130"/>
      <c r="K375" s="130"/>
    </row>
    <row r="376" spans="1:15" x14ac:dyDescent="0.25">
      <c r="B376" s="130" t="s">
        <v>573</v>
      </c>
      <c r="C376" s="130">
        <v>8.4027777777777771E-2</v>
      </c>
      <c r="D376" s="130" t="s">
        <v>353</v>
      </c>
      <c r="E376" s="130" t="s">
        <v>568</v>
      </c>
      <c r="F376" s="130">
        <v>8.6805555555555566E-2</v>
      </c>
      <c r="G376" s="130">
        <v>0.59444444444444444</v>
      </c>
      <c r="H376" s="130">
        <v>0.25416666666666665</v>
      </c>
      <c r="I376" s="130" t="s">
        <v>558</v>
      </c>
      <c r="J376" s="130"/>
      <c r="K376" s="130"/>
    </row>
    <row r="377" spans="1:15" x14ac:dyDescent="0.25">
      <c r="B377" s="130" t="s">
        <v>565</v>
      </c>
      <c r="C377" s="130">
        <v>0.29375000000000001</v>
      </c>
      <c r="D377" s="130">
        <v>0.12569444444444444</v>
      </c>
      <c r="E377" s="130">
        <v>0.12847222222222224</v>
      </c>
      <c r="F377" s="130">
        <v>0.1277777777777778</v>
      </c>
      <c r="G377" s="130">
        <v>0.67569444444444438</v>
      </c>
      <c r="H377" s="130">
        <v>0.25416666666666665</v>
      </c>
      <c r="I377" s="130" t="s">
        <v>557</v>
      </c>
      <c r="J377" s="130"/>
      <c r="K377" s="130"/>
    </row>
    <row r="378" spans="1:15" x14ac:dyDescent="0.25">
      <c r="B378" s="130" t="s">
        <v>569</v>
      </c>
      <c r="C378" s="130">
        <v>8.4027777777777771E-2</v>
      </c>
      <c r="D378" s="130">
        <v>0.21041666666666667</v>
      </c>
      <c r="E378" s="130">
        <v>6.9444444444444447E-4</v>
      </c>
      <c r="F378" s="130">
        <v>4.8611111111111112E-2</v>
      </c>
      <c r="G378" s="130">
        <v>0.34375</v>
      </c>
      <c r="H378" s="130">
        <v>0.25416666666666665</v>
      </c>
      <c r="I378" s="130" t="s">
        <v>558</v>
      </c>
      <c r="J378" s="130"/>
      <c r="K378" s="130"/>
    </row>
    <row r="379" spans="1:15" x14ac:dyDescent="0.25">
      <c r="B379" s="130" t="s">
        <v>559</v>
      </c>
      <c r="C379" s="130">
        <v>8.5416666666666655E-2</v>
      </c>
      <c r="D379" s="130">
        <v>8.4027777777777771E-2</v>
      </c>
      <c r="E379" s="130">
        <v>0.12847222222222224</v>
      </c>
      <c r="F379" s="130">
        <v>8.6805555555555566E-2</v>
      </c>
      <c r="G379" s="130">
        <v>0.38472222222222219</v>
      </c>
      <c r="H379" s="130">
        <v>0.13125000000000001</v>
      </c>
      <c r="I379" s="130" t="s">
        <v>558</v>
      </c>
      <c r="J379" s="130"/>
      <c r="K379" s="130"/>
    </row>
    <row r="380" spans="1:15" x14ac:dyDescent="0.25">
      <c r="B380" s="130" t="s">
        <v>563</v>
      </c>
      <c r="C380" s="130">
        <v>8.5416666666666655E-2</v>
      </c>
      <c r="D380" s="130" t="s">
        <v>354</v>
      </c>
      <c r="E380" s="130">
        <v>0.16805555555555554</v>
      </c>
      <c r="F380" s="130" t="s">
        <v>159</v>
      </c>
      <c r="G380" s="157">
        <v>0.55000000000000004</v>
      </c>
      <c r="H380" s="130">
        <v>0.25416666666666665</v>
      </c>
      <c r="I380" s="130" t="s">
        <v>557</v>
      </c>
      <c r="J380" s="130"/>
      <c r="K380" s="130"/>
    </row>
    <row r="381" spans="1:15" x14ac:dyDescent="0.25">
      <c r="B381" s="130" t="s">
        <v>561</v>
      </c>
      <c r="C381" s="130" t="s">
        <v>355</v>
      </c>
      <c r="D381" s="130">
        <v>0.1277777777777778</v>
      </c>
      <c r="E381" s="130" t="s">
        <v>171</v>
      </c>
      <c r="F381" s="130">
        <v>2.0833333333333333E-3</v>
      </c>
      <c r="G381" s="130">
        <v>0.29930555555555555</v>
      </c>
      <c r="H381" s="130">
        <v>0.13125000000000001</v>
      </c>
      <c r="I381" s="130" t="s">
        <v>558</v>
      </c>
      <c r="J381" s="130"/>
      <c r="K381" s="130"/>
    </row>
    <row r="382" spans="1:15" x14ac:dyDescent="0.25">
      <c r="B382" s="130" t="s">
        <v>591</v>
      </c>
      <c r="C382" s="130">
        <v>0.25</v>
      </c>
      <c r="D382" s="130">
        <v>4.3055555555555562E-2</v>
      </c>
      <c r="E382" s="130">
        <v>2.7777777777777779E-3</v>
      </c>
      <c r="F382" s="130">
        <v>8.6111111111111124E-2</v>
      </c>
      <c r="G382" s="130">
        <v>0.38194444444444442</v>
      </c>
      <c r="H382" s="130">
        <v>0.13125000000000001</v>
      </c>
      <c r="I382" s="130" t="s">
        <v>558</v>
      </c>
      <c r="J382" s="130"/>
      <c r="K382" s="130"/>
    </row>
    <row r="383" spans="1:15" x14ac:dyDescent="0.25">
      <c r="B383" s="130" t="s">
        <v>575</v>
      </c>
      <c r="C383" s="130">
        <v>0.1277777777777778</v>
      </c>
      <c r="D383" s="130">
        <v>8.6111111111111124E-2</v>
      </c>
      <c r="E383" s="130">
        <v>8.6805555555555566E-2</v>
      </c>
      <c r="F383" s="130" t="s">
        <v>161</v>
      </c>
      <c r="G383" s="130">
        <v>0.38611111111111113</v>
      </c>
      <c r="H383" s="130">
        <v>4.9305555555555554E-2</v>
      </c>
      <c r="I383" s="130" t="s">
        <v>558</v>
      </c>
      <c r="J383" s="130"/>
      <c r="K383" s="130"/>
      <c r="O383" s="130"/>
    </row>
    <row r="384" spans="1:15" x14ac:dyDescent="0.25">
      <c r="B384" s="130" t="s">
        <v>572</v>
      </c>
      <c r="C384" s="130">
        <v>0.16875000000000001</v>
      </c>
      <c r="D384" s="130">
        <v>0.16805555555555554</v>
      </c>
      <c r="E384" s="130" t="s">
        <v>589</v>
      </c>
      <c r="F384" s="130" t="s">
        <v>171</v>
      </c>
      <c r="G384" s="130">
        <v>0.46527777777777773</v>
      </c>
      <c r="H384" s="130">
        <v>0.33611111111111108</v>
      </c>
      <c r="I384" s="130" t="s">
        <v>557</v>
      </c>
      <c r="J384" s="130"/>
      <c r="K384" s="130"/>
    </row>
    <row r="385" spans="1:29" x14ac:dyDescent="0.25">
      <c r="B385" s="130" t="s">
        <v>578</v>
      </c>
      <c r="C385" s="130">
        <v>0.29444444444444445</v>
      </c>
      <c r="D385" s="130">
        <v>4.4444444444444446E-2</v>
      </c>
      <c r="E385" s="130">
        <v>8.4027777777777771E-2</v>
      </c>
      <c r="F385" s="130">
        <v>8.4027777777777771E-2</v>
      </c>
      <c r="G385" s="130">
        <v>0.50694444444444442</v>
      </c>
      <c r="H385" s="130">
        <v>0.37708333333333338</v>
      </c>
      <c r="I385" s="130" t="s">
        <v>557</v>
      </c>
      <c r="J385" s="130"/>
      <c r="K385" s="130"/>
    </row>
    <row r="386" spans="1:29" x14ac:dyDescent="0.25">
      <c r="B386" s="130" t="s">
        <v>566</v>
      </c>
      <c r="C386" s="130">
        <v>0.12986111111111112</v>
      </c>
      <c r="D386" s="130">
        <v>0.20972222222222223</v>
      </c>
      <c r="E386" s="130">
        <v>4.3749999999999997E-2</v>
      </c>
      <c r="F386" s="130">
        <v>0.21458333333333335</v>
      </c>
      <c r="G386" s="130">
        <v>0.59791666666666665</v>
      </c>
      <c r="H386" s="130">
        <v>0.13125000000000001</v>
      </c>
      <c r="I386" s="130" t="s">
        <v>558</v>
      </c>
      <c r="J386" s="130"/>
      <c r="K386" s="130"/>
    </row>
    <row r="387" spans="1:29" x14ac:dyDescent="0.25">
      <c r="B387" s="130" t="s">
        <v>577</v>
      </c>
      <c r="C387" s="130">
        <v>0.1673611111111111</v>
      </c>
      <c r="D387" s="130">
        <v>8.6805555555555566E-2</v>
      </c>
      <c r="E387" s="130" t="s">
        <v>159</v>
      </c>
      <c r="F387" s="130">
        <v>0.20972222222222223</v>
      </c>
      <c r="G387" s="130">
        <v>0.63263888888888886</v>
      </c>
      <c r="H387" s="130">
        <v>0.33611111111111108</v>
      </c>
      <c r="I387" s="130" t="s">
        <v>557</v>
      </c>
      <c r="J387" s="130"/>
      <c r="K387" s="130"/>
    </row>
    <row r="388" spans="1:29" x14ac:dyDescent="0.25">
      <c r="B388" s="130" t="s">
        <v>602</v>
      </c>
      <c r="C388" s="130">
        <v>0.25138888888888888</v>
      </c>
      <c r="D388" s="130">
        <v>8.3333333333333329E-2</v>
      </c>
      <c r="E388" s="130">
        <v>0.25208333333333333</v>
      </c>
      <c r="F388" s="130">
        <v>0.25069444444444444</v>
      </c>
      <c r="G388" s="130">
        <v>0.58750000000000002</v>
      </c>
      <c r="H388" s="130">
        <v>0.5</v>
      </c>
      <c r="I388" s="130" t="s">
        <v>557</v>
      </c>
      <c r="J388" s="130"/>
      <c r="K388" s="130"/>
    </row>
    <row r="389" spans="1:29" x14ac:dyDescent="0.25">
      <c r="C389" s="130"/>
      <c r="D389" s="130"/>
      <c r="E389" s="130"/>
      <c r="F389" s="130"/>
      <c r="G389" s="130"/>
      <c r="H389" s="130"/>
      <c r="I389" s="130"/>
      <c r="J389" s="130"/>
      <c r="K389" s="130"/>
    </row>
    <row r="390" spans="1:29" x14ac:dyDescent="0.25">
      <c r="C390" s="130"/>
      <c r="D390" s="130"/>
      <c r="E390" s="130"/>
      <c r="F390" s="130"/>
      <c r="G390" s="130"/>
      <c r="H390" s="130"/>
      <c r="I390" s="130"/>
      <c r="J390" s="130"/>
      <c r="K390" s="130"/>
    </row>
    <row r="391" spans="1:29" x14ac:dyDescent="0.25">
      <c r="A391" s="129" t="s">
        <v>603</v>
      </c>
      <c r="J391" s="130"/>
      <c r="K391" s="130"/>
    </row>
    <row r="392" spans="1:29" x14ac:dyDescent="0.25">
      <c r="A392" s="129" t="s">
        <v>595</v>
      </c>
      <c r="B392" s="129" t="s">
        <v>596</v>
      </c>
      <c r="J392" s="130"/>
      <c r="K392" s="130"/>
    </row>
    <row r="393" spans="1:29" x14ac:dyDescent="0.25">
      <c r="B393" s="129" t="s">
        <v>549</v>
      </c>
      <c r="C393" s="129" t="s">
        <v>550</v>
      </c>
      <c r="D393" s="129" t="s">
        <v>551</v>
      </c>
      <c r="E393" s="129" t="s">
        <v>552</v>
      </c>
      <c r="F393" s="129" t="s">
        <v>553</v>
      </c>
      <c r="G393" s="129" t="s">
        <v>554</v>
      </c>
      <c r="H393" s="129" t="s">
        <v>555</v>
      </c>
      <c r="I393" s="129" t="s">
        <v>556</v>
      </c>
      <c r="J393" s="130"/>
      <c r="K393" s="130"/>
    </row>
    <row r="394" spans="1:29" x14ac:dyDescent="0.25">
      <c r="B394" s="129" t="s">
        <v>573</v>
      </c>
      <c r="C394" s="130">
        <v>0.16875000000000001</v>
      </c>
      <c r="D394" s="130" t="s">
        <v>589</v>
      </c>
      <c r="E394" s="130">
        <v>1.3888888888888889E-3</v>
      </c>
      <c r="F394" s="130">
        <v>4.5138888888888888E-2</v>
      </c>
      <c r="G394" s="130">
        <v>0.25833333333333336</v>
      </c>
      <c r="H394" s="130">
        <v>0.17222222222222225</v>
      </c>
      <c r="I394" s="130" t="s">
        <v>558</v>
      </c>
      <c r="J394" s="130"/>
      <c r="K394" s="130"/>
    </row>
    <row r="395" spans="1:29" x14ac:dyDescent="0.25">
      <c r="B395" s="129" t="s">
        <v>561</v>
      </c>
      <c r="C395" s="130">
        <v>0.12569444444444444</v>
      </c>
      <c r="D395" s="130">
        <v>0.21111111111111111</v>
      </c>
      <c r="E395" s="130">
        <v>4.4444444444444446E-2</v>
      </c>
      <c r="F395" s="130">
        <v>8.5416666666666655E-2</v>
      </c>
      <c r="G395" s="130">
        <v>0.46666666666666662</v>
      </c>
      <c r="H395" s="130">
        <v>0.25416666666666665</v>
      </c>
      <c r="I395" s="130" t="s">
        <v>558</v>
      </c>
      <c r="J395" s="130"/>
      <c r="K395" s="130"/>
    </row>
    <row r="396" spans="1:29" x14ac:dyDescent="0.25">
      <c r="B396" s="129" t="s">
        <v>591</v>
      </c>
      <c r="C396" s="130">
        <v>4.3055555555555562E-2</v>
      </c>
      <c r="D396" s="130" t="s">
        <v>160</v>
      </c>
      <c r="E396" s="130">
        <v>0.20902777777777778</v>
      </c>
      <c r="F396" s="130">
        <v>4.3749999999999997E-2</v>
      </c>
      <c r="G396" s="130">
        <v>0.37986111111111115</v>
      </c>
      <c r="H396" s="130">
        <v>0.21319444444444444</v>
      </c>
      <c r="I396" s="130" t="s">
        <v>558</v>
      </c>
      <c r="J396" s="130"/>
      <c r="K396" s="130"/>
      <c r="P396" s="130"/>
      <c r="Q396" s="130"/>
      <c r="R396" s="130"/>
    </row>
    <row r="397" spans="1:29" x14ac:dyDescent="0.25">
      <c r="B397" s="129" t="s">
        <v>559</v>
      </c>
      <c r="C397" s="130">
        <v>4.3749999999999997E-2</v>
      </c>
      <c r="D397" s="130">
        <v>4.2361111111111106E-2</v>
      </c>
      <c r="E397" s="130">
        <v>4.4444444444444446E-2</v>
      </c>
      <c r="F397" s="130">
        <v>8.3333333333333329E-2</v>
      </c>
      <c r="G397" s="130">
        <v>0.21388888888888891</v>
      </c>
      <c r="H397" s="130">
        <v>0.17152777777777775</v>
      </c>
      <c r="I397" s="130" t="s">
        <v>558</v>
      </c>
      <c r="J397" s="130"/>
      <c r="K397" s="130"/>
    </row>
    <row r="398" spans="1:29" x14ac:dyDescent="0.25">
      <c r="B398" s="129" t="s">
        <v>569</v>
      </c>
      <c r="C398" s="130">
        <v>0.16944444444444443</v>
      </c>
      <c r="D398" s="130" t="s">
        <v>607</v>
      </c>
      <c r="E398" s="130">
        <v>2.0833333333333333E-3</v>
      </c>
      <c r="F398" s="130">
        <v>4.3749999999999997E-2</v>
      </c>
      <c r="G398" s="130">
        <v>0.51111111111111118</v>
      </c>
      <c r="H398" s="130">
        <v>0.13055555555555556</v>
      </c>
      <c r="I398" s="130" t="s">
        <v>558</v>
      </c>
      <c r="J398" s="130"/>
      <c r="K398" s="130"/>
    </row>
    <row r="399" spans="1:29" x14ac:dyDescent="0.25">
      <c r="B399" s="129" t="s">
        <v>563</v>
      </c>
      <c r="C399" s="130">
        <v>4.4444444444444446E-2</v>
      </c>
      <c r="D399" s="130">
        <v>0.16805555555555554</v>
      </c>
      <c r="E399" s="130">
        <v>4.3749999999999997E-2</v>
      </c>
      <c r="F399" s="130">
        <v>6.9444444444444447E-4</v>
      </c>
      <c r="G399" s="130">
        <v>0.25694444444444448</v>
      </c>
      <c r="H399" s="130">
        <v>0.13125000000000001</v>
      </c>
      <c r="I399" s="130" t="s">
        <v>558</v>
      </c>
      <c r="J399" s="130"/>
      <c r="K399" s="130"/>
    </row>
    <row r="400" spans="1:29" x14ac:dyDescent="0.25">
      <c r="B400" s="129" t="s">
        <v>566</v>
      </c>
      <c r="C400" s="130">
        <v>8.7499999999999994E-2</v>
      </c>
      <c r="D400" s="130">
        <v>0.12847222222222224</v>
      </c>
      <c r="E400" s="130" t="s">
        <v>589</v>
      </c>
      <c r="F400" s="130">
        <v>4.4444444444444446E-2</v>
      </c>
      <c r="G400" s="130">
        <v>0.3034722222222222</v>
      </c>
      <c r="H400" s="130">
        <v>4.9305555555555554E-2</v>
      </c>
      <c r="I400" s="130" t="s">
        <v>558</v>
      </c>
      <c r="J400" s="130"/>
      <c r="K400" s="130"/>
      <c r="W400" s="130"/>
      <c r="X400" s="130"/>
      <c r="Y400" s="130"/>
      <c r="Z400" s="130"/>
      <c r="AA400" s="130"/>
      <c r="AB400" s="130"/>
      <c r="AC400" s="130"/>
    </row>
    <row r="401" spans="1:28" x14ac:dyDescent="0.25">
      <c r="B401" s="129" t="s">
        <v>575</v>
      </c>
      <c r="C401" s="130" t="s">
        <v>590</v>
      </c>
      <c r="D401" s="130" t="s">
        <v>351</v>
      </c>
      <c r="E401" s="130">
        <v>4.2361111111111106E-2</v>
      </c>
      <c r="F401" s="130">
        <v>0.12847222222222224</v>
      </c>
      <c r="G401" s="130">
        <v>0.50972222222222219</v>
      </c>
      <c r="H401" s="130">
        <v>0.17152777777777775</v>
      </c>
      <c r="I401" s="130" t="s">
        <v>558</v>
      </c>
      <c r="J401" s="130"/>
      <c r="K401" s="130"/>
      <c r="W401" s="130"/>
      <c r="X401" s="130"/>
      <c r="Y401" s="130"/>
      <c r="Z401" s="130"/>
      <c r="AA401" s="130"/>
      <c r="AB401" s="130"/>
    </row>
    <row r="402" spans="1:28" x14ac:dyDescent="0.25">
      <c r="B402" s="129" t="s">
        <v>565</v>
      </c>
      <c r="C402" s="130">
        <v>4.3055555555555562E-2</v>
      </c>
      <c r="D402" s="130">
        <v>6.9444444444444447E-4</v>
      </c>
      <c r="E402" s="130">
        <v>0.12847222222222224</v>
      </c>
      <c r="F402" s="130">
        <v>0.16805555555555554</v>
      </c>
      <c r="G402" s="130">
        <v>0.34027777777777773</v>
      </c>
      <c r="H402" s="130">
        <v>0.13125000000000001</v>
      </c>
      <c r="I402" s="130" t="s">
        <v>558</v>
      </c>
      <c r="J402" s="130"/>
      <c r="K402" s="130"/>
      <c r="W402" s="130"/>
      <c r="X402" s="130"/>
      <c r="Y402" s="130"/>
      <c r="Z402" s="130"/>
      <c r="AA402" s="130"/>
      <c r="AB402" s="130"/>
    </row>
    <row r="403" spans="1:28" x14ac:dyDescent="0.25">
      <c r="B403" s="129" t="s">
        <v>572</v>
      </c>
      <c r="C403" s="130">
        <v>0</v>
      </c>
      <c r="D403" s="130">
        <v>4.5138888888888888E-2</v>
      </c>
      <c r="E403" s="130">
        <v>8.6111111111111124E-2</v>
      </c>
      <c r="F403" s="130">
        <v>4.3749999999999997E-2</v>
      </c>
      <c r="G403" s="130">
        <v>0.17499999999999999</v>
      </c>
      <c r="H403" s="130">
        <v>4.8611111111111112E-2</v>
      </c>
      <c r="I403" s="130" t="s">
        <v>558</v>
      </c>
      <c r="J403" s="130"/>
      <c r="K403" s="130"/>
      <c r="W403" s="130"/>
      <c r="X403" s="130"/>
      <c r="Y403" s="130"/>
      <c r="Z403" s="130"/>
      <c r="AA403" s="130"/>
      <c r="AB403" s="130"/>
    </row>
    <row r="404" spans="1:28" x14ac:dyDescent="0.25">
      <c r="B404" s="129" t="s">
        <v>577</v>
      </c>
      <c r="C404" s="130">
        <v>0.16666666666666666</v>
      </c>
      <c r="D404" s="130">
        <v>0.21111111111111111</v>
      </c>
      <c r="E404" s="130">
        <v>0.12708333333333333</v>
      </c>
      <c r="F404" s="130">
        <v>4.3749999999999997E-2</v>
      </c>
      <c r="G404" s="130">
        <v>0.54861111111111105</v>
      </c>
      <c r="H404" s="130">
        <v>0.29444444444444445</v>
      </c>
      <c r="I404" s="130" t="s">
        <v>557</v>
      </c>
      <c r="W404" s="130"/>
      <c r="X404" s="130"/>
      <c r="Y404" s="130"/>
      <c r="Z404" s="130"/>
      <c r="AA404" s="130"/>
      <c r="AB404" s="130"/>
    </row>
    <row r="405" spans="1:28" x14ac:dyDescent="0.25">
      <c r="B405" s="129" t="s">
        <v>578</v>
      </c>
      <c r="C405" s="130" t="s">
        <v>351</v>
      </c>
      <c r="D405" s="130">
        <v>0.1673611111111111</v>
      </c>
      <c r="E405" s="130">
        <v>4.4444444444444446E-2</v>
      </c>
      <c r="F405" s="130" t="s">
        <v>171</v>
      </c>
      <c r="G405" s="130">
        <v>0.4236111111111111</v>
      </c>
      <c r="H405" s="130">
        <v>0.25416666666666665</v>
      </c>
      <c r="I405" s="130" t="s">
        <v>562</v>
      </c>
      <c r="W405" s="130"/>
      <c r="X405" s="130"/>
      <c r="Y405" s="130"/>
      <c r="Z405" s="130"/>
      <c r="AA405" s="130"/>
      <c r="AB405" s="130"/>
    </row>
    <row r="406" spans="1:28" x14ac:dyDescent="0.25">
      <c r="B406" s="129" t="s">
        <v>602</v>
      </c>
      <c r="C406" s="130">
        <v>0.16666666666666666</v>
      </c>
      <c r="D406" s="130">
        <v>0.12569444444444444</v>
      </c>
      <c r="E406" s="130">
        <v>8.4027777777777771E-2</v>
      </c>
      <c r="F406" s="130">
        <v>4.1666666666666664E-2</v>
      </c>
      <c r="G406" s="130">
        <v>0.41805555555555557</v>
      </c>
      <c r="H406" s="130">
        <v>0.5</v>
      </c>
      <c r="I406" s="130" t="s">
        <v>557</v>
      </c>
      <c r="W406" s="130"/>
      <c r="X406" s="130"/>
      <c r="Y406" s="130"/>
      <c r="Z406" s="130"/>
      <c r="AA406" s="130"/>
      <c r="AB406" s="130"/>
    </row>
    <row r="407" spans="1:28" x14ac:dyDescent="0.25">
      <c r="C407" s="130"/>
      <c r="D407" s="130"/>
      <c r="E407" s="130"/>
      <c r="F407" s="130"/>
      <c r="G407" s="130"/>
      <c r="H407" s="130"/>
      <c r="I407" s="130"/>
      <c r="J407" s="130"/>
      <c r="K407" s="130"/>
      <c r="W407" s="130"/>
      <c r="X407" s="130"/>
      <c r="Y407" s="130"/>
      <c r="Z407" s="130"/>
      <c r="AA407" s="130"/>
      <c r="AB407" s="130"/>
    </row>
    <row r="408" spans="1:28" x14ac:dyDescent="0.25">
      <c r="C408" s="130"/>
      <c r="D408" s="130"/>
      <c r="E408" s="130"/>
      <c r="F408" s="130"/>
      <c r="G408" s="130"/>
      <c r="H408" s="130"/>
      <c r="I408" s="130"/>
      <c r="J408" s="130"/>
      <c r="K408" s="130"/>
      <c r="W408" s="130"/>
      <c r="X408" s="130"/>
      <c r="Y408" s="130"/>
      <c r="Z408" s="130"/>
      <c r="AA408" s="130"/>
      <c r="AB408" s="130"/>
    </row>
    <row r="409" spans="1:28" x14ac:dyDescent="0.25">
      <c r="A409" s="129" t="s">
        <v>611</v>
      </c>
      <c r="J409" s="130"/>
      <c r="K409" s="130"/>
      <c r="W409" s="130"/>
      <c r="X409" s="130"/>
      <c r="Y409" s="130"/>
      <c r="Z409" s="130"/>
      <c r="AA409" s="130"/>
      <c r="AB409" s="130"/>
    </row>
    <row r="410" spans="1:28" x14ac:dyDescent="0.25">
      <c r="A410" s="129" t="s">
        <v>588</v>
      </c>
      <c r="B410" s="129" t="s">
        <v>585</v>
      </c>
      <c r="J410" s="130"/>
      <c r="K410" s="130"/>
      <c r="W410" s="130"/>
      <c r="X410" s="130"/>
      <c r="Y410" s="130"/>
      <c r="Z410" s="130"/>
      <c r="AA410" s="130"/>
      <c r="AB410" s="130"/>
    </row>
    <row r="411" spans="1:28" x14ac:dyDescent="0.25">
      <c r="B411" s="129" t="s">
        <v>549</v>
      </c>
      <c r="C411" s="129" t="s">
        <v>550</v>
      </c>
      <c r="D411" s="129" t="s">
        <v>551</v>
      </c>
      <c r="E411" s="129" t="s">
        <v>552</v>
      </c>
      <c r="F411" s="129" t="s">
        <v>553</v>
      </c>
      <c r="G411" s="129" t="s">
        <v>554</v>
      </c>
      <c r="H411" s="129" t="s">
        <v>555</v>
      </c>
      <c r="I411" s="129" t="s">
        <v>556</v>
      </c>
      <c r="J411" s="130"/>
      <c r="K411" s="130"/>
      <c r="W411" s="130"/>
      <c r="X411" s="130"/>
      <c r="Y411" s="130"/>
      <c r="Z411" s="130"/>
      <c r="AA411" s="130"/>
      <c r="AB411" s="130"/>
    </row>
    <row r="412" spans="1:28" x14ac:dyDescent="0.25">
      <c r="B412" s="129" t="s">
        <v>565</v>
      </c>
      <c r="C412" s="130">
        <v>8.3333333333333329E-2</v>
      </c>
      <c r="D412" s="130" t="s">
        <v>359</v>
      </c>
      <c r="E412" s="130">
        <v>0.12847222222222224</v>
      </c>
      <c r="F412" s="130">
        <v>8.6111111111111124E-2</v>
      </c>
      <c r="G412" s="130">
        <v>0.4680555555555555</v>
      </c>
      <c r="H412" s="130">
        <v>0.17222222222222225</v>
      </c>
      <c r="I412" s="130" t="s">
        <v>558</v>
      </c>
      <c r="J412" s="130"/>
      <c r="K412" s="130"/>
      <c r="W412" s="130"/>
      <c r="X412" s="130"/>
      <c r="Y412" s="130"/>
      <c r="Z412" s="130"/>
      <c r="AA412" s="130"/>
      <c r="AB412" s="130"/>
    </row>
    <row r="413" spans="1:28" x14ac:dyDescent="0.25">
      <c r="B413" s="129" t="s">
        <v>563</v>
      </c>
      <c r="C413" s="130" t="s">
        <v>613</v>
      </c>
      <c r="D413" s="130">
        <v>8.5416666666666655E-2</v>
      </c>
      <c r="E413" s="130">
        <v>0.16875000000000001</v>
      </c>
      <c r="F413" s="130">
        <v>8.3333333333333329E-2</v>
      </c>
      <c r="G413" s="130">
        <v>0.33819444444444446</v>
      </c>
      <c r="H413" s="130">
        <v>0.2951388888888889</v>
      </c>
      <c r="I413" s="130" t="s">
        <v>557</v>
      </c>
      <c r="J413" s="130"/>
      <c r="K413" s="130"/>
    </row>
    <row r="414" spans="1:28" x14ac:dyDescent="0.25">
      <c r="B414" s="129" t="s">
        <v>569</v>
      </c>
      <c r="C414" s="130">
        <v>4.4444444444444446E-2</v>
      </c>
      <c r="D414" s="130">
        <v>8.6805555555555566E-2</v>
      </c>
      <c r="E414" s="130">
        <v>2.0833333333333333E-3</v>
      </c>
      <c r="F414" s="130">
        <v>8.4027777777777771E-2</v>
      </c>
      <c r="G414" s="130">
        <v>0.21736111111111112</v>
      </c>
      <c r="H414" s="130">
        <v>0.13125000000000001</v>
      </c>
      <c r="I414" s="130" t="s">
        <v>558</v>
      </c>
      <c r="J414" s="130"/>
      <c r="K414" s="130"/>
    </row>
    <row r="415" spans="1:28" x14ac:dyDescent="0.25">
      <c r="B415" s="129" t="s">
        <v>566</v>
      </c>
      <c r="C415" s="130">
        <v>4.2361111111111106E-2</v>
      </c>
      <c r="D415" s="130">
        <v>8.6805555555555566E-2</v>
      </c>
      <c r="E415" s="130">
        <v>1.3888888888888889E-3</v>
      </c>
      <c r="F415" s="130">
        <v>8.6805555555555566E-2</v>
      </c>
      <c r="G415" s="130">
        <v>0.21736111111111112</v>
      </c>
      <c r="H415" s="130">
        <v>4.8611111111111112E-2</v>
      </c>
      <c r="I415" s="130" t="s">
        <v>558</v>
      </c>
      <c r="J415" s="130"/>
      <c r="K415" s="130"/>
    </row>
    <row r="416" spans="1:28" x14ac:dyDescent="0.25">
      <c r="B416" s="129" t="s">
        <v>573</v>
      </c>
      <c r="C416" s="130">
        <v>4.4444444444444446E-2</v>
      </c>
      <c r="D416" s="130">
        <v>0.12708333333333333</v>
      </c>
      <c r="E416" s="130">
        <v>4.3055555555555562E-2</v>
      </c>
      <c r="F416" s="130">
        <v>4.5833333333333337E-2</v>
      </c>
      <c r="G416" s="130">
        <v>0.26041666666666669</v>
      </c>
      <c r="H416" s="130">
        <v>4.8611111111111112E-2</v>
      </c>
      <c r="I416" s="130" t="s">
        <v>558</v>
      </c>
      <c r="J416" s="130"/>
      <c r="K416" s="130"/>
    </row>
    <row r="417" spans="1:11" x14ac:dyDescent="0.25">
      <c r="B417" s="129" t="s">
        <v>561</v>
      </c>
      <c r="C417" s="130">
        <v>0.12569444444444444</v>
      </c>
      <c r="D417" s="130">
        <v>0.1277777777777778</v>
      </c>
      <c r="E417" s="130">
        <v>4.6527777777777779E-2</v>
      </c>
      <c r="F417" s="130">
        <v>8.6805555555555566E-2</v>
      </c>
      <c r="G417" s="130">
        <v>0.38680555555555557</v>
      </c>
      <c r="H417" s="130">
        <v>0.13125000000000001</v>
      </c>
      <c r="I417" s="130" t="s">
        <v>558</v>
      </c>
      <c r="J417" s="130"/>
      <c r="K417" s="130"/>
    </row>
    <row r="418" spans="1:11" x14ac:dyDescent="0.25">
      <c r="B418" s="129" t="s">
        <v>578</v>
      </c>
      <c r="C418" s="130">
        <v>0.1673611111111111</v>
      </c>
      <c r="D418" s="130">
        <v>0.12569444444444444</v>
      </c>
      <c r="E418" s="130">
        <v>0.16875000000000001</v>
      </c>
      <c r="F418" s="130">
        <v>4.4444444444444446E-2</v>
      </c>
      <c r="G418" s="130">
        <v>0.50624999999999998</v>
      </c>
      <c r="H418" s="130">
        <v>0.37708333333333338</v>
      </c>
      <c r="I418" s="130" t="s">
        <v>557</v>
      </c>
      <c r="J418" s="130"/>
      <c r="K418" s="130"/>
    </row>
    <row r="419" spans="1:11" x14ac:dyDescent="0.25">
      <c r="B419" s="129" t="s">
        <v>577</v>
      </c>
      <c r="C419" s="130">
        <v>4.2361111111111106E-2</v>
      </c>
      <c r="D419" s="130">
        <v>8.6111111111111124E-2</v>
      </c>
      <c r="E419" s="130">
        <v>8.4027777777777771E-2</v>
      </c>
      <c r="F419" s="130">
        <v>0.29236111111111113</v>
      </c>
      <c r="G419" s="130">
        <v>0.50486111111111109</v>
      </c>
      <c r="H419" s="130">
        <v>0.29444444444444445</v>
      </c>
      <c r="I419" s="130" t="s">
        <v>557</v>
      </c>
      <c r="J419" s="130"/>
      <c r="K419" s="130"/>
    </row>
    <row r="420" spans="1:11" x14ac:dyDescent="0.25">
      <c r="B420" s="129" t="s">
        <v>572</v>
      </c>
      <c r="C420" s="130">
        <v>1.3888888888888889E-3</v>
      </c>
      <c r="D420" s="130">
        <v>4.3055555555555562E-2</v>
      </c>
      <c r="E420" s="130">
        <v>0.25277777777777777</v>
      </c>
      <c r="F420" s="130">
        <v>0.12847222222222224</v>
      </c>
      <c r="G420" s="130">
        <v>0.42569444444444443</v>
      </c>
      <c r="H420" s="130">
        <v>0.13125000000000001</v>
      </c>
      <c r="I420" s="130" t="s">
        <v>558</v>
      </c>
      <c r="J420" s="130"/>
      <c r="K420" s="130"/>
    </row>
    <row r="421" spans="1:11" x14ac:dyDescent="0.25">
      <c r="B421" s="129" t="s">
        <v>591</v>
      </c>
      <c r="C421" s="130">
        <v>0.25208333333333333</v>
      </c>
      <c r="D421" s="130">
        <v>0.25208333333333333</v>
      </c>
      <c r="E421" s="130" t="s">
        <v>164</v>
      </c>
      <c r="F421" s="130">
        <v>8.4722222222222213E-2</v>
      </c>
      <c r="G421" s="130">
        <v>0.75763888888888886</v>
      </c>
      <c r="H421" s="130">
        <v>0.37638888888888888</v>
      </c>
      <c r="I421" s="130" t="s">
        <v>557</v>
      </c>
      <c r="J421" s="130"/>
      <c r="K421" s="130"/>
    </row>
    <row r="422" spans="1:11" x14ac:dyDescent="0.25">
      <c r="B422" s="129" t="s">
        <v>602</v>
      </c>
      <c r="C422" s="130">
        <v>0.16666666666666666</v>
      </c>
      <c r="D422" s="130">
        <v>2.0833333333333333E-3</v>
      </c>
      <c r="E422" s="130">
        <v>4.4444444444444446E-2</v>
      </c>
      <c r="F422" s="130">
        <v>0.20833333333333334</v>
      </c>
      <c r="G422" s="130">
        <v>0.42152777777777778</v>
      </c>
      <c r="H422" s="130">
        <v>0.25416666666666665</v>
      </c>
      <c r="I422" s="130" t="s">
        <v>557</v>
      </c>
      <c r="J422" s="130"/>
      <c r="K422" s="130"/>
    </row>
    <row r="423" spans="1:11" x14ac:dyDescent="0.25">
      <c r="B423" s="129" t="s">
        <v>575</v>
      </c>
      <c r="C423" s="130">
        <v>0.33402777777777781</v>
      </c>
      <c r="D423" s="130">
        <v>0.29166666666666669</v>
      </c>
      <c r="E423" s="130">
        <v>0.12638888888888888</v>
      </c>
      <c r="F423" s="130">
        <v>0.20972222222222223</v>
      </c>
      <c r="G423" s="130">
        <v>0.96319444444444446</v>
      </c>
      <c r="H423" s="130">
        <v>0.5</v>
      </c>
      <c r="I423" s="130" t="s">
        <v>557</v>
      </c>
      <c r="J423" s="130"/>
      <c r="K423" s="130"/>
    </row>
    <row r="424" spans="1:11" x14ac:dyDescent="0.25">
      <c r="B424" s="129" t="s">
        <v>620</v>
      </c>
      <c r="C424" s="130">
        <v>8.3333333333333329E-2</v>
      </c>
      <c r="D424" s="130">
        <v>0.33680555555555558</v>
      </c>
      <c r="E424" s="130">
        <v>6.9444444444444447E-4</v>
      </c>
      <c r="F424" s="130">
        <v>0.29375000000000001</v>
      </c>
      <c r="G424" s="130">
        <v>0.71458333333333324</v>
      </c>
      <c r="H424" s="130">
        <v>0.37708333333333338</v>
      </c>
      <c r="I424" s="130" t="s">
        <v>557</v>
      </c>
      <c r="J424" s="130"/>
      <c r="K424" s="130"/>
    </row>
    <row r="426" spans="1:11" x14ac:dyDescent="0.25">
      <c r="A426" s="129" t="s">
        <v>579</v>
      </c>
      <c r="C426" s="130" t="s">
        <v>339</v>
      </c>
      <c r="D426" s="130" t="s">
        <v>340</v>
      </c>
      <c r="E426" s="130" t="s">
        <v>341</v>
      </c>
      <c r="F426" s="130" t="s">
        <v>342</v>
      </c>
      <c r="G426" s="130" t="s">
        <v>343</v>
      </c>
      <c r="H426" s="130" t="s">
        <v>344</v>
      </c>
      <c r="I426" s="130" t="s">
        <v>580</v>
      </c>
      <c r="J426" s="130" t="s">
        <v>337</v>
      </c>
      <c r="K426" s="130"/>
    </row>
    <row r="427" spans="1:11" x14ac:dyDescent="0.25">
      <c r="A427" s="129" t="s">
        <v>534</v>
      </c>
      <c r="B427" s="130" t="s">
        <v>563</v>
      </c>
      <c r="C427" s="130">
        <v>3.472222222222222E-3</v>
      </c>
      <c r="D427" s="130">
        <v>0.12569444444444444</v>
      </c>
      <c r="E427" s="130">
        <v>4.3055555555555562E-2</v>
      </c>
      <c r="F427" s="130">
        <v>0.12569444444444444</v>
      </c>
      <c r="G427" s="130">
        <v>3.472222222222222E-3</v>
      </c>
      <c r="H427" s="130" t="s">
        <v>163</v>
      </c>
      <c r="I427" s="130">
        <v>0.4291666666666667</v>
      </c>
      <c r="J427" s="130">
        <v>8.6111111111111124E-2</v>
      </c>
      <c r="K427" s="130"/>
    </row>
    <row r="428" spans="1:11" x14ac:dyDescent="0.25">
      <c r="C428" s="130"/>
      <c r="D428" s="130"/>
      <c r="E428" s="130"/>
      <c r="F428" s="130"/>
      <c r="G428" s="130"/>
      <c r="H428" s="130"/>
      <c r="I428" s="130"/>
      <c r="J428" s="130"/>
      <c r="K428" s="130"/>
    </row>
    <row r="429" spans="1:11" x14ac:dyDescent="0.25">
      <c r="C429" s="130"/>
      <c r="D429" s="130"/>
      <c r="E429" s="130"/>
      <c r="F429" s="130"/>
      <c r="G429" s="130"/>
      <c r="H429" s="130"/>
      <c r="I429" s="130"/>
      <c r="J429" s="130"/>
      <c r="K429" s="130"/>
    </row>
    <row r="430" spans="1:11" x14ac:dyDescent="0.25">
      <c r="A430" s="129" t="s">
        <v>622</v>
      </c>
      <c r="J430" s="130"/>
      <c r="K430" s="130"/>
    </row>
    <row r="431" spans="1:11" x14ac:dyDescent="0.25">
      <c r="A431" s="129" t="s">
        <v>547</v>
      </c>
      <c r="B431" s="129" t="s">
        <v>548</v>
      </c>
      <c r="J431" s="130"/>
      <c r="K431" s="130"/>
    </row>
    <row r="432" spans="1:11" x14ac:dyDescent="0.25">
      <c r="B432" s="129" t="s">
        <v>549</v>
      </c>
      <c r="C432" s="129" t="s">
        <v>550</v>
      </c>
      <c r="D432" s="129" t="s">
        <v>551</v>
      </c>
      <c r="E432" s="129" t="s">
        <v>552</v>
      </c>
      <c r="F432" s="129" t="s">
        <v>553</v>
      </c>
      <c r="G432" s="129" t="s">
        <v>554</v>
      </c>
      <c r="H432" s="129" t="s">
        <v>555</v>
      </c>
      <c r="I432" s="129" t="s">
        <v>556</v>
      </c>
      <c r="J432" s="130"/>
      <c r="K432" s="130"/>
    </row>
    <row r="433" spans="1:27" x14ac:dyDescent="0.25">
      <c r="B433" s="129" t="s">
        <v>563</v>
      </c>
      <c r="C433" s="130">
        <v>4.4444444444444446E-2</v>
      </c>
      <c r="D433" s="130">
        <v>0.25208333333333333</v>
      </c>
      <c r="E433" s="130" t="s">
        <v>160</v>
      </c>
      <c r="F433" s="130">
        <v>2.0833333333333333E-3</v>
      </c>
      <c r="G433" s="157">
        <v>0.38263888888888892</v>
      </c>
      <c r="H433" s="130">
        <v>0.21319444444444444</v>
      </c>
      <c r="I433" s="130" t="s">
        <v>558</v>
      </c>
      <c r="J433" s="130"/>
      <c r="K433" s="130"/>
    </row>
    <row r="434" spans="1:27" x14ac:dyDescent="0.25">
      <c r="B434" s="129" t="s">
        <v>561</v>
      </c>
      <c r="C434" s="130">
        <v>4.8611111111111112E-3</v>
      </c>
      <c r="D434" s="130" t="s">
        <v>163</v>
      </c>
      <c r="E434" s="130">
        <v>0.12569444444444444</v>
      </c>
      <c r="F434" s="130">
        <v>8.7499999999999994E-2</v>
      </c>
      <c r="G434" s="130">
        <v>0.34583333333333338</v>
      </c>
      <c r="H434" s="130">
        <v>0.17222222222222225</v>
      </c>
      <c r="I434" s="130" t="s">
        <v>558</v>
      </c>
      <c r="J434" s="130"/>
      <c r="K434" s="130"/>
    </row>
    <row r="435" spans="1:27" x14ac:dyDescent="0.25">
      <c r="B435" s="129" t="s">
        <v>573</v>
      </c>
      <c r="C435" s="130">
        <v>0.20972222222222223</v>
      </c>
      <c r="D435" s="130">
        <v>2.0833333333333333E-3</v>
      </c>
      <c r="E435" s="130">
        <v>0.12569444444444444</v>
      </c>
      <c r="F435" s="130">
        <v>0.12569444444444444</v>
      </c>
      <c r="G435" s="130">
        <v>0.46319444444444446</v>
      </c>
      <c r="H435" s="130">
        <v>0.37708333333333338</v>
      </c>
      <c r="I435" s="130" t="s">
        <v>557</v>
      </c>
      <c r="J435" s="130"/>
      <c r="K435" s="130"/>
    </row>
    <row r="436" spans="1:27" x14ac:dyDescent="0.25">
      <c r="B436" s="129" t="s">
        <v>577</v>
      </c>
      <c r="C436" s="130">
        <v>0.12569444444444444</v>
      </c>
      <c r="D436" s="130">
        <v>0.25138888888888888</v>
      </c>
      <c r="E436" s="130">
        <v>0.16944444444444443</v>
      </c>
      <c r="F436" s="130" t="s">
        <v>171</v>
      </c>
      <c r="G436" s="130">
        <v>0.63194444444444442</v>
      </c>
      <c r="H436" s="130">
        <v>0.3354166666666667</v>
      </c>
      <c r="I436" s="130" t="s">
        <v>557</v>
      </c>
      <c r="J436" s="130"/>
      <c r="K436" s="130"/>
    </row>
    <row r="437" spans="1:27" x14ac:dyDescent="0.25">
      <c r="B437" s="129" t="s">
        <v>565</v>
      </c>
      <c r="C437" s="130">
        <v>2.7777777777777779E-3</v>
      </c>
      <c r="D437" s="130">
        <v>8.4722222222222213E-2</v>
      </c>
      <c r="E437" s="130">
        <v>4.5833333333333337E-2</v>
      </c>
      <c r="F437" s="130">
        <v>8.6111111111111124E-2</v>
      </c>
      <c r="G437" s="130">
        <v>0.21944444444444444</v>
      </c>
      <c r="H437" s="130">
        <v>4.8611111111111112E-2</v>
      </c>
      <c r="I437" s="130" t="s">
        <v>558</v>
      </c>
      <c r="J437" s="130"/>
      <c r="K437" s="130"/>
    </row>
    <row r="438" spans="1:27" x14ac:dyDescent="0.25">
      <c r="B438" s="129" t="s">
        <v>591</v>
      </c>
      <c r="C438" s="130">
        <v>8.4722222222222213E-2</v>
      </c>
      <c r="D438" s="130">
        <v>8.6111111111111124E-2</v>
      </c>
      <c r="E438" s="130">
        <v>4.2361111111111106E-2</v>
      </c>
      <c r="F438" s="130">
        <v>8.6805555555555566E-2</v>
      </c>
      <c r="G438" s="130">
        <v>0.3</v>
      </c>
      <c r="H438" s="130">
        <v>8.8888888888888892E-2</v>
      </c>
      <c r="I438" s="130" t="s">
        <v>558</v>
      </c>
      <c r="J438" s="130"/>
      <c r="K438" s="130"/>
    </row>
    <row r="439" spans="1:27" x14ac:dyDescent="0.25">
      <c r="B439" s="129" t="s">
        <v>566</v>
      </c>
      <c r="C439" s="130">
        <v>0.25138888888888888</v>
      </c>
      <c r="D439" s="130">
        <v>4.2361111111111106E-2</v>
      </c>
      <c r="E439" s="130">
        <v>0.12708333333333333</v>
      </c>
      <c r="F439" s="130">
        <v>3.472222222222222E-3</v>
      </c>
      <c r="G439" s="130">
        <v>0.42430555555555555</v>
      </c>
      <c r="H439" s="130">
        <v>0.21180555555555555</v>
      </c>
      <c r="I439" s="130" t="s">
        <v>558</v>
      </c>
      <c r="J439" s="130"/>
      <c r="K439" s="130"/>
    </row>
    <row r="440" spans="1:27" x14ac:dyDescent="0.25">
      <c r="B440" s="129" t="s">
        <v>575</v>
      </c>
      <c r="C440" s="130">
        <v>0.16875000000000001</v>
      </c>
      <c r="D440" s="130">
        <v>0.21041666666666667</v>
      </c>
      <c r="E440" s="130">
        <v>0.16944444444444443</v>
      </c>
      <c r="F440" s="130">
        <v>0.12916666666666668</v>
      </c>
      <c r="G440" s="130">
        <v>0.6777777777777777</v>
      </c>
      <c r="H440" s="130">
        <v>0.29444444444444445</v>
      </c>
      <c r="I440" s="130" t="s">
        <v>557</v>
      </c>
      <c r="J440" s="130"/>
      <c r="K440" s="130"/>
    </row>
    <row r="441" spans="1:27" x14ac:dyDescent="0.25">
      <c r="B441" s="129" t="s">
        <v>578</v>
      </c>
      <c r="C441" s="130">
        <v>0.1277777777777778</v>
      </c>
      <c r="D441" s="130">
        <v>4.2361111111111106E-2</v>
      </c>
      <c r="E441" s="130">
        <v>6.9444444444444447E-4</v>
      </c>
      <c r="F441" s="130">
        <v>4.3749999999999997E-2</v>
      </c>
      <c r="G441" s="130">
        <v>0.21458333333333335</v>
      </c>
      <c r="H441" s="130">
        <v>4.8611111111111112E-2</v>
      </c>
      <c r="I441" s="130" t="s">
        <v>558</v>
      </c>
      <c r="J441" s="130"/>
      <c r="K441" s="130"/>
    </row>
    <row r="442" spans="1:27" x14ac:dyDescent="0.25">
      <c r="B442" s="129" t="s">
        <v>569</v>
      </c>
      <c r="C442" s="130">
        <v>0.29166666666666669</v>
      </c>
      <c r="D442" s="130">
        <v>0.25069444444444444</v>
      </c>
      <c r="E442" s="130">
        <v>2.0833333333333333E-3</v>
      </c>
      <c r="F442" s="130">
        <v>8.4722222222222213E-2</v>
      </c>
      <c r="G442" s="130">
        <v>0.62916666666666665</v>
      </c>
      <c r="H442" s="130">
        <v>0.29444444444444445</v>
      </c>
      <c r="I442" s="130" t="s">
        <v>557</v>
      </c>
      <c r="J442" s="130"/>
      <c r="K442" s="130"/>
    </row>
    <row r="443" spans="1:27" x14ac:dyDescent="0.25">
      <c r="B443" s="129" t="s">
        <v>572</v>
      </c>
      <c r="C443" s="130">
        <v>4.5833333333333337E-2</v>
      </c>
      <c r="D443" s="130" t="s">
        <v>164</v>
      </c>
      <c r="E443" s="130">
        <v>2.0833333333333333E-3</v>
      </c>
      <c r="F443" s="130">
        <v>0.12916666666666668</v>
      </c>
      <c r="G443" s="130">
        <v>0.34583333333333338</v>
      </c>
      <c r="H443" s="130">
        <v>9.0277777777777776E-2</v>
      </c>
      <c r="I443" s="130" t="s">
        <v>558</v>
      </c>
      <c r="J443" s="130"/>
      <c r="K443" s="130"/>
    </row>
    <row r="444" spans="1:27" ht="13.5" customHeight="1" x14ac:dyDescent="0.25">
      <c r="B444" s="129" t="s">
        <v>602</v>
      </c>
      <c r="C444" s="130">
        <v>4.2361111111111106E-2</v>
      </c>
      <c r="D444" s="130">
        <v>0.16875000000000001</v>
      </c>
      <c r="E444" s="130">
        <v>4.5138888888888888E-2</v>
      </c>
      <c r="F444" s="130">
        <v>0.16805555555555554</v>
      </c>
      <c r="G444" s="130">
        <v>0.42430555555555555</v>
      </c>
      <c r="H444" s="130">
        <v>0.29444444444444445</v>
      </c>
      <c r="I444" s="130" t="s">
        <v>557</v>
      </c>
      <c r="J444" s="130"/>
      <c r="K444" s="130"/>
    </row>
    <row r="445" spans="1:27" x14ac:dyDescent="0.25">
      <c r="B445" s="129" t="s">
        <v>559</v>
      </c>
      <c r="C445" s="130">
        <v>0.12638888888888888</v>
      </c>
      <c r="D445" s="130">
        <v>8.3333333333333329E-2</v>
      </c>
      <c r="E445" s="130">
        <v>4.3749999999999997E-2</v>
      </c>
      <c r="F445" s="130">
        <v>0.1277777777777778</v>
      </c>
      <c r="G445" s="130">
        <v>0.38124999999999998</v>
      </c>
      <c r="H445" s="130">
        <v>0.25416666666666665</v>
      </c>
      <c r="I445" s="130" t="s">
        <v>562</v>
      </c>
      <c r="J445" s="130"/>
      <c r="K445" s="130"/>
      <c r="Z445" s="130"/>
      <c r="AA445" s="130"/>
    </row>
    <row r="446" spans="1:27" x14ac:dyDescent="0.25">
      <c r="J446" s="130"/>
      <c r="K446" s="130"/>
      <c r="X446" s="130"/>
      <c r="Y446" s="130"/>
    </row>
    <row r="447" spans="1:27" x14ac:dyDescent="0.25">
      <c r="C447" s="130"/>
      <c r="D447" s="130"/>
      <c r="E447" s="130"/>
      <c r="F447" s="130"/>
      <c r="G447" s="130"/>
      <c r="H447" s="130"/>
      <c r="I447" s="130"/>
      <c r="J447" s="130"/>
      <c r="K447" s="130"/>
    </row>
    <row r="448" spans="1:27" x14ac:dyDescent="0.25">
      <c r="A448" s="129" t="s">
        <v>625</v>
      </c>
      <c r="J448" s="130"/>
      <c r="K448" s="130"/>
    </row>
    <row r="449" spans="1:11" x14ac:dyDescent="0.25">
      <c r="A449" s="129" t="s">
        <v>618</v>
      </c>
      <c r="B449" s="129" t="s">
        <v>617</v>
      </c>
      <c r="J449" s="130"/>
      <c r="K449" s="130"/>
    </row>
    <row r="450" spans="1:11" x14ac:dyDescent="0.25">
      <c r="B450" s="129" t="s">
        <v>549</v>
      </c>
      <c r="C450" s="129" t="s">
        <v>550</v>
      </c>
      <c r="D450" s="129" t="s">
        <v>551</v>
      </c>
      <c r="E450" s="129" t="s">
        <v>552</v>
      </c>
      <c r="F450" s="129" t="s">
        <v>553</v>
      </c>
      <c r="G450" s="129" t="s">
        <v>554</v>
      </c>
      <c r="H450" s="129" t="s">
        <v>555</v>
      </c>
      <c r="I450" s="129" t="s">
        <v>556</v>
      </c>
      <c r="J450" s="130"/>
      <c r="K450" s="130"/>
    </row>
    <row r="451" spans="1:11" x14ac:dyDescent="0.25">
      <c r="B451" s="129" t="s">
        <v>561</v>
      </c>
      <c r="C451" s="130">
        <v>4.3055555555555562E-2</v>
      </c>
      <c r="D451" s="130" t="s">
        <v>171</v>
      </c>
      <c r="E451" s="130">
        <v>2.7777777777777779E-3</v>
      </c>
      <c r="F451" s="130">
        <v>0.20972222222222223</v>
      </c>
      <c r="G451" s="130">
        <v>0.34097222222222223</v>
      </c>
      <c r="H451" s="130">
        <v>0.17222222222222225</v>
      </c>
      <c r="I451" s="130" t="s">
        <v>558</v>
      </c>
      <c r="J451" s="130"/>
      <c r="K451" s="130"/>
    </row>
    <row r="452" spans="1:11" x14ac:dyDescent="0.25">
      <c r="B452" s="129" t="s">
        <v>565</v>
      </c>
      <c r="C452" s="130">
        <v>4.5833333333333337E-2</v>
      </c>
      <c r="D452" s="130" t="s">
        <v>171</v>
      </c>
      <c r="E452" s="130">
        <v>0.1673611111111111</v>
      </c>
      <c r="F452" s="130">
        <v>2.7777777777777779E-3</v>
      </c>
      <c r="G452" s="130">
        <v>0.30138888888888887</v>
      </c>
      <c r="H452" s="130">
        <v>0.17222222222222225</v>
      </c>
      <c r="I452" s="130" t="s">
        <v>558</v>
      </c>
      <c r="J452" s="130"/>
      <c r="K452" s="130"/>
    </row>
    <row r="453" spans="1:11" x14ac:dyDescent="0.25">
      <c r="B453" s="129" t="s">
        <v>573</v>
      </c>
      <c r="C453" s="130">
        <v>0.1673611111111111</v>
      </c>
      <c r="D453" s="130">
        <v>8.4722222222222213E-2</v>
      </c>
      <c r="E453" s="130">
        <v>4.2361111111111106E-2</v>
      </c>
      <c r="F453" s="130">
        <v>1.3888888888888889E-3</v>
      </c>
      <c r="G453" s="130">
        <v>0.29583333333333334</v>
      </c>
      <c r="H453" s="130">
        <v>0.21180555555555555</v>
      </c>
      <c r="I453" s="130" t="s">
        <v>557</v>
      </c>
      <c r="J453" s="130"/>
      <c r="K453" s="130"/>
    </row>
    <row r="454" spans="1:11" x14ac:dyDescent="0.25">
      <c r="B454" s="129" t="s">
        <v>575</v>
      </c>
      <c r="C454" s="130">
        <v>8.4027777777777771E-2</v>
      </c>
      <c r="D454" s="130">
        <v>4.2361111111111106E-2</v>
      </c>
      <c r="E454" s="130">
        <v>8.6111111111111124E-2</v>
      </c>
      <c r="F454" s="130">
        <v>0.12986111111111112</v>
      </c>
      <c r="G454" s="130">
        <v>0.34236111111111112</v>
      </c>
      <c r="H454" s="130">
        <v>0.17152777777777775</v>
      </c>
      <c r="I454" s="130" t="s">
        <v>558</v>
      </c>
      <c r="J454" s="130"/>
      <c r="K454" s="130"/>
    </row>
    <row r="455" spans="1:11" x14ac:dyDescent="0.25">
      <c r="B455" s="129" t="s">
        <v>566</v>
      </c>
      <c r="C455" s="130">
        <v>0.12638888888888888</v>
      </c>
      <c r="D455" s="130" t="s">
        <v>163</v>
      </c>
      <c r="E455" s="130">
        <v>2.0833333333333333E-3</v>
      </c>
      <c r="F455" s="130">
        <v>8.5416666666666655E-2</v>
      </c>
      <c r="G455" s="130">
        <v>0.34166666666666662</v>
      </c>
      <c r="H455" s="130">
        <v>0.17222222222222225</v>
      </c>
      <c r="I455" s="130" t="s">
        <v>558</v>
      </c>
      <c r="J455" s="130"/>
      <c r="K455" s="130"/>
    </row>
    <row r="456" spans="1:11" x14ac:dyDescent="0.25">
      <c r="B456" s="129" t="s">
        <v>559</v>
      </c>
      <c r="C456" s="130">
        <v>4.2361111111111106E-2</v>
      </c>
      <c r="D456" s="130">
        <v>0.25069444444444444</v>
      </c>
      <c r="E456" s="130">
        <v>0.12847222222222224</v>
      </c>
      <c r="F456" s="130">
        <v>0.17152777777777775</v>
      </c>
      <c r="G456" s="130">
        <v>0.59305555555555556</v>
      </c>
      <c r="H456" s="130">
        <v>0.17152777777777775</v>
      </c>
      <c r="I456" s="130" t="s">
        <v>558</v>
      </c>
      <c r="J456" s="130"/>
      <c r="K456" s="130"/>
    </row>
    <row r="457" spans="1:11" x14ac:dyDescent="0.25">
      <c r="B457" s="129" t="s">
        <v>602</v>
      </c>
      <c r="C457" s="130">
        <v>0.16875000000000001</v>
      </c>
      <c r="D457" s="130">
        <v>4.4444444444444446E-2</v>
      </c>
      <c r="E457" s="130">
        <v>0.25138888888888888</v>
      </c>
      <c r="F457" s="130">
        <v>2.0833333333333333E-3</v>
      </c>
      <c r="G457" s="130">
        <v>0.46666666666666662</v>
      </c>
      <c r="H457" s="130">
        <v>0.25416666666666665</v>
      </c>
      <c r="I457" s="130" t="s">
        <v>558</v>
      </c>
      <c r="J457" s="130"/>
      <c r="K457" s="130"/>
    </row>
    <row r="458" spans="1:11" x14ac:dyDescent="0.25">
      <c r="B458" s="129" t="s">
        <v>591</v>
      </c>
      <c r="C458" s="130">
        <v>4.2361111111111106E-2</v>
      </c>
      <c r="D458" s="130" t="s">
        <v>351</v>
      </c>
      <c r="E458" s="130">
        <v>0.12569444444444444</v>
      </c>
      <c r="F458" s="130" t="s">
        <v>163</v>
      </c>
      <c r="G458" s="130">
        <v>0.42222222222222222</v>
      </c>
      <c r="H458" s="130">
        <v>0.29444444444444445</v>
      </c>
      <c r="I458" s="130" t="s">
        <v>557</v>
      </c>
      <c r="J458" s="130"/>
      <c r="K458" s="130"/>
    </row>
    <row r="459" spans="1:11" x14ac:dyDescent="0.25">
      <c r="B459" s="129" t="s">
        <v>577</v>
      </c>
      <c r="C459" s="130">
        <v>0.12569444444444444</v>
      </c>
      <c r="D459" s="130">
        <v>0.16944444444444443</v>
      </c>
      <c r="E459" s="130">
        <v>8.5416666666666655E-2</v>
      </c>
      <c r="F459" s="130">
        <v>8.6805555555555566E-2</v>
      </c>
      <c r="G459" s="130">
        <v>0.46736111111111112</v>
      </c>
      <c r="H459" s="130">
        <v>0.17152777777777775</v>
      </c>
      <c r="I459" s="130" t="s">
        <v>558</v>
      </c>
      <c r="J459" s="130"/>
      <c r="K459" s="130"/>
    </row>
    <row r="460" spans="1:11" x14ac:dyDescent="0.25">
      <c r="B460" s="129" t="s">
        <v>572</v>
      </c>
      <c r="C460" s="130">
        <v>4.3749999999999997E-2</v>
      </c>
      <c r="D460" s="130">
        <v>4.3055555555555562E-2</v>
      </c>
      <c r="E460" s="130" t="s">
        <v>589</v>
      </c>
      <c r="F460" s="130" t="s">
        <v>163</v>
      </c>
      <c r="G460" s="130">
        <v>0.25763888888888892</v>
      </c>
      <c r="H460" s="130">
        <v>9.0277777777777776E-2</v>
      </c>
      <c r="I460" s="130" t="s">
        <v>558</v>
      </c>
      <c r="J460" s="130"/>
      <c r="K460" s="130"/>
    </row>
    <row r="461" spans="1:11" x14ac:dyDescent="0.25">
      <c r="B461" s="129" t="s">
        <v>569</v>
      </c>
      <c r="C461" s="130">
        <v>0.12569444444444444</v>
      </c>
      <c r="D461" s="130">
        <v>0.12638888888888888</v>
      </c>
      <c r="E461" s="130">
        <v>0.1673611111111111</v>
      </c>
      <c r="F461" s="130">
        <v>4.3055555555555562E-2</v>
      </c>
      <c r="G461" s="130">
        <v>0.46250000000000002</v>
      </c>
      <c r="H461" s="130">
        <v>0.37708333333333338</v>
      </c>
      <c r="I461" s="130" t="s">
        <v>557</v>
      </c>
      <c r="J461" s="130"/>
      <c r="K461" s="130"/>
    </row>
    <row r="462" spans="1:11" x14ac:dyDescent="0.25">
      <c r="B462" s="129" t="s">
        <v>563</v>
      </c>
      <c r="C462" s="130">
        <v>0.1673611111111111</v>
      </c>
      <c r="D462" s="130">
        <v>8.3333333333333329E-2</v>
      </c>
      <c r="E462" s="130">
        <v>8.7499999999999994E-2</v>
      </c>
      <c r="F462" s="130">
        <v>4.5833333333333337E-2</v>
      </c>
      <c r="G462" s="130">
        <v>0.3840277777777778</v>
      </c>
      <c r="H462" s="130">
        <v>0.25416666666666665</v>
      </c>
      <c r="I462" s="130" t="s">
        <v>558</v>
      </c>
      <c r="J462" s="130"/>
      <c r="K462" s="130"/>
    </row>
    <row r="463" spans="1:11" x14ac:dyDescent="0.25">
      <c r="B463" s="129" t="s">
        <v>631</v>
      </c>
      <c r="C463" s="130">
        <v>0.33402777777777781</v>
      </c>
      <c r="D463" s="130">
        <v>0.125</v>
      </c>
      <c r="E463" s="130">
        <v>4.1666666666666664E-2</v>
      </c>
      <c r="F463" s="130">
        <v>0.1673611111111111</v>
      </c>
      <c r="G463" s="130">
        <v>0.66805555555555562</v>
      </c>
      <c r="H463" s="130">
        <v>0.5</v>
      </c>
      <c r="I463" s="130" t="s">
        <v>557</v>
      </c>
      <c r="J463" s="130"/>
      <c r="K463" s="130"/>
    </row>
    <row r="464" spans="1:11" x14ac:dyDescent="0.25">
      <c r="C464" s="130"/>
      <c r="D464" s="130"/>
      <c r="E464" s="130"/>
      <c r="F464" s="130"/>
      <c r="G464" s="130"/>
      <c r="H464" s="130"/>
      <c r="I464" s="130"/>
      <c r="J464" s="130"/>
      <c r="K464" s="130"/>
    </row>
    <row r="465" spans="1:11" x14ac:dyDescent="0.25">
      <c r="C465" s="130"/>
      <c r="D465" s="130"/>
      <c r="E465" s="130"/>
      <c r="F465" s="130"/>
      <c r="G465" s="130"/>
      <c r="H465" s="130"/>
      <c r="I465" s="130"/>
      <c r="J465" s="130"/>
      <c r="K465" s="130"/>
    </row>
    <row r="466" spans="1:11" x14ac:dyDescent="0.25">
      <c r="A466" s="129" t="s">
        <v>632</v>
      </c>
      <c r="J466" s="130"/>
      <c r="K466" s="130"/>
    </row>
    <row r="467" spans="1:11" x14ac:dyDescent="0.25">
      <c r="A467" s="129" t="s">
        <v>600</v>
      </c>
      <c r="B467" s="129" t="s">
        <v>599</v>
      </c>
      <c r="J467" s="130"/>
      <c r="K467" s="130"/>
    </row>
    <row r="468" spans="1:11" x14ac:dyDescent="0.25">
      <c r="B468" s="129" t="s">
        <v>549</v>
      </c>
      <c r="C468" s="129" t="s">
        <v>550</v>
      </c>
      <c r="D468" s="129" t="s">
        <v>551</v>
      </c>
      <c r="E468" s="129" t="s">
        <v>552</v>
      </c>
      <c r="F468" s="129" t="s">
        <v>553</v>
      </c>
      <c r="G468" s="129" t="s">
        <v>554</v>
      </c>
      <c r="H468" s="129" t="s">
        <v>555</v>
      </c>
      <c r="I468" s="129" t="s">
        <v>556</v>
      </c>
      <c r="J468" s="130"/>
      <c r="K468" s="130"/>
    </row>
    <row r="469" spans="1:11" x14ac:dyDescent="0.25">
      <c r="B469" s="129" t="s">
        <v>573</v>
      </c>
      <c r="C469" s="130">
        <v>4.4444444444444446E-2</v>
      </c>
      <c r="D469" s="130">
        <v>0.12847222222222224</v>
      </c>
      <c r="E469" s="130">
        <v>0.12986111111111112</v>
      </c>
      <c r="F469" s="130">
        <v>8.5416666666666655E-2</v>
      </c>
      <c r="G469" s="130">
        <v>0.38819444444444445</v>
      </c>
      <c r="H469" s="130">
        <v>8.3333333333333332E-3</v>
      </c>
      <c r="I469" s="130" t="s">
        <v>558</v>
      </c>
      <c r="J469" s="130"/>
      <c r="K469" s="130"/>
    </row>
    <row r="470" spans="1:11" x14ac:dyDescent="0.25">
      <c r="B470" s="129" t="s">
        <v>566</v>
      </c>
      <c r="C470" s="130" t="s">
        <v>171</v>
      </c>
      <c r="D470" s="130">
        <v>0.1673611111111111</v>
      </c>
      <c r="E470" s="130">
        <v>4.3749999999999997E-2</v>
      </c>
      <c r="F470" s="130">
        <v>8.6111111111111124E-2</v>
      </c>
      <c r="G470" s="130">
        <v>0.38263888888888892</v>
      </c>
      <c r="H470" s="130">
        <v>0.17222222222222225</v>
      </c>
      <c r="I470" s="130" t="s">
        <v>558</v>
      </c>
      <c r="J470" s="130"/>
      <c r="K470" s="130"/>
    </row>
    <row r="471" spans="1:11" x14ac:dyDescent="0.25">
      <c r="B471" s="129" t="s">
        <v>563</v>
      </c>
      <c r="C471" s="130">
        <v>0.1277777777777778</v>
      </c>
      <c r="D471" s="130">
        <v>0.21041666666666667</v>
      </c>
      <c r="E471" s="130">
        <v>8.6805555555555566E-2</v>
      </c>
      <c r="F471" s="130">
        <v>4.5138888888888888E-2</v>
      </c>
      <c r="G471" s="130">
        <v>0.47013888888888888</v>
      </c>
      <c r="H471" s="130">
        <v>0.13125000000000001</v>
      </c>
      <c r="I471" s="130" t="s">
        <v>558</v>
      </c>
      <c r="J471" s="130"/>
      <c r="K471" s="130"/>
    </row>
    <row r="472" spans="1:11" x14ac:dyDescent="0.25">
      <c r="B472" s="129" t="s">
        <v>561</v>
      </c>
      <c r="C472" s="130">
        <v>8.6805555555555566E-2</v>
      </c>
      <c r="D472" s="130">
        <v>8.5416666666666655E-2</v>
      </c>
      <c r="E472" s="130">
        <v>0.1277777777777778</v>
      </c>
      <c r="F472" s="130">
        <v>1.3888888888888889E-3</v>
      </c>
      <c r="G472" s="130">
        <v>0.30138888888888887</v>
      </c>
      <c r="H472" s="130">
        <v>8.3333333333333332E-3</v>
      </c>
      <c r="I472" s="130" t="s">
        <v>558</v>
      </c>
      <c r="J472" s="130"/>
      <c r="K472" s="130"/>
    </row>
    <row r="473" spans="1:11" x14ac:dyDescent="0.25">
      <c r="B473" s="129" t="s">
        <v>565</v>
      </c>
      <c r="C473" s="130">
        <v>0.21111111111111111</v>
      </c>
      <c r="D473" s="130">
        <v>0.1673611111111111</v>
      </c>
      <c r="E473" s="130">
        <v>4.4444444444444446E-2</v>
      </c>
      <c r="F473" s="130">
        <v>3.472222222222222E-3</v>
      </c>
      <c r="G473" s="130">
        <v>0.42638888888888887</v>
      </c>
      <c r="H473" s="130">
        <v>0.25416666666666665</v>
      </c>
      <c r="I473" s="130" t="s">
        <v>558</v>
      </c>
      <c r="J473" s="130"/>
      <c r="K473" s="130"/>
    </row>
    <row r="474" spans="1:11" x14ac:dyDescent="0.25">
      <c r="B474" s="129" t="s">
        <v>577</v>
      </c>
      <c r="C474" s="130">
        <v>0.1673611111111111</v>
      </c>
      <c r="D474" s="130" t="s">
        <v>171</v>
      </c>
      <c r="E474" s="130">
        <v>8.6111111111111124E-2</v>
      </c>
      <c r="F474" s="130">
        <v>4.3749999999999997E-2</v>
      </c>
      <c r="G474" s="130">
        <v>0.38263888888888892</v>
      </c>
      <c r="H474" s="130">
        <v>0.17222222222222225</v>
      </c>
      <c r="I474" s="130" t="s">
        <v>558</v>
      </c>
      <c r="J474" s="130"/>
      <c r="K474" s="130"/>
    </row>
    <row r="475" spans="1:11" x14ac:dyDescent="0.25">
      <c r="B475" s="129" t="s">
        <v>591</v>
      </c>
      <c r="C475" s="130">
        <v>8.4027777777777771E-2</v>
      </c>
      <c r="D475" s="130">
        <v>8.4027777777777771E-2</v>
      </c>
      <c r="E475" s="130">
        <v>4.4444444444444446E-2</v>
      </c>
      <c r="F475" s="130">
        <v>0.12847222222222224</v>
      </c>
      <c r="G475" s="130">
        <v>0.34097222222222223</v>
      </c>
      <c r="H475" s="130">
        <v>0.25416666666666665</v>
      </c>
      <c r="I475" s="130" t="s">
        <v>558</v>
      </c>
      <c r="J475" s="130"/>
      <c r="K475" s="130"/>
    </row>
    <row r="476" spans="1:11" x14ac:dyDescent="0.25">
      <c r="B476" s="129" t="s">
        <v>575</v>
      </c>
      <c r="C476" s="130">
        <v>1.3888888888888889E-3</v>
      </c>
      <c r="D476" s="130">
        <v>0.12569444444444444</v>
      </c>
      <c r="E476" s="130">
        <v>0.16666666666666666</v>
      </c>
      <c r="F476" s="130">
        <v>8.6111111111111124E-2</v>
      </c>
      <c r="G476" s="130">
        <v>0.37986111111111115</v>
      </c>
      <c r="H476" s="130">
        <v>0.25416666666666665</v>
      </c>
      <c r="I476" s="130" t="s">
        <v>557</v>
      </c>
      <c r="J476" s="130"/>
      <c r="K476" s="130"/>
    </row>
    <row r="477" spans="1:11" x14ac:dyDescent="0.25">
      <c r="B477" s="129" t="s">
        <v>602</v>
      </c>
      <c r="C477" s="130" t="s">
        <v>589</v>
      </c>
      <c r="D477" s="130">
        <v>0.16666666666666666</v>
      </c>
      <c r="E477" s="130">
        <v>4.3055555555555562E-2</v>
      </c>
      <c r="F477" s="130">
        <v>0.12847222222222224</v>
      </c>
      <c r="G477" s="130">
        <v>0.38124999999999998</v>
      </c>
      <c r="H477" s="130">
        <v>0.17222222222222225</v>
      </c>
      <c r="I477" s="130" t="s">
        <v>558</v>
      </c>
      <c r="J477" s="130"/>
      <c r="K477" s="130"/>
    </row>
    <row r="478" spans="1:11" x14ac:dyDescent="0.25">
      <c r="B478" s="129" t="s">
        <v>572</v>
      </c>
      <c r="C478" s="130" t="s">
        <v>171</v>
      </c>
      <c r="D478" s="130">
        <v>0</v>
      </c>
      <c r="E478" s="130">
        <v>0.13194444444444445</v>
      </c>
      <c r="F478" s="130">
        <v>0.20833333333333334</v>
      </c>
      <c r="G478" s="130">
        <v>0.42569444444444443</v>
      </c>
      <c r="H478" s="130">
        <v>0.21249999999999999</v>
      </c>
      <c r="I478" s="130" t="s">
        <v>558</v>
      </c>
      <c r="J478" s="130"/>
      <c r="K478" s="130"/>
    </row>
    <row r="479" spans="1:11" x14ac:dyDescent="0.25">
      <c r="B479" s="129" t="s">
        <v>631</v>
      </c>
      <c r="C479" s="130">
        <v>0.12638888888888888</v>
      </c>
      <c r="D479" s="130">
        <v>0.12986111111111112</v>
      </c>
      <c r="E479" s="130">
        <v>4.4444444444444446E-2</v>
      </c>
      <c r="F479" s="130">
        <v>0.12916666666666668</v>
      </c>
      <c r="G479" s="130">
        <v>0.42986111111111108</v>
      </c>
      <c r="H479" s="130">
        <v>0.13125000000000001</v>
      </c>
      <c r="I479" s="130" t="s">
        <v>558</v>
      </c>
      <c r="J479" s="130"/>
      <c r="K479" s="130"/>
    </row>
    <row r="480" spans="1:11" x14ac:dyDescent="0.25">
      <c r="B480" s="129" t="s">
        <v>559</v>
      </c>
      <c r="C480" s="130">
        <v>0.16805555555555554</v>
      </c>
      <c r="D480" s="130">
        <v>4.2361111111111106E-2</v>
      </c>
      <c r="E480" s="130">
        <v>0.12569444444444444</v>
      </c>
      <c r="F480" s="130">
        <v>8.4722222222222213E-2</v>
      </c>
      <c r="G480" s="130">
        <v>0.42083333333333334</v>
      </c>
      <c r="H480" s="130">
        <v>0.3347222222222222</v>
      </c>
      <c r="I480" s="130" t="s">
        <v>557</v>
      </c>
    </row>
    <row r="481" spans="1:11" x14ac:dyDescent="0.25">
      <c r="B481" s="129" t="s">
        <v>578</v>
      </c>
      <c r="C481" s="130">
        <v>0.20972222222222223</v>
      </c>
      <c r="D481" s="130">
        <v>8.9583333333333334E-2</v>
      </c>
      <c r="E481" s="130">
        <v>6.9444444444444447E-4</v>
      </c>
      <c r="F481" s="130">
        <v>8.4027777777777771E-2</v>
      </c>
      <c r="G481" s="130">
        <v>0.3840277777777778</v>
      </c>
      <c r="H481" s="130">
        <v>0.25416666666666665</v>
      </c>
      <c r="I481" s="130" t="s">
        <v>558</v>
      </c>
    </row>
    <row r="482" spans="1:11" x14ac:dyDescent="0.25">
      <c r="C482" s="130"/>
      <c r="D482" s="130"/>
      <c r="E482" s="130"/>
      <c r="F482" s="130"/>
      <c r="G482" s="130"/>
      <c r="H482" s="130"/>
      <c r="I482" s="130"/>
      <c r="J482" s="130"/>
      <c r="K482" s="130"/>
    </row>
    <row r="483" spans="1:11" x14ac:dyDescent="0.25">
      <c r="C483" s="130"/>
      <c r="D483" s="130"/>
      <c r="E483" s="130"/>
      <c r="F483" s="130"/>
      <c r="G483" s="130"/>
      <c r="H483" s="130"/>
      <c r="I483" s="130"/>
      <c r="J483" s="130"/>
      <c r="K483" s="130"/>
    </row>
    <row r="484" spans="1:11" x14ac:dyDescent="0.25">
      <c r="A484" s="129" t="s">
        <v>634</v>
      </c>
      <c r="J484" s="130"/>
      <c r="K484" s="130"/>
    </row>
    <row r="485" spans="1:11" x14ac:dyDescent="0.25">
      <c r="A485" s="129" t="s">
        <v>635</v>
      </c>
      <c r="B485" s="129" t="s">
        <v>636</v>
      </c>
      <c r="J485" s="130"/>
      <c r="K485" s="130"/>
    </row>
    <row r="486" spans="1:11" x14ac:dyDescent="0.25">
      <c r="B486" s="129" t="s">
        <v>549</v>
      </c>
      <c r="C486" s="129" t="s">
        <v>550</v>
      </c>
      <c r="D486" s="129" t="s">
        <v>551</v>
      </c>
      <c r="E486" s="129" t="s">
        <v>552</v>
      </c>
      <c r="F486" s="129" t="s">
        <v>553</v>
      </c>
      <c r="G486" s="129" t="s">
        <v>554</v>
      </c>
      <c r="H486" s="129" t="s">
        <v>555</v>
      </c>
      <c r="I486" s="129" t="s">
        <v>556</v>
      </c>
      <c r="J486" s="130"/>
      <c r="K486" s="130"/>
    </row>
    <row r="487" spans="1:11" x14ac:dyDescent="0.25">
      <c r="B487" s="129" t="s">
        <v>602</v>
      </c>
      <c r="C487" s="130">
        <v>0.16805555555555554</v>
      </c>
      <c r="D487" s="130">
        <v>0.20972222222222223</v>
      </c>
      <c r="E487" s="130">
        <v>8.6111111111111124E-2</v>
      </c>
      <c r="F487" s="130">
        <v>8.4722222222222213E-2</v>
      </c>
      <c r="G487" s="130">
        <f>F487+E487+D487+C487</f>
        <v>0.54861111111111105</v>
      </c>
      <c r="H487" s="130">
        <v>0.29444444444444445</v>
      </c>
      <c r="I487" s="130" t="s">
        <v>557</v>
      </c>
      <c r="J487" s="130"/>
      <c r="K487" s="130"/>
    </row>
    <row r="488" spans="1:11" x14ac:dyDescent="0.25">
      <c r="B488" s="129" t="s">
        <v>573</v>
      </c>
      <c r="C488" s="130" t="s">
        <v>589</v>
      </c>
      <c r="D488" s="130" t="s">
        <v>209</v>
      </c>
      <c r="E488" s="130">
        <v>0.16875000000000001</v>
      </c>
      <c r="F488" s="130">
        <v>1.3888888888888889E-3</v>
      </c>
      <c r="G488" s="130">
        <v>0.25486111111111109</v>
      </c>
      <c r="H488" s="130">
        <v>0.25416666666666665</v>
      </c>
      <c r="I488" s="130" t="s">
        <v>558</v>
      </c>
      <c r="J488" s="130"/>
      <c r="K488" s="130"/>
    </row>
    <row r="489" spans="1:11" x14ac:dyDescent="0.25">
      <c r="B489" s="129" t="s">
        <v>566</v>
      </c>
      <c r="C489" s="130" t="s">
        <v>613</v>
      </c>
      <c r="D489" s="130">
        <v>0.12847222222222224</v>
      </c>
      <c r="E489" s="130">
        <v>3.472222222222222E-3</v>
      </c>
      <c r="F489" s="130">
        <v>8.4722222222222213E-2</v>
      </c>
      <c r="G489" s="130">
        <v>0.21736111111111112</v>
      </c>
      <c r="H489" s="130">
        <v>8.9583333333333334E-2</v>
      </c>
      <c r="I489" s="130" t="s">
        <v>558</v>
      </c>
      <c r="J489" s="130"/>
      <c r="K489" s="130"/>
    </row>
    <row r="490" spans="1:11" x14ac:dyDescent="0.25">
      <c r="B490" s="129" t="s">
        <v>561</v>
      </c>
      <c r="C490" s="130">
        <v>0.125</v>
      </c>
      <c r="D490" s="130">
        <v>0.17013888888888887</v>
      </c>
      <c r="E490" s="130">
        <v>8.4027777777777771E-2</v>
      </c>
      <c r="F490" s="130">
        <v>4.5833333333333337E-2</v>
      </c>
      <c r="G490" s="130">
        <f>F490+E490+D490+C490</f>
        <v>0.42499999999999993</v>
      </c>
      <c r="H490" s="130">
        <v>0.25416666666666665</v>
      </c>
      <c r="I490" s="130" t="s">
        <v>558</v>
      </c>
      <c r="J490" s="130"/>
      <c r="K490" s="130"/>
    </row>
    <row r="491" spans="1:11" x14ac:dyDescent="0.25">
      <c r="B491" s="129" t="s">
        <v>591</v>
      </c>
      <c r="C491" s="130">
        <v>0.12708333333333333</v>
      </c>
      <c r="D491" s="130">
        <v>4.3749999999999997E-2</v>
      </c>
      <c r="E491" s="130">
        <v>0.16944444444444443</v>
      </c>
      <c r="F491" s="130">
        <v>8.6111111111111124E-2</v>
      </c>
      <c r="G491" s="130">
        <f>F491+E491+D491+C491</f>
        <v>0.42638888888888887</v>
      </c>
      <c r="H491" s="130">
        <v>8.8888888888888892E-2</v>
      </c>
      <c r="I491" s="130" t="s">
        <v>558</v>
      </c>
      <c r="J491" s="130"/>
      <c r="K491" s="130"/>
    </row>
    <row r="492" spans="1:11" x14ac:dyDescent="0.25">
      <c r="B492" s="129" t="s">
        <v>565</v>
      </c>
      <c r="C492" s="130">
        <v>0.1673611111111111</v>
      </c>
      <c r="D492" s="130">
        <v>8.4722222222222213E-2</v>
      </c>
      <c r="E492" s="130">
        <v>0.17083333333333331</v>
      </c>
      <c r="F492" s="130">
        <v>8.7499999999999994E-2</v>
      </c>
      <c r="G492" s="130">
        <f>F492+E492+D492+C492</f>
        <v>0.51041666666666663</v>
      </c>
      <c r="H492" s="130">
        <v>0.17152777777777775</v>
      </c>
      <c r="I492" s="130" t="s">
        <v>558</v>
      </c>
      <c r="J492" s="130"/>
      <c r="K492" s="130"/>
    </row>
    <row r="493" spans="1:11" x14ac:dyDescent="0.25">
      <c r="B493" s="129" t="s">
        <v>563</v>
      </c>
      <c r="C493" s="130">
        <v>8.4722222222222213E-2</v>
      </c>
      <c r="D493" s="130" t="s">
        <v>164</v>
      </c>
      <c r="E493" s="130">
        <v>2.7777777777777779E-3</v>
      </c>
      <c r="F493" s="130">
        <v>4.6527777777777779E-2</v>
      </c>
      <c r="G493" s="130">
        <v>0.30277777777777776</v>
      </c>
      <c r="H493" s="130">
        <v>0.13055555555555556</v>
      </c>
      <c r="I493" s="130" t="s">
        <v>558</v>
      </c>
      <c r="J493" s="130"/>
      <c r="K493" s="130"/>
    </row>
    <row r="494" spans="1:11" x14ac:dyDescent="0.25">
      <c r="B494" s="129" t="s">
        <v>575</v>
      </c>
      <c r="C494" s="130">
        <v>0.16805555555555554</v>
      </c>
      <c r="D494" s="130">
        <v>0.25</v>
      </c>
      <c r="E494" s="130">
        <v>0.12638888888888888</v>
      </c>
      <c r="F494" s="130">
        <v>4.4444444444444446E-2</v>
      </c>
      <c r="G494" s="130">
        <f>F494+E494+D494+C494</f>
        <v>0.58888888888888891</v>
      </c>
      <c r="H494" s="130">
        <v>0.37708333333333338</v>
      </c>
      <c r="I494" s="130" t="s">
        <v>557</v>
      </c>
      <c r="J494" s="130"/>
      <c r="K494" s="130"/>
    </row>
    <row r="495" spans="1:11" x14ac:dyDescent="0.25">
      <c r="B495" s="129" t="s">
        <v>577</v>
      </c>
      <c r="C495" s="130">
        <v>8.4027777777777771E-2</v>
      </c>
      <c r="D495" s="130">
        <v>0.20972222222222223</v>
      </c>
      <c r="E495" s="130">
        <v>8.6111111111111124E-2</v>
      </c>
      <c r="F495" s="130">
        <v>0.12569444444444444</v>
      </c>
      <c r="G495" s="130">
        <f>F495+E495+D495+C495</f>
        <v>0.50555555555555565</v>
      </c>
      <c r="H495" s="130">
        <v>0.37708333333333338</v>
      </c>
      <c r="I495" s="130" t="s">
        <v>557</v>
      </c>
      <c r="J495" s="130"/>
      <c r="K495" s="130"/>
    </row>
    <row r="496" spans="1:11" x14ac:dyDescent="0.25">
      <c r="B496" s="129" t="s">
        <v>559</v>
      </c>
      <c r="C496" s="130">
        <v>8.4027777777777771E-2</v>
      </c>
      <c r="D496" s="130">
        <v>0.12847222222222224</v>
      </c>
      <c r="E496" s="130">
        <v>8.4722222222222213E-2</v>
      </c>
      <c r="F496" s="130">
        <v>0.1673611111111111</v>
      </c>
      <c r="G496" s="130">
        <f>F496+E496+D496+C496</f>
        <v>0.46458333333333329</v>
      </c>
      <c r="H496" s="130">
        <v>0.29444444444444445</v>
      </c>
      <c r="I496" s="130" t="s">
        <v>557</v>
      </c>
      <c r="J496" s="130"/>
      <c r="K496" s="130"/>
    </row>
    <row r="497" spans="1:21" x14ac:dyDescent="0.25">
      <c r="B497" s="129" t="s">
        <v>578</v>
      </c>
      <c r="C497" s="130">
        <v>4.3055555555555562E-2</v>
      </c>
      <c r="D497" s="130">
        <v>8.5416666666666655E-2</v>
      </c>
      <c r="E497" s="130">
        <v>8.6111111111111124E-2</v>
      </c>
      <c r="F497" s="130">
        <v>0.20833333333333334</v>
      </c>
      <c r="G497" s="130">
        <f>F497+E497+D497+C497</f>
        <v>0.42291666666666666</v>
      </c>
      <c r="H497" s="130">
        <v>0.13125000000000001</v>
      </c>
      <c r="I497" s="130" t="s">
        <v>558</v>
      </c>
      <c r="J497" s="130"/>
      <c r="K497" s="130"/>
    </row>
    <row r="498" spans="1:21" x14ac:dyDescent="0.25">
      <c r="B498" s="129" t="s">
        <v>631</v>
      </c>
      <c r="C498" s="130">
        <v>0.20902777777777778</v>
      </c>
      <c r="D498" s="130" t="s">
        <v>601</v>
      </c>
      <c r="E498" s="130">
        <v>0.125</v>
      </c>
      <c r="F498" s="130">
        <v>0.12569444444444444</v>
      </c>
      <c r="G498" s="130">
        <v>0.67083333333333339</v>
      </c>
      <c r="H498" s="130">
        <v>0.41805555555555557</v>
      </c>
      <c r="I498" s="130" t="s">
        <v>557</v>
      </c>
      <c r="J498" s="130"/>
      <c r="K498" s="130"/>
    </row>
    <row r="499" spans="1:21" x14ac:dyDescent="0.25">
      <c r="B499" s="129" t="s">
        <v>572</v>
      </c>
      <c r="C499" s="130">
        <v>0.125</v>
      </c>
      <c r="D499" s="130">
        <v>0.1673611111111111</v>
      </c>
      <c r="E499" s="130">
        <v>0.16805555555555554</v>
      </c>
      <c r="F499" s="130">
        <v>0.1673611111111111</v>
      </c>
      <c r="G499" s="130">
        <f>F499+E499+D499+C499</f>
        <v>0.62777777777777777</v>
      </c>
      <c r="H499" s="130">
        <v>0.5</v>
      </c>
      <c r="I499" s="130" t="s">
        <v>557</v>
      </c>
      <c r="J499" s="130"/>
      <c r="K499" s="130"/>
    </row>
    <row r="500" spans="1:21" x14ac:dyDescent="0.25">
      <c r="C500" s="130"/>
      <c r="D500" s="130"/>
      <c r="E500" s="130"/>
      <c r="F500" s="130"/>
      <c r="G500" s="130"/>
      <c r="H500" s="130"/>
      <c r="I500" s="130"/>
      <c r="J500" s="130"/>
      <c r="K500" s="130"/>
    </row>
    <row r="501" spans="1:21" x14ac:dyDescent="0.25">
      <c r="A501" s="129" t="s">
        <v>579</v>
      </c>
      <c r="C501" s="130" t="s">
        <v>339</v>
      </c>
      <c r="D501" s="130" t="s">
        <v>340</v>
      </c>
      <c r="E501" s="130" t="s">
        <v>341</v>
      </c>
      <c r="F501" s="130" t="s">
        <v>342</v>
      </c>
      <c r="G501" s="130" t="s">
        <v>343</v>
      </c>
      <c r="H501" s="130" t="s">
        <v>344</v>
      </c>
      <c r="I501" s="130" t="s">
        <v>580</v>
      </c>
      <c r="J501" s="130" t="s">
        <v>337</v>
      </c>
      <c r="K501" s="130"/>
    </row>
    <row r="502" spans="1:21" x14ac:dyDescent="0.25">
      <c r="A502" s="129" t="s">
        <v>534</v>
      </c>
      <c r="B502" s="130" t="s">
        <v>573</v>
      </c>
      <c r="C502" s="130" t="s">
        <v>353</v>
      </c>
      <c r="D502" s="130">
        <v>0.12569444444444444</v>
      </c>
      <c r="E502" s="130">
        <v>6.9444444444444447E-4</v>
      </c>
      <c r="F502" s="130" t="s">
        <v>352</v>
      </c>
      <c r="G502" s="130">
        <v>4.4444444444444446E-2</v>
      </c>
      <c r="H502" s="130">
        <v>2.0833333333333333E-3</v>
      </c>
      <c r="I502" s="130">
        <v>0.4694444444444445</v>
      </c>
      <c r="J502" s="130">
        <v>8.6111111111111124E-2</v>
      </c>
      <c r="K502" s="130"/>
    </row>
    <row r="503" spans="1:21" ht="13.8" thickBot="1" x14ac:dyDescent="0.3">
      <c r="C503" s="130"/>
      <c r="D503" s="130"/>
      <c r="E503" s="130"/>
      <c r="F503" s="130"/>
      <c r="G503" s="130"/>
      <c r="H503" s="130"/>
      <c r="I503" s="130"/>
      <c r="J503" s="130"/>
      <c r="K503" s="130"/>
      <c r="U503" s="130"/>
    </row>
    <row r="504" spans="1:21" x14ac:dyDescent="0.25">
      <c r="A504" s="145"/>
      <c r="B504" s="158"/>
      <c r="C504" s="158"/>
      <c r="D504" s="158"/>
      <c r="E504" s="158"/>
      <c r="F504" s="158"/>
      <c r="G504" s="158"/>
      <c r="H504" s="158"/>
      <c r="I504" s="158"/>
      <c r="J504" s="158"/>
      <c r="K504" s="146"/>
      <c r="U504" s="130"/>
    </row>
    <row r="505" spans="1:21" x14ac:dyDescent="0.25">
      <c r="A505" s="149" t="s">
        <v>638</v>
      </c>
      <c r="C505" s="167" t="s">
        <v>697</v>
      </c>
      <c r="D505" s="130"/>
      <c r="E505" s="130"/>
      <c r="F505" s="130"/>
      <c r="G505" s="130"/>
      <c r="H505" s="130"/>
      <c r="I505" s="130"/>
      <c r="J505" s="130"/>
      <c r="K505" s="163"/>
    </row>
    <row r="506" spans="1:21" ht="13.8" thickBot="1" x14ac:dyDescent="0.3">
      <c r="A506" s="164"/>
      <c r="B506" s="165"/>
      <c r="C506" s="140"/>
      <c r="D506" s="140"/>
      <c r="E506" s="140"/>
      <c r="F506" s="140"/>
      <c r="G506" s="140"/>
      <c r="H506" s="140"/>
      <c r="I506" s="140"/>
      <c r="J506" s="140"/>
      <c r="K506" s="166"/>
    </row>
    <row r="507" spans="1:21" x14ac:dyDescent="0.25">
      <c r="C507" s="130"/>
      <c r="D507" s="130"/>
      <c r="E507" s="130"/>
      <c r="F507" s="130"/>
      <c r="G507" s="130"/>
      <c r="H507" s="130"/>
      <c r="I507" s="130"/>
      <c r="J507" s="130"/>
      <c r="K507" s="130"/>
    </row>
    <row r="508" spans="1:21" x14ac:dyDescent="0.25">
      <c r="A508" s="129" t="s">
        <v>639</v>
      </c>
      <c r="J508" s="130"/>
      <c r="K508" s="130"/>
    </row>
    <row r="509" spans="1:21" x14ac:dyDescent="0.25">
      <c r="A509" s="129" t="s">
        <v>640</v>
      </c>
      <c r="B509" s="129" t="s">
        <v>641</v>
      </c>
      <c r="J509" s="130"/>
      <c r="K509" s="130"/>
    </row>
    <row r="510" spans="1:21" x14ac:dyDescent="0.25">
      <c r="B510" s="129" t="s">
        <v>549</v>
      </c>
      <c r="C510" s="129" t="s">
        <v>550</v>
      </c>
      <c r="D510" s="129" t="s">
        <v>551</v>
      </c>
      <c r="E510" s="129" t="s">
        <v>552</v>
      </c>
      <c r="F510" s="129" t="s">
        <v>553</v>
      </c>
      <c r="G510" s="129" t="s">
        <v>554</v>
      </c>
      <c r="H510" s="129" t="s">
        <v>555</v>
      </c>
      <c r="I510" s="129" t="s">
        <v>556</v>
      </c>
      <c r="J510" s="130"/>
      <c r="K510" s="130"/>
    </row>
    <row r="511" spans="1:21" x14ac:dyDescent="0.25">
      <c r="B511" s="129" t="s">
        <v>573</v>
      </c>
      <c r="C511" s="130">
        <v>0.21180555555555555</v>
      </c>
      <c r="D511" s="130">
        <v>4.3749999999999997E-2</v>
      </c>
      <c r="E511" s="130">
        <v>8.4722222222222213E-2</v>
      </c>
      <c r="F511" s="130">
        <v>4.2361111111111106E-2</v>
      </c>
      <c r="G511" s="130">
        <f t="shared" ref="G511:G523" si="0">F511+E511+D511+C511</f>
        <v>0.38263888888888886</v>
      </c>
      <c r="H511" s="130">
        <v>0.12847222222222224</v>
      </c>
      <c r="I511" s="130" t="s">
        <v>558</v>
      </c>
      <c r="J511" s="130"/>
      <c r="K511" s="130"/>
      <c r="M511" s="159"/>
    </row>
    <row r="512" spans="1:21" x14ac:dyDescent="0.25">
      <c r="B512" s="129" t="s">
        <v>602</v>
      </c>
      <c r="C512" s="130">
        <v>0.16944444444444443</v>
      </c>
      <c r="D512" s="130">
        <v>0.12708333333333333</v>
      </c>
      <c r="E512" s="130">
        <v>0.1277777777777778</v>
      </c>
      <c r="F512" s="130">
        <v>2.0833333333333333E-3</v>
      </c>
      <c r="G512" s="130">
        <f t="shared" si="0"/>
        <v>0.42638888888888882</v>
      </c>
      <c r="H512" s="130">
        <v>8.7499999999999994E-2</v>
      </c>
      <c r="I512" s="130" t="s">
        <v>558</v>
      </c>
      <c r="J512" s="130"/>
      <c r="K512" s="130"/>
      <c r="M512" s="159"/>
    </row>
    <row r="513" spans="1:13" x14ac:dyDescent="0.25">
      <c r="B513" s="129" t="s">
        <v>577</v>
      </c>
      <c r="C513" s="130">
        <v>0.25069444444444444</v>
      </c>
      <c r="D513" s="130">
        <v>0</v>
      </c>
      <c r="E513" s="130">
        <v>8.4722222222222213E-2</v>
      </c>
      <c r="F513" s="130">
        <v>0.16805555555555554</v>
      </c>
      <c r="G513" s="130">
        <f t="shared" si="0"/>
        <v>0.50347222222222221</v>
      </c>
      <c r="H513" s="130">
        <v>0.25138888888888888</v>
      </c>
      <c r="I513" s="130" t="s">
        <v>557</v>
      </c>
      <c r="J513" s="130"/>
      <c r="K513" s="130"/>
      <c r="M513" s="159"/>
    </row>
    <row r="514" spans="1:13" x14ac:dyDescent="0.25">
      <c r="B514" s="129" t="s">
        <v>563</v>
      </c>
      <c r="C514" s="130">
        <v>0.12569444444444444</v>
      </c>
      <c r="D514" s="130">
        <v>0.12569444444444444</v>
      </c>
      <c r="E514" s="130">
        <v>4.3749999999999997E-2</v>
      </c>
      <c r="F514" s="130">
        <v>0.12986111111111112</v>
      </c>
      <c r="G514" s="130">
        <f t="shared" si="0"/>
        <v>0.42499999999999999</v>
      </c>
      <c r="H514" s="130">
        <v>0.16944444444444443</v>
      </c>
      <c r="I514" s="130" t="s">
        <v>558</v>
      </c>
      <c r="J514" s="130"/>
      <c r="K514" s="130"/>
    </row>
    <row r="515" spans="1:13" x14ac:dyDescent="0.25">
      <c r="B515" s="129" t="s">
        <v>575</v>
      </c>
      <c r="C515" s="130">
        <v>0.25138888888888888</v>
      </c>
      <c r="D515" s="130">
        <v>0.16805555555555554</v>
      </c>
      <c r="E515" s="130">
        <v>8.6805555555555566E-2</v>
      </c>
      <c r="F515" s="130">
        <v>8.5416666666666655E-2</v>
      </c>
      <c r="G515" s="130">
        <f t="shared" si="0"/>
        <v>0.59166666666666667</v>
      </c>
      <c r="H515" s="130">
        <v>0.16944444444444443</v>
      </c>
      <c r="I515" s="130" t="s">
        <v>557</v>
      </c>
      <c r="J515" s="130"/>
      <c r="K515" s="130"/>
    </row>
    <row r="516" spans="1:13" x14ac:dyDescent="0.25">
      <c r="B516" s="129" t="s">
        <v>559</v>
      </c>
      <c r="C516" s="130">
        <v>8.4027777777777771E-2</v>
      </c>
      <c r="D516" s="130">
        <v>0.1673611111111111</v>
      </c>
      <c r="E516" s="130">
        <v>8.7499999999999994E-2</v>
      </c>
      <c r="F516" s="130">
        <v>8.819444444444445E-2</v>
      </c>
      <c r="G516" s="130">
        <f t="shared" si="0"/>
        <v>0.42708333333333331</v>
      </c>
      <c r="H516" s="130">
        <v>0.16944444444444443</v>
      </c>
      <c r="I516" s="130" t="s">
        <v>558</v>
      </c>
      <c r="J516" s="130"/>
      <c r="K516" s="130"/>
    </row>
    <row r="517" spans="1:13" x14ac:dyDescent="0.25">
      <c r="B517" s="129" t="s">
        <v>565</v>
      </c>
      <c r="C517" s="130">
        <v>0.25</v>
      </c>
      <c r="D517" s="130">
        <v>0.1673611111111111</v>
      </c>
      <c r="E517" s="130">
        <v>8.4027777777777771E-2</v>
      </c>
      <c r="F517" s="130">
        <v>4.6527777777777779E-2</v>
      </c>
      <c r="G517" s="130">
        <f t="shared" si="0"/>
        <v>0.54791666666666661</v>
      </c>
      <c r="H517" s="130">
        <v>0.25138888888888888</v>
      </c>
      <c r="I517" s="130" t="s">
        <v>557</v>
      </c>
      <c r="J517" s="130"/>
      <c r="K517" s="130"/>
    </row>
    <row r="518" spans="1:13" x14ac:dyDescent="0.25">
      <c r="B518" s="129" t="s">
        <v>591</v>
      </c>
      <c r="C518" s="130">
        <v>0.125</v>
      </c>
      <c r="D518" s="130">
        <v>8.6805555555555566E-2</v>
      </c>
      <c r="E518" s="130">
        <v>8.5416666666666655E-2</v>
      </c>
      <c r="F518" s="130">
        <v>4.4444444444444446E-2</v>
      </c>
      <c r="G518" s="130">
        <f t="shared" si="0"/>
        <v>0.34166666666666667</v>
      </c>
      <c r="H518" s="130">
        <v>8.7499999999999994E-2</v>
      </c>
      <c r="I518" s="130" t="s">
        <v>558</v>
      </c>
      <c r="J518" s="130"/>
      <c r="K518" s="130"/>
    </row>
    <row r="519" spans="1:13" x14ac:dyDescent="0.25">
      <c r="B519" s="129" t="s">
        <v>561</v>
      </c>
      <c r="C519" s="130">
        <v>0.12708333333333333</v>
      </c>
      <c r="D519" s="130">
        <v>0.25208333333333333</v>
      </c>
      <c r="E519" s="130">
        <v>4.3055555555555562E-2</v>
      </c>
      <c r="F519" s="130">
        <v>4.4444444444444446E-2</v>
      </c>
      <c r="G519" s="130">
        <f t="shared" si="0"/>
        <v>0.46666666666666667</v>
      </c>
      <c r="H519" s="130">
        <v>0.12847222222222224</v>
      </c>
      <c r="I519" s="130" t="s">
        <v>558</v>
      </c>
      <c r="J519" s="130"/>
      <c r="K519" s="130"/>
    </row>
    <row r="520" spans="1:13" x14ac:dyDescent="0.25">
      <c r="B520" s="129" t="s">
        <v>572</v>
      </c>
      <c r="C520" s="130">
        <v>4.3749999999999997E-2</v>
      </c>
      <c r="D520" s="130">
        <v>0.12708333333333333</v>
      </c>
      <c r="E520" s="130">
        <v>8.3333333333333329E-2</v>
      </c>
      <c r="F520" s="130">
        <v>0.25277777777777777</v>
      </c>
      <c r="G520" s="130">
        <f t="shared" si="0"/>
        <v>0.50694444444444442</v>
      </c>
      <c r="H520" s="130">
        <v>0.21041666666666667</v>
      </c>
      <c r="I520" s="130" t="s">
        <v>557</v>
      </c>
      <c r="J520" s="130"/>
      <c r="K520" s="130"/>
    </row>
    <row r="521" spans="1:13" x14ac:dyDescent="0.25">
      <c r="B521" s="129" t="s">
        <v>578</v>
      </c>
      <c r="C521" s="130">
        <v>0.16805555555555554</v>
      </c>
      <c r="D521" s="130">
        <v>0.25138888888888888</v>
      </c>
      <c r="E521" s="130">
        <v>8.4027777777777771E-2</v>
      </c>
      <c r="F521" s="130">
        <v>0.1277777777777778</v>
      </c>
      <c r="G521" s="130">
        <f t="shared" si="0"/>
        <v>0.63124999999999998</v>
      </c>
      <c r="H521" s="130">
        <v>0.25138888888888888</v>
      </c>
      <c r="I521" s="130" t="s">
        <v>557</v>
      </c>
      <c r="J521" s="130"/>
      <c r="K521" s="130"/>
    </row>
    <row r="522" spans="1:13" x14ac:dyDescent="0.25">
      <c r="B522" s="129" t="s">
        <v>631</v>
      </c>
      <c r="C522" s="130">
        <v>8.6111111111111124E-2</v>
      </c>
      <c r="D522" s="130">
        <v>0.25208333333333333</v>
      </c>
      <c r="E522" s="130">
        <v>0.12638888888888888</v>
      </c>
      <c r="F522" s="130">
        <v>4.4444444444444446E-2</v>
      </c>
      <c r="G522" s="130">
        <f t="shared" si="0"/>
        <v>0.50902777777777775</v>
      </c>
      <c r="H522" s="130">
        <v>0.16944444444444443</v>
      </c>
      <c r="I522" s="130" t="s">
        <v>558</v>
      </c>
      <c r="J522" s="130"/>
      <c r="K522" s="130"/>
    </row>
    <row r="523" spans="1:13" x14ac:dyDescent="0.25">
      <c r="B523" s="129" t="s">
        <v>566</v>
      </c>
      <c r="C523" s="130">
        <v>0.25</v>
      </c>
      <c r="D523" s="130">
        <v>0.20972222222222223</v>
      </c>
      <c r="E523" s="130">
        <v>8.4722222222222213E-2</v>
      </c>
      <c r="F523" s="130">
        <v>8.4722222222222213E-2</v>
      </c>
      <c r="G523" s="130">
        <f t="shared" si="0"/>
        <v>0.62916666666666665</v>
      </c>
      <c r="H523" s="130">
        <v>0.25138888888888888</v>
      </c>
      <c r="I523" s="130" t="s">
        <v>557</v>
      </c>
      <c r="J523" s="130"/>
      <c r="K523" s="130"/>
    </row>
    <row r="524" spans="1:13" x14ac:dyDescent="0.25">
      <c r="C524" s="130"/>
      <c r="D524" s="130"/>
      <c r="E524" s="130"/>
      <c r="F524" s="130"/>
      <c r="G524" s="130"/>
      <c r="H524" s="130"/>
      <c r="I524" s="130"/>
      <c r="J524" s="130"/>
      <c r="K524" s="130"/>
    </row>
    <row r="525" spans="1:13" x14ac:dyDescent="0.25">
      <c r="A525" s="129" t="s">
        <v>579</v>
      </c>
      <c r="C525" s="130" t="s">
        <v>339</v>
      </c>
      <c r="D525" s="130" t="s">
        <v>340</v>
      </c>
      <c r="E525" s="130" t="s">
        <v>341</v>
      </c>
      <c r="F525" s="130" t="s">
        <v>342</v>
      </c>
      <c r="G525" s="130" t="s">
        <v>580</v>
      </c>
      <c r="H525" s="130" t="s">
        <v>337</v>
      </c>
      <c r="J525" s="130"/>
      <c r="K525" s="130"/>
    </row>
    <row r="526" spans="1:13" x14ac:dyDescent="0.25">
      <c r="A526" s="129" t="s">
        <v>534</v>
      </c>
      <c r="B526" s="130" t="s">
        <v>563</v>
      </c>
      <c r="C526" s="130">
        <v>8.4027777777777771E-2</v>
      </c>
      <c r="D526" s="130">
        <v>0.16805555555555554</v>
      </c>
      <c r="E526" s="130">
        <v>8.5416666666666655E-2</v>
      </c>
      <c r="F526" s="130">
        <v>0.12569444444444444</v>
      </c>
      <c r="G526" s="130">
        <f>F526+E526+D526+C526</f>
        <v>0.46319444444444441</v>
      </c>
      <c r="H526" s="130">
        <v>0.12569444444444444</v>
      </c>
      <c r="I526" s="130"/>
      <c r="J526" s="130"/>
      <c r="K526" s="130"/>
    </row>
    <row r="527" spans="1:13" x14ac:dyDescent="0.25">
      <c r="A527" s="129" t="s">
        <v>535</v>
      </c>
      <c r="B527" s="129" t="s">
        <v>573</v>
      </c>
      <c r="C527" s="130">
        <v>4.4444444444444446E-2</v>
      </c>
      <c r="D527" s="130">
        <v>4.3749999999999997E-2</v>
      </c>
      <c r="E527" s="130" t="s">
        <v>354</v>
      </c>
      <c r="F527" s="130"/>
      <c r="G527" s="130">
        <v>0.21597222222222223</v>
      </c>
      <c r="H527" s="130">
        <v>2.0833333333333333E-3</v>
      </c>
      <c r="I527" s="130"/>
      <c r="J527" s="130"/>
      <c r="K527" s="130"/>
    </row>
    <row r="528" spans="1:13" x14ac:dyDescent="0.25">
      <c r="C528" s="130"/>
      <c r="D528" s="130"/>
      <c r="E528" s="130"/>
      <c r="F528" s="130"/>
      <c r="G528" s="130"/>
      <c r="H528" s="130"/>
      <c r="I528" s="130"/>
      <c r="J528" s="130"/>
      <c r="K528" s="130"/>
    </row>
    <row r="529" spans="1:11" x14ac:dyDescent="0.25">
      <c r="C529" s="130"/>
      <c r="D529" s="130"/>
      <c r="E529" s="130"/>
      <c r="F529" s="130"/>
      <c r="G529" s="130"/>
      <c r="H529" s="130"/>
      <c r="I529" s="130"/>
      <c r="J529" s="130"/>
      <c r="K529" s="130"/>
    </row>
    <row r="530" spans="1:11" x14ac:dyDescent="0.25">
      <c r="A530" s="129" t="s">
        <v>642</v>
      </c>
      <c r="J530" s="130"/>
      <c r="K530" s="130"/>
    </row>
    <row r="531" spans="1:11" x14ac:dyDescent="0.25">
      <c r="A531" s="129" t="s">
        <v>643</v>
      </c>
      <c r="B531" s="129" t="s">
        <v>644</v>
      </c>
      <c r="J531" s="130"/>
      <c r="K531" s="130"/>
    </row>
    <row r="532" spans="1:11" x14ac:dyDescent="0.25">
      <c r="B532" s="129" t="s">
        <v>549</v>
      </c>
      <c r="C532" s="129" t="s">
        <v>550</v>
      </c>
      <c r="D532" s="129" t="s">
        <v>551</v>
      </c>
      <c r="E532" s="129" t="s">
        <v>552</v>
      </c>
      <c r="F532" s="129" t="s">
        <v>553</v>
      </c>
      <c r="G532" s="129" t="s">
        <v>554</v>
      </c>
      <c r="H532" s="129" t="s">
        <v>555</v>
      </c>
      <c r="I532" s="129" t="s">
        <v>556</v>
      </c>
      <c r="J532" s="130"/>
      <c r="K532" s="130"/>
    </row>
    <row r="533" spans="1:11" x14ac:dyDescent="0.25">
      <c r="B533" s="129" t="s">
        <v>602</v>
      </c>
      <c r="C533" s="130">
        <v>8.4722222222222213E-2</v>
      </c>
      <c r="D533" s="130">
        <v>4.2361111111111106E-2</v>
      </c>
      <c r="E533" s="130">
        <v>4.5138888888888888E-2</v>
      </c>
      <c r="F533" s="130">
        <v>3.472222222222222E-3</v>
      </c>
      <c r="G533" s="130">
        <f t="shared" ref="G533:G545" si="1">F533+E533+D533+C533</f>
        <v>0.17569444444444443</v>
      </c>
      <c r="H533" s="130">
        <v>8.7499999999999994E-2</v>
      </c>
      <c r="I533" s="130" t="s">
        <v>558</v>
      </c>
      <c r="J533" s="130"/>
      <c r="K533" s="130"/>
    </row>
    <row r="534" spans="1:11" x14ac:dyDescent="0.25">
      <c r="B534" s="129" t="s">
        <v>563</v>
      </c>
      <c r="C534" s="130">
        <v>8.4027777777777771E-2</v>
      </c>
      <c r="D534" s="130">
        <v>0</v>
      </c>
      <c r="E534" s="130">
        <v>4.4444444444444446E-2</v>
      </c>
      <c r="F534" s="130">
        <v>0.1277777777777778</v>
      </c>
      <c r="G534" s="130">
        <f t="shared" si="1"/>
        <v>0.25625000000000003</v>
      </c>
      <c r="H534" s="130">
        <v>0.12847222222222224</v>
      </c>
      <c r="I534" s="130" t="s">
        <v>558</v>
      </c>
      <c r="J534" s="130"/>
      <c r="K534" s="130"/>
    </row>
    <row r="535" spans="1:11" x14ac:dyDescent="0.25">
      <c r="B535" s="129" t="s">
        <v>575</v>
      </c>
      <c r="C535" s="130">
        <v>8.6111111111111124E-2</v>
      </c>
      <c r="D535" s="130">
        <v>0.16875000000000001</v>
      </c>
      <c r="E535" s="130">
        <v>8.6805555555555566E-2</v>
      </c>
      <c r="F535" s="130">
        <v>8.4722222222222213E-2</v>
      </c>
      <c r="G535" s="130">
        <f t="shared" si="1"/>
        <v>0.42638888888888893</v>
      </c>
      <c r="H535" s="130">
        <v>0.12847222222222224</v>
      </c>
      <c r="I535" s="130" t="s">
        <v>558</v>
      </c>
      <c r="J535" s="130"/>
      <c r="K535" s="130"/>
    </row>
    <row r="536" spans="1:11" x14ac:dyDescent="0.25">
      <c r="B536" s="129" t="s">
        <v>573</v>
      </c>
      <c r="C536" s="130">
        <v>4.5138888888888888E-2</v>
      </c>
      <c r="D536" s="130">
        <v>4.5138888888888888E-2</v>
      </c>
      <c r="E536" s="130">
        <v>0.17152777777777775</v>
      </c>
      <c r="F536" s="130">
        <v>4.3749999999999997E-2</v>
      </c>
      <c r="G536" s="130">
        <f t="shared" si="1"/>
        <v>0.30555555555555552</v>
      </c>
      <c r="H536" s="130">
        <v>5.5555555555555558E-3</v>
      </c>
      <c r="I536" s="130" t="s">
        <v>558</v>
      </c>
      <c r="J536" s="130"/>
      <c r="K536" s="130"/>
    </row>
    <row r="537" spans="1:11" x14ac:dyDescent="0.25">
      <c r="B537" s="129" t="s">
        <v>559</v>
      </c>
      <c r="C537" s="130">
        <v>8.5416666666666655E-2</v>
      </c>
      <c r="D537" s="130">
        <v>0.16944444444444443</v>
      </c>
      <c r="E537" s="130">
        <v>4.2361111111111106E-2</v>
      </c>
      <c r="F537" s="130">
        <v>0.1277777777777778</v>
      </c>
      <c r="G537" s="130">
        <f t="shared" si="1"/>
        <v>0.42499999999999999</v>
      </c>
      <c r="H537" s="130">
        <v>8.7499999999999994E-2</v>
      </c>
      <c r="I537" s="130" t="s">
        <v>558</v>
      </c>
      <c r="J537" s="130"/>
      <c r="K537" s="130"/>
    </row>
    <row r="538" spans="1:11" x14ac:dyDescent="0.25">
      <c r="B538" s="129" t="s">
        <v>577</v>
      </c>
      <c r="C538" s="130">
        <v>0.12638888888888888</v>
      </c>
      <c r="D538" s="130">
        <v>0.16875000000000001</v>
      </c>
      <c r="E538" s="130">
        <v>4.2361111111111106E-2</v>
      </c>
      <c r="F538" s="130">
        <v>8.6805555555555566E-2</v>
      </c>
      <c r="G538" s="130">
        <f t="shared" si="1"/>
        <v>0.4243055555555556</v>
      </c>
      <c r="H538" s="130">
        <v>0.21041666666666667</v>
      </c>
      <c r="I538" s="130" t="s">
        <v>557</v>
      </c>
      <c r="J538" s="130"/>
      <c r="K538" s="130"/>
    </row>
    <row r="539" spans="1:11" x14ac:dyDescent="0.25">
      <c r="B539" s="129" t="s">
        <v>565</v>
      </c>
      <c r="C539" s="130">
        <v>4.4444444444444446E-2</v>
      </c>
      <c r="D539" s="130">
        <v>8.6805555555555566E-2</v>
      </c>
      <c r="E539" s="130">
        <v>0.1673611111111111</v>
      </c>
      <c r="F539" s="130">
        <v>4.4444444444444446E-2</v>
      </c>
      <c r="G539" s="130">
        <f t="shared" si="1"/>
        <v>0.34305555555555556</v>
      </c>
      <c r="H539" s="130">
        <v>8.7499999999999994E-2</v>
      </c>
      <c r="I539" s="130" t="s">
        <v>558</v>
      </c>
      <c r="J539" s="130"/>
      <c r="K539" s="130"/>
    </row>
    <row r="540" spans="1:11" x14ac:dyDescent="0.25">
      <c r="B540" s="129" t="s">
        <v>566</v>
      </c>
      <c r="C540" s="130">
        <v>4.1666666666666664E-2</v>
      </c>
      <c r="D540" s="130">
        <v>0.16805555555555554</v>
      </c>
      <c r="E540" s="130">
        <v>4.4444444444444446E-2</v>
      </c>
      <c r="F540" s="130">
        <v>4.3749999999999997E-2</v>
      </c>
      <c r="G540" s="130">
        <f t="shared" si="1"/>
        <v>0.29791666666666666</v>
      </c>
      <c r="H540" s="130">
        <v>0.16944444444444443</v>
      </c>
      <c r="I540" s="130" t="s">
        <v>558</v>
      </c>
      <c r="J540" s="130"/>
      <c r="K540" s="130"/>
    </row>
    <row r="541" spans="1:11" x14ac:dyDescent="0.25">
      <c r="B541" s="129" t="s">
        <v>561</v>
      </c>
      <c r="C541" s="130">
        <v>0.125</v>
      </c>
      <c r="D541" s="130">
        <v>0.41736111111111113</v>
      </c>
      <c r="E541" s="130">
        <v>2.7777777777777779E-3</v>
      </c>
      <c r="F541" s="130">
        <v>0.12916666666666668</v>
      </c>
      <c r="G541" s="130">
        <f t="shared" si="1"/>
        <v>0.6743055555555556</v>
      </c>
      <c r="H541" s="130">
        <v>0.16944444444444443</v>
      </c>
      <c r="I541" s="130" t="s">
        <v>557</v>
      </c>
      <c r="J541" s="130"/>
      <c r="K541" s="130"/>
    </row>
    <row r="542" spans="1:11" x14ac:dyDescent="0.25">
      <c r="B542" s="129" t="s">
        <v>572</v>
      </c>
      <c r="C542" s="130">
        <v>1.3888888888888889E-3</v>
      </c>
      <c r="D542" s="130">
        <v>0.16666666666666666</v>
      </c>
      <c r="E542" s="130">
        <v>8.6111111111111124E-2</v>
      </c>
      <c r="F542" s="130">
        <v>8.6111111111111124E-2</v>
      </c>
      <c r="G542" s="130">
        <f t="shared" si="1"/>
        <v>0.34027777777777779</v>
      </c>
      <c r="H542" s="130">
        <v>8.7499999999999994E-2</v>
      </c>
      <c r="I542" s="130" t="s">
        <v>558</v>
      </c>
      <c r="J542" s="130"/>
      <c r="K542" s="130"/>
    </row>
    <row r="543" spans="1:11" x14ac:dyDescent="0.25">
      <c r="B543" s="129" t="s">
        <v>645</v>
      </c>
      <c r="C543" s="130">
        <v>0.125</v>
      </c>
      <c r="D543" s="130">
        <v>0.16875000000000001</v>
      </c>
      <c r="E543" s="130">
        <v>0.12708333333333333</v>
      </c>
      <c r="F543" s="130">
        <v>0.25138888888888888</v>
      </c>
      <c r="G543" s="130">
        <f t="shared" si="1"/>
        <v>0.67222222222222228</v>
      </c>
      <c r="H543" s="130">
        <v>0.29236111111111113</v>
      </c>
      <c r="I543" s="130" t="s">
        <v>557</v>
      </c>
      <c r="J543" s="130"/>
      <c r="K543" s="130"/>
    </row>
    <row r="544" spans="1:11" x14ac:dyDescent="0.25">
      <c r="B544" s="129" t="s">
        <v>578</v>
      </c>
      <c r="C544" s="130">
        <v>0.25277777777777777</v>
      </c>
      <c r="D544" s="130">
        <v>4.1666666666666664E-2</v>
      </c>
      <c r="E544" s="130">
        <v>0.12708333333333333</v>
      </c>
      <c r="F544" s="130">
        <v>4.2361111111111106E-2</v>
      </c>
      <c r="G544" s="130">
        <f t="shared" si="1"/>
        <v>0.46388888888888885</v>
      </c>
      <c r="H544" s="130">
        <v>0.25138888888888888</v>
      </c>
      <c r="I544" s="130" t="s">
        <v>557</v>
      </c>
      <c r="J544" s="130"/>
      <c r="K544" s="130"/>
    </row>
    <row r="545" spans="1:11" x14ac:dyDescent="0.25">
      <c r="B545" s="129" t="s">
        <v>620</v>
      </c>
      <c r="C545" s="130">
        <v>8.3333333333333329E-2</v>
      </c>
      <c r="D545" s="130">
        <v>0.25138888888888888</v>
      </c>
      <c r="E545" s="130">
        <v>0.20972222222222223</v>
      </c>
      <c r="F545" s="130">
        <v>0.1673611111111111</v>
      </c>
      <c r="G545" s="130">
        <f t="shared" si="1"/>
        <v>0.71180555555555558</v>
      </c>
      <c r="H545" s="130">
        <v>0.33333333333333331</v>
      </c>
      <c r="I545" s="130" t="s">
        <v>557</v>
      </c>
      <c r="J545" s="130"/>
      <c r="K545" s="130"/>
    </row>
    <row r="546" spans="1:11" x14ac:dyDescent="0.25">
      <c r="C546" s="130"/>
      <c r="D546" s="130"/>
      <c r="E546" s="130"/>
      <c r="F546" s="130"/>
      <c r="G546" s="130"/>
      <c r="H546" s="130"/>
      <c r="I546" s="130"/>
      <c r="J546" s="130"/>
      <c r="K546" s="130"/>
    </row>
    <row r="547" spans="1:11" x14ac:dyDescent="0.25">
      <c r="C547" s="130"/>
      <c r="D547" s="130"/>
      <c r="E547" s="130"/>
      <c r="F547" s="130"/>
      <c r="G547" s="130"/>
      <c r="H547" s="130"/>
      <c r="I547" s="130"/>
      <c r="J547" s="130"/>
      <c r="K547" s="130"/>
    </row>
    <row r="548" spans="1:11" x14ac:dyDescent="0.25">
      <c r="A548" s="129" t="s">
        <v>646</v>
      </c>
      <c r="J548" s="130"/>
      <c r="K548" s="130"/>
    </row>
    <row r="549" spans="1:11" x14ac:dyDescent="0.25">
      <c r="A549" s="129" t="s">
        <v>635</v>
      </c>
      <c r="B549" s="129" t="s">
        <v>641</v>
      </c>
      <c r="J549" s="130"/>
      <c r="K549" s="130"/>
    </row>
    <row r="550" spans="1:11" x14ac:dyDescent="0.25">
      <c r="B550" s="129" t="s">
        <v>549</v>
      </c>
      <c r="C550" s="129" t="s">
        <v>550</v>
      </c>
      <c r="D550" s="129" t="s">
        <v>551</v>
      </c>
      <c r="E550" s="129" t="s">
        <v>552</v>
      </c>
      <c r="F550" s="129" t="s">
        <v>553</v>
      </c>
      <c r="G550" s="129" t="s">
        <v>554</v>
      </c>
      <c r="H550" s="129" t="s">
        <v>555</v>
      </c>
      <c r="I550" s="129" t="s">
        <v>556</v>
      </c>
      <c r="J550" s="130"/>
      <c r="K550" s="130"/>
    </row>
    <row r="551" spans="1:11" x14ac:dyDescent="0.25">
      <c r="B551" s="129" t="s">
        <v>602</v>
      </c>
      <c r="C551" s="130">
        <v>0.20902777777777778</v>
      </c>
      <c r="D551" s="130">
        <v>8.4722222222222213E-2</v>
      </c>
      <c r="E551" s="130">
        <v>2.0833333333333333E-3</v>
      </c>
      <c r="F551" s="130">
        <v>8.6111111111111124E-2</v>
      </c>
      <c r="G551" s="130">
        <f t="shared" ref="G551:G563" si="2">F551+E551+D551+C551</f>
        <v>0.38194444444444442</v>
      </c>
      <c r="H551" s="130">
        <v>0.12847222222222224</v>
      </c>
      <c r="I551" s="130" t="s">
        <v>558</v>
      </c>
      <c r="J551" s="130"/>
      <c r="K551" s="130"/>
    </row>
    <row r="552" spans="1:11" x14ac:dyDescent="0.25">
      <c r="B552" s="129" t="s">
        <v>575</v>
      </c>
      <c r="C552" s="130">
        <v>0.375</v>
      </c>
      <c r="D552" s="130">
        <v>0</v>
      </c>
      <c r="E552" s="130">
        <v>8.4722222222222213E-2</v>
      </c>
      <c r="F552" s="130">
        <v>4.1666666666666666E-3</v>
      </c>
      <c r="G552" s="130">
        <f t="shared" si="2"/>
        <v>0.46388888888888891</v>
      </c>
      <c r="H552" s="130">
        <v>0.16944444444444443</v>
      </c>
      <c r="I552" s="130" t="s">
        <v>557</v>
      </c>
      <c r="J552" s="130"/>
      <c r="K552" s="130"/>
    </row>
    <row r="553" spans="1:11" x14ac:dyDescent="0.25">
      <c r="B553" s="129" t="s">
        <v>566</v>
      </c>
      <c r="C553" s="130">
        <v>0.1673611111111111</v>
      </c>
      <c r="D553" s="130">
        <v>0.21249999999999999</v>
      </c>
      <c r="E553" s="130">
        <v>6.9444444444444447E-4</v>
      </c>
      <c r="F553" s="130">
        <v>4.2361111111111106E-2</v>
      </c>
      <c r="G553" s="130">
        <f t="shared" si="2"/>
        <v>0.42291666666666661</v>
      </c>
      <c r="H553" s="130">
        <v>0.12847222222222224</v>
      </c>
      <c r="I553" s="130" t="s">
        <v>558</v>
      </c>
      <c r="J553" s="130"/>
      <c r="K553" s="130"/>
    </row>
    <row r="554" spans="1:11" x14ac:dyDescent="0.25">
      <c r="B554" s="129" t="s">
        <v>573</v>
      </c>
      <c r="C554" s="130">
        <v>0.12638888888888888</v>
      </c>
      <c r="D554" s="130">
        <v>0.125</v>
      </c>
      <c r="E554" s="130">
        <v>8.6805555555555566E-2</v>
      </c>
      <c r="F554" s="130">
        <v>8.7499999999999994E-2</v>
      </c>
      <c r="G554" s="130">
        <f t="shared" si="2"/>
        <v>0.42569444444444443</v>
      </c>
      <c r="H554" s="130">
        <v>0.16944444444444443</v>
      </c>
      <c r="I554" s="130" t="s">
        <v>558</v>
      </c>
      <c r="J554" s="130"/>
      <c r="K554" s="130"/>
    </row>
    <row r="555" spans="1:11" x14ac:dyDescent="0.25">
      <c r="B555" s="129" t="s">
        <v>577</v>
      </c>
      <c r="C555" s="130">
        <v>0.12916666666666668</v>
      </c>
      <c r="D555" s="130">
        <v>4.4444444444444446E-2</v>
      </c>
      <c r="E555" s="130">
        <v>4.3055555555555562E-2</v>
      </c>
      <c r="F555" s="130">
        <v>0.12708333333333333</v>
      </c>
      <c r="G555" s="130">
        <f t="shared" si="2"/>
        <v>0.34375</v>
      </c>
      <c r="H555" s="130">
        <v>4.6527777777777779E-2</v>
      </c>
      <c r="I555" s="130" t="s">
        <v>558</v>
      </c>
      <c r="J555" s="130"/>
      <c r="K555" s="130"/>
    </row>
    <row r="556" spans="1:11" x14ac:dyDescent="0.25">
      <c r="B556" s="129" t="s">
        <v>561</v>
      </c>
      <c r="C556" s="130">
        <v>0.16805555555555554</v>
      </c>
      <c r="D556" s="130">
        <v>4.3055555555555562E-2</v>
      </c>
      <c r="E556" s="130">
        <v>4.2361111111111106E-2</v>
      </c>
      <c r="F556" s="130">
        <v>4.3749999999999997E-2</v>
      </c>
      <c r="G556" s="130">
        <f t="shared" si="2"/>
        <v>0.29722222222222222</v>
      </c>
      <c r="H556" s="130">
        <v>0.12847222222222224</v>
      </c>
      <c r="I556" s="130" t="s">
        <v>558</v>
      </c>
      <c r="J556" s="130"/>
      <c r="K556" s="130"/>
    </row>
    <row r="557" spans="1:11" x14ac:dyDescent="0.25">
      <c r="B557" s="129" t="s">
        <v>565</v>
      </c>
      <c r="C557" s="130">
        <v>0.29375000000000001</v>
      </c>
      <c r="D557" s="130">
        <v>8.4027777777777771E-2</v>
      </c>
      <c r="E557" s="130">
        <v>8.4722222222222213E-2</v>
      </c>
      <c r="F557" s="130">
        <v>8.5416666666666655E-2</v>
      </c>
      <c r="G557" s="130">
        <f t="shared" si="2"/>
        <v>0.54791666666666661</v>
      </c>
      <c r="H557" s="130">
        <v>0.21041666666666667</v>
      </c>
      <c r="I557" s="130" t="s">
        <v>557</v>
      </c>
      <c r="J557" s="130"/>
      <c r="K557" s="130"/>
    </row>
    <row r="558" spans="1:11" x14ac:dyDescent="0.25">
      <c r="B558" s="129" t="s">
        <v>620</v>
      </c>
      <c r="C558" s="130">
        <v>0.29305555555555557</v>
      </c>
      <c r="D558" s="130">
        <v>0.16944444444444443</v>
      </c>
      <c r="E558" s="130">
        <v>2.0833333333333333E-3</v>
      </c>
      <c r="F558" s="130">
        <v>4.3055555555555562E-2</v>
      </c>
      <c r="G558" s="130">
        <f t="shared" si="2"/>
        <v>0.50763888888888886</v>
      </c>
      <c r="H558" s="130">
        <v>0.12847222222222224</v>
      </c>
      <c r="I558" s="130" t="s">
        <v>558</v>
      </c>
      <c r="J558" s="130"/>
      <c r="K558" s="130"/>
    </row>
    <row r="559" spans="1:11" x14ac:dyDescent="0.25">
      <c r="B559" s="129" t="s">
        <v>559</v>
      </c>
      <c r="C559" s="130">
        <v>0.16805555555555554</v>
      </c>
      <c r="D559" s="130">
        <v>0.20902777777777778</v>
      </c>
      <c r="E559" s="130">
        <v>0.12638888888888888</v>
      </c>
      <c r="F559" s="130">
        <v>8.4722222222222213E-2</v>
      </c>
      <c r="G559" s="130">
        <f t="shared" si="2"/>
        <v>0.58819444444444435</v>
      </c>
      <c r="H559" s="130">
        <v>0.29236111111111113</v>
      </c>
      <c r="I559" s="130" t="s">
        <v>557</v>
      </c>
      <c r="J559" s="130"/>
      <c r="K559" s="130"/>
    </row>
    <row r="560" spans="1:11" x14ac:dyDescent="0.25">
      <c r="B560" s="129" t="s">
        <v>563</v>
      </c>
      <c r="C560" s="130">
        <v>0.16944444444444443</v>
      </c>
      <c r="D560" s="130">
        <v>0.1673611111111111</v>
      </c>
      <c r="E560" s="130">
        <v>0.17083333333333331</v>
      </c>
      <c r="F560" s="130">
        <v>0.25138888888888888</v>
      </c>
      <c r="G560" s="130">
        <f t="shared" si="2"/>
        <v>0.75902777777777763</v>
      </c>
      <c r="H560" s="130">
        <v>0.16944444444444443</v>
      </c>
      <c r="I560" s="130" t="s">
        <v>557</v>
      </c>
      <c r="J560" s="130"/>
      <c r="K560" s="130"/>
    </row>
    <row r="561" spans="1:11" x14ac:dyDescent="0.25">
      <c r="B561" s="129" t="s">
        <v>578</v>
      </c>
      <c r="C561" s="130">
        <v>0.33402777777777781</v>
      </c>
      <c r="D561" s="130">
        <v>0.29236111111111113</v>
      </c>
      <c r="E561" s="130">
        <v>0.12708333333333333</v>
      </c>
      <c r="F561" s="130">
        <v>4.2361111111111106E-2</v>
      </c>
      <c r="G561" s="130">
        <f t="shared" si="2"/>
        <v>0.79583333333333339</v>
      </c>
      <c r="H561" s="130">
        <v>0.25138888888888888</v>
      </c>
      <c r="I561" s="130" t="s">
        <v>557</v>
      </c>
      <c r="J561" s="130"/>
      <c r="K561" s="130"/>
    </row>
    <row r="562" spans="1:11" x14ac:dyDescent="0.25">
      <c r="B562" s="129" t="s">
        <v>572</v>
      </c>
      <c r="C562" s="130">
        <v>0.125</v>
      </c>
      <c r="D562" s="130">
        <v>0.29305555555555557</v>
      </c>
      <c r="E562" s="130">
        <v>4.5138888888888888E-2</v>
      </c>
      <c r="F562" s="130">
        <v>8.5416666666666655E-2</v>
      </c>
      <c r="G562" s="130">
        <f t="shared" si="2"/>
        <v>0.54861111111111116</v>
      </c>
      <c r="H562" s="130">
        <v>0.16944444444444443</v>
      </c>
      <c r="I562" s="130" t="s">
        <v>557</v>
      </c>
      <c r="J562" s="130"/>
      <c r="K562" s="130"/>
    </row>
    <row r="563" spans="1:11" x14ac:dyDescent="0.25">
      <c r="B563" s="129" t="s">
        <v>645</v>
      </c>
      <c r="C563" s="130">
        <v>0.12638888888888888</v>
      </c>
      <c r="D563" s="130">
        <v>0.37638888888888888</v>
      </c>
      <c r="E563" s="130">
        <v>0.1673611111111111</v>
      </c>
      <c r="F563" s="130">
        <v>0.29444444444444445</v>
      </c>
      <c r="G563" s="130">
        <f t="shared" si="2"/>
        <v>0.96458333333333335</v>
      </c>
      <c r="H563" s="130">
        <v>0.33333333333333331</v>
      </c>
      <c r="I563" s="130" t="s">
        <v>557</v>
      </c>
      <c r="J563" s="130"/>
      <c r="K563" s="130"/>
    </row>
    <row r="564" spans="1:11" x14ac:dyDescent="0.25">
      <c r="C564" s="130"/>
      <c r="D564" s="130"/>
      <c r="E564" s="130"/>
      <c r="F564" s="130"/>
      <c r="G564" s="130"/>
      <c r="H564" s="130"/>
      <c r="I564" s="130"/>
      <c r="J564" s="130"/>
      <c r="K564" s="130"/>
    </row>
    <row r="565" spans="1:11" x14ac:dyDescent="0.25">
      <c r="A565" s="129" t="s">
        <v>579</v>
      </c>
      <c r="C565" s="130" t="s">
        <v>339</v>
      </c>
      <c r="D565" s="130" t="s">
        <v>340</v>
      </c>
      <c r="E565" s="130" t="s">
        <v>341</v>
      </c>
      <c r="F565" s="130" t="s">
        <v>342</v>
      </c>
      <c r="G565" s="130" t="s">
        <v>580</v>
      </c>
      <c r="H565" s="130" t="s">
        <v>337</v>
      </c>
      <c r="I565" s="130"/>
      <c r="J565" s="130"/>
      <c r="K565" s="130"/>
    </row>
    <row r="566" spans="1:11" x14ac:dyDescent="0.25">
      <c r="A566" s="129" t="s">
        <v>534</v>
      </c>
      <c r="B566" s="130" t="s">
        <v>566</v>
      </c>
      <c r="C566" s="130">
        <v>8.6805555555555566E-2</v>
      </c>
      <c r="D566" s="130">
        <v>0.21249999999999999</v>
      </c>
      <c r="E566" s="130">
        <v>8.3333333333333329E-2</v>
      </c>
      <c r="F566" s="130">
        <v>0.1277777777777778</v>
      </c>
      <c r="G566" s="130">
        <f>F566+E566+D566+C566</f>
        <v>0.51041666666666674</v>
      </c>
      <c r="H566" s="130">
        <v>4.3749999999999997E-2</v>
      </c>
      <c r="I566" s="130"/>
      <c r="J566" s="130"/>
      <c r="K566" s="130"/>
    </row>
    <row r="567" spans="1:11" x14ac:dyDescent="0.25">
      <c r="C567" s="130"/>
      <c r="D567" s="130"/>
      <c r="E567" s="130"/>
      <c r="F567" s="130"/>
      <c r="G567" s="130"/>
      <c r="H567" s="130"/>
      <c r="I567" s="130"/>
      <c r="J567" s="130"/>
      <c r="K567" s="130"/>
    </row>
    <row r="568" spans="1:11" x14ac:dyDescent="0.25">
      <c r="A568" s="129" t="s">
        <v>647</v>
      </c>
      <c r="J568" s="130"/>
      <c r="K568" s="130"/>
    </row>
    <row r="569" spans="1:11" x14ac:dyDescent="0.25">
      <c r="A569" s="129" t="s">
        <v>643</v>
      </c>
      <c r="B569" s="129" t="s">
        <v>644</v>
      </c>
      <c r="J569" s="130"/>
      <c r="K569" s="130"/>
    </row>
    <row r="570" spans="1:11" x14ac:dyDescent="0.25">
      <c r="B570" s="129" t="s">
        <v>549</v>
      </c>
      <c r="C570" s="129" t="s">
        <v>550</v>
      </c>
      <c r="D570" s="129" t="s">
        <v>551</v>
      </c>
      <c r="E570" s="129" t="s">
        <v>552</v>
      </c>
      <c r="F570" s="129" t="s">
        <v>553</v>
      </c>
      <c r="G570" s="129" t="s">
        <v>554</v>
      </c>
      <c r="H570" s="129" t="s">
        <v>555</v>
      </c>
      <c r="I570" s="129" t="s">
        <v>556</v>
      </c>
      <c r="J570" s="130"/>
      <c r="K570" s="130"/>
    </row>
    <row r="571" spans="1:11" x14ac:dyDescent="0.25">
      <c r="B571" s="129" t="s">
        <v>602</v>
      </c>
      <c r="C571" s="130">
        <v>0.16875000000000001</v>
      </c>
      <c r="D571" s="130">
        <v>8.5416666666666655E-2</v>
      </c>
      <c r="E571" s="130">
        <v>0.1277777777777778</v>
      </c>
      <c r="F571" s="130">
        <v>4.4444444444444446E-2</v>
      </c>
      <c r="G571" s="130">
        <f t="shared" ref="G571:G583" si="3">F571+E571+D571+C571</f>
        <v>0.42638888888888893</v>
      </c>
      <c r="H571" s="130">
        <v>8.7499999999999994E-2</v>
      </c>
      <c r="I571" s="130" t="s">
        <v>558</v>
      </c>
      <c r="J571" s="130"/>
      <c r="K571" s="130"/>
    </row>
    <row r="572" spans="1:11" x14ac:dyDescent="0.25">
      <c r="B572" s="129" t="s">
        <v>566</v>
      </c>
      <c r="C572" s="130">
        <v>0.12638888888888888</v>
      </c>
      <c r="D572" s="130">
        <v>8.4722222222222213E-2</v>
      </c>
      <c r="E572" s="130">
        <v>2.0833333333333333E-3</v>
      </c>
      <c r="F572" s="130">
        <v>0.16875000000000001</v>
      </c>
      <c r="G572" s="130">
        <f t="shared" si="3"/>
        <v>0.38194444444444442</v>
      </c>
      <c r="H572" s="130">
        <v>0.21041666666666667</v>
      </c>
      <c r="I572" s="130" t="s">
        <v>557</v>
      </c>
      <c r="J572" s="130"/>
      <c r="K572" s="130"/>
    </row>
    <row r="573" spans="1:11" x14ac:dyDescent="0.25">
      <c r="B573" s="129" t="s">
        <v>573</v>
      </c>
      <c r="C573" s="130">
        <v>8.4722222222222213E-2</v>
      </c>
      <c r="D573" s="130">
        <v>0.33680555555555558</v>
      </c>
      <c r="E573" s="130">
        <v>4.7222222222222221E-2</v>
      </c>
      <c r="F573" s="130">
        <v>0.25208333333333333</v>
      </c>
      <c r="G573" s="130">
        <f t="shared" si="3"/>
        <v>0.72083333333333333</v>
      </c>
      <c r="H573" s="130">
        <v>0.21041666666666667</v>
      </c>
      <c r="I573" s="130" t="s">
        <v>557</v>
      </c>
      <c r="J573" s="130"/>
      <c r="K573" s="130"/>
    </row>
    <row r="574" spans="1:11" x14ac:dyDescent="0.25">
      <c r="B574" s="129" t="s">
        <v>565</v>
      </c>
      <c r="C574" s="130">
        <v>4.5833333333333337E-2</v>
      </c>
      <c r="D574" s="130">
        <v>0.125</v>
      </c>
      <c r="E574" s="130">
        <v>0.13194444444444445</v>
      </c>
      <c r="F574" s="130">
        <v>0.25277777777777777</v>
      </c>
      <c r="G574" s="130">
        <f t="shared" si="3"/>
        <v>0.55555555555555558</v>
      </c>
      <c r="H574" s="130">
        <v>0.16944444444444443</v>
      </c>
      <c r="I574" s="130" t="s">
        <v>558</v>
      </c>
      <c r="J574" s="130"/>
      <c r="K574" s="130"/>
    </row>
    <row r="575" spans="1:11" x14ac:dyDescent="0.25">
      <c r="B575" s="129" t="s">
        <v>575</v>
      </c>
      <c r="C575" s="130">
        <v>0.1673611111111111</v>
      </c>
      <c r="D575" s="130">
        <v>0.25208333333333333</v>
      </c>
      <c r="E575" s="130">
        <v>4.5138888888888888E-2</v>
      </c>
      <c r="F575" s="130">
        <v>0.16944444444444443</v>
      </c>
      <c r="G575" s="130">
        <f t="shared" si="3"/>
        <v>0.63402777777777775</v>
      </c>
      <c r="H575" s="130">
        <v>0.21041666666666667</v>
      </c>
      <c r="I575" s="130" t="s">
        <v>557</v>
      </c>
      <c r="J575" s="130"/>
      <c r="K575" s="130"/>
    </row>
    <row r="576" spans="1:11" x14ac:dyDescent="0.25">
      <c r="B576" s="129" t="s">
        <v>578</v>
      </c>
      <c r="C576" s="130">
        <v>0.16875000000000001</v>
      </c>
      <c r="D576" s="130">
        <v>8.4722222222222213E-2</v>
      </c>
      <c r="E576" s="130">
        <v>8.4722222222222213E-2</v>
      </c>
      <c r="F576" s="130">
        <v>4.3749999999999997E-2</v>
      </c>
      <c r="G576" s="130">
        <f t="shared" si="3"/>
        <v>0.38194444444444442</v>
      </c>
      <c r="H576" s="130">
        <v>0.16944444444444443</v>
      </c>
      <c r="I576" s="130" t="s">
        <v>558</v>
      </c>
      <c r="J576" s="130"/>
      <c r="K576" s="130"/>
    </row>
    <row r="577" spans="1:11" x14ac:dyDescent="0.25">
      <c r="B577" s="129" t="s">
        <v>559</v>
      </c>
      <c r="C577" s="130">
        <v>0.12708333333333333</v>
      </c>
      <c r="D577" s="130">
        <v>4.4444444444444446E-2</v>
      </c>
      <c r="E577" s="130">
        <v>4.4444444444444446E-2</v>
      </c>
      <c r="F577" s="130">
        <v>8.4722222222222213E-2</v>
      </c>
      <c r="G577" s="130">
        <f t="shared" si="3"/>
        <v>0.30069444444444443</v>
      </c>
      <c r="H577" s="130">
        <v>8.7499999999999994E-2</v>
      </c>
      <c r="I577" s="130" t="s">
        <v>558</v>
      </c>
      <c r="J577" s="130"/>
      <c r="K577" s="130"/>
    </row>
    <row r="578" spans="1:11" x14ac:dyDescent="0.25">
      <c r="B578" s="129" t="s">
        <v>561</v>
      </c>
      <c r="C578" s="130">
        <v>0.12708333333333333</v>
      </c>
      <c r="D578" s="130">
        <v>8.9583333333333334E-2</v>
      </c>
      <c r="E578" s="130">
        <v>8.4722222222222213E-2</v>
      </c>
      <c r="F578" s="130">
        <v>0.25069444444444444</v>
      </c>
      <c r="G578" s="130">
        <f t="shared" si="3"/>
        <v>0.55208333333333326</v>
      </c>
      <c r="H578" s="130">
        <v>0.16944444444444443</v>
      </c>
      <c r="I578" s="130" t="s">
        <v>558</v>
      </c>
      <c r="J578" s="130"/>
      <c r="K578" s="130"/>
    </row>
    <row r="579" spans="1:11" x14ac:dyDescent="0.25">
      <c r="B579" s="129" t="s">
        <v>563</v>
      </c>
      <c r="C579" s="130">
        <v>0.25138888888888888</v>
      </c>
      <c r="D579" s="130">
        <v>0.21041666666666667</v>
      </c>
      <c r="E579" s="130">
        <v>9.0972222222222218E-2</v>
      </c>
      <c r="F579" s="130">
        <v>0.12847222222222224</v>
      </c>
      <c r="G579" s="130">
        <f t="shared" si="3"/>
        <v>0.68125000000000002</v>
      </c>
      <c r="H579" s="130">
        <v>0.16944444444444443</v>
      </c>
      <c r="I579" s="130" t="s">
        <v>558</v>
      </c>
      <c r="J579" s="130"/>
      <c r="K579" s="130"/>
    </row>
    <row r="580" spans="1:11" x14ac:dyDescent="0.25">
      <c r="B580" s="129" t="s">
        <v>577</v>
      </c>
      <c r="C580" s="130">
        <v>0.16944444444444443</v>
      </c>
      <c r="D580" s="130">
        <v>4.3749999999999997E-2</v>
      </c>
      <c r="E580" s="130">
        <v>0.12847222222222224</v>
      </c>
      <c r="F580" s="130">
        <v>0.1277777777777778</v>
      </c>
      <c r="G580" s="130">
        <f t="shared" si="3"/>
        <v>0.46944444444444444</v>
      </c>
      <c r="H580" s="130">
        <v>4.6527777777777779E-2</v>
      </c>
      <c r="I580" s="130" t="s">
        <v>558</v>
      </c>
      <c r="J580" s="130"/>
      <c r="K580" s="130"/>
    </row>
    <row r="581" spans="1:11" x14ac:dyDescent="0.25">
      <c r="B581" s="129" t="s">
        <v>648</v>
      </c>
      <c r="C581" s="130">
        <v>0.20902777777777778</v>
      </c>
      <c r="D581" s="130">
        <v>0.3347222222222222</v>
      </c>
      <c r="E581" s="130">
        <v>0.12638888888888888</v>
      </c>
      <c r="F581" s="130">
        <v>8.5416666666666655E-2</v>
      </c>
      <c r="G581" s="130">
        <f t="shared" si="3"/>
        <v>0.75555555555555554</v>
      </c>
      <c r="H581" s="130">
        <v>0.25138888888888888</v>
      </c>
      <c r="I581" s="130" t="s">
        <v>557</v>
      </c>
      <c r="J581" s="130"/>
      <c r="K581" s="130"/>
    </row>
    <row r="582" spans="1:11" x14ac:dyDescent="0.25">
      <c r="B582" s="129" t="s">
        <v>620</v>
      </c>
      <c r="C582" s="130">
        <v>8.5416666666666655E-2</v>
      </c>
      <c r="D582" s="130">
        <v>0.16875000000000001</v>
      </c>
      <c r="E582" s="130">
        <v>0.12708333333333333</v>
      </c>
      <c r="F582" s="130">
        <v>0.21249999999999999</v>
      </c>
      <c r="G582" s="130">
        <f t="shared" si="3"/>
        <v>0.59375</v>
      </c>
      <c r="H582" s="130">
        <v>0.16944444444444443</v>
      </c>
      <c r="I582" s="130" t="s">
        <v>558</v>
      </c>
    </row>
    <row r="583" spans="1:11" x14ac:dyDescent="0.25">
      <c r="B583" s="129" t="s">
        <v>645</v>
      </c>
      <c r="C583" s="130">
        <v>0.16944444444444443</v>
      </c>
      <c r="D583" s="130">
        <v>0.25138888888888888</v>
      </c>
      <c r="E583" s="130">
        <v>0.21111111111111111</v>
      </c>
      <c r="F583" s="130">
        <v>0.16805555555555554</v>
      </c>
      <c r="G583" s="130">
        <f t="shared" si="3"/>
        <v>0.79999999999999993</v>
      </c>
      <c r="H583" s="130">
        <v>0.29236111111111113</v>
      </c>
      <c r="I583" s="130" t="s">
        <v>557</v>
      </c>
    </row>
    <row r="584" spans="1:11" x14ac:dyDescent="0.25">
      <c r="C584" s="130"/>
      <c r="D584" s="130"/>
      <c r="E584" s="130"/>
      <c r="F584" s="130"/>
      <c r="G584" s="130"/>
      <c r="H584" s="130"/>
      <c r="I584" s="130"/>
    </row>
    <row r="585" spans="1:11" x14ac:dyDescent="0.25">
      <c r="C585" s="130"/>
      <c r="D585" s="130"/>
      <c r="E585" s="130"/>
      <c r="F585" s="130"/>
      <c r="G585" s="130"/>
      <c r="H585" s="130"/>
      <c r="I585" s="130"/>
    </row>
    <row r="586" spans="1:11" x14ac:dyDescent="0.25">
      <c r="A586" s="129" t="s">
        <v>649</v>
      </c>
      <c r="J586" s="130"/>
      <c r="K586" s="130"/>
    </row>
    <row r="587" spans="1:11" x14ac:dyDescent="0.25">
      <c r="A587" s="129" t="s">
        <v>650</v>
      </c>
      <c r="B587" s="129" t="s">
        <v>636</v>
      </c>
      <c r="D587" s="134" t="s">
        <v>696</v>
      </c>
      <c r="J587" s="130"/>
      <c r="K587" s="130"/>
    </row>
    <row r="588" spans="1:11" x14ac:dyDescent="0.25">
      <c r="B588" s="129" t="s">
        <v>549</v>
      </c>
      <c r="C588" s="129" t="s">
        <v>550</v>
      </c>
      <c r="D588" s="129" t="s">
        <v>551</v>
      </c>
      <c r="E588" s="129" t="s">
        <v>552</v>
      </c>
      <c r="F588" s="129" t="s">
        <v>553</v>
      </c>
      <c r="G588" s="129" t="s">
        <v>554</v>
      </c>
      <c r="H588" s="129" t="s">
        <v>555</v>
      </c>
      <c r="I588" s="129" t="s">
        <v>556</v>
      </c>
      <c r="J588" s="130"/>
      <c r="K588" s="130"/>
    </row>
    <row r="589" spans="1:11" x14ac:dyDescent="0.25">
      <c r="B589" s="129" t="s">
        <v>602</v>
      </c>
      <c r="C589" s="130">
        <v>0.1673611111111111</v>
      </c>
      <c r="D589" s="130">
        <v>0.16944444444444443</v>
      </c>
      <c r="E589" s="130">
        <v>0.12986111111111112</v>
      </c>
      <c r="F589" s="130">
        <v>0.17083333333333331</v>
      </c>
      <c r="G589" s="130">
        <f t="shared" ref="G589:G601" si="4">F589+E589+D589+C589</f>
        <v>0.63749999999999996</v>
      </c>
      <c r="H589" s="130">
        <v>0.12847222222222224</v>
      </c>
      <c r="I589" s="130" t="s">
        <v>558</v>
      </c>
      <c r="J589" s="130"/>
      <c r="K589" s="130"/>
    </row>
    <row r="590" spans="1:11" x14ac:dyDescent="0.25">
      <c r="B590" s="129" t="s">
        <v>573</v>
      </c>
      <c r="C590" s="130">
        <v>0.25347222222222221</v>
      </c>
      <c r="D590" s="130">
        <v>8.7499999999999994E-2</v>
      </c>
      <c r="E590" s="130">
        <v>0.12847222222222224</v>
      </c>
      <c r="F590" s="130">
        <v>0.16666666666666666</v>
      </c>
      <c r="G590" s="130">
        <f t="shared" si="4"/>
        <v>0.63611111111111107</v>
      </c>
      <c r="H590" s="130">
        <v>0.16944444444444443</v>
      </c>
      <c r="I590" s="130" t="s">
        <v>558</v>
      </c>
      <c r="J590" s="130"/>
      <c r="K590" s="130"/>
    </row>
    <row r="591" spans="1:11" x14ac:dyDescent="0.25">
      <c r="B591" s="129" t="s">
        <v>559</v>
      </c>
      <c r="C591" s="130">
        <v>8.4722222222222213E-2</v>
      </c>
      <c r="D591" s="130">
        <v>4.3749999999999997E-2</v>
      </c>
      <c r="E591" s="130">
        <v>0.21041666666666667</v>
      </c>
      <c r="F591" s="130">
        <v>1.3888888888888889E-3</v>
      </c>
      <c r="G591" s="130">
        <f t="shared" si="4"/>
        <v>0.34027777777777773</v>
      </c>
      <c r="H591" s="130">
        <v>0.12847222222222224</v>
      </c>
      <c r="I591" s="130" t="s">
        <v>558</v>
      </c>
      <c r="J591" s="130"/>
      <c r="K591" s="130"/>
    </row>
    <row r="592" spans="1:11" x14ac:dyDescent="0.25">
      <c r="B592" s="129" t="s">
        <v>563</v>
      </c>
      <c r="C592" s="130">
        <v>0.12638888888888888</v>
      </c>
      <c r="D592" s="130"/>
      <c r="E592" s="130">
        <v>0.12847222222222224</v>
      </c>
      <c r="F592" s="130"/>
      <c r="G592" s="130">
        <f t="shared" si="4"/>
        <v>0.25486111111111109</v>
      </c>
      <c r="H592" s="130">
        <v>8.4722222222222213E-2</v>
      </c>
      <c r="I592" s="130" t="s">
        <v>558</v>
      </c>
      <c r="J592" s="130"/>
      <c r="K592" s="130"/>
    </row>
    <row r="593" spans="1:11" x14ac:dyDescent="0.25">
      <c r="B593" s="129" t="s">
        <v>561</v>
      </c>
      <c r="C593" s="130">
        <v>0.37708333333333338</v>
      </c>
      <c r="D593" s="130">
        <v>0.20972222222222223</v>
      </c>
      <c r="E593" s="130">
        <v>0.21041666666666667</v>
      </c>
      <c r="F593" s="130">
        <v>0.16944444444444443</v>
      </c>
      <c r="G593" s="130">
        <f t="shared" si="4"/>
        <v>0.96666666666666679</v>
      </c>
      <c r="H593" s="130">
        <v>0.29236111111111113</v>
      </c>
      <c r="I593" s="130" t="s">
        <v>557</v>
      </c>
      <c r="J593" s="130"/>
      <c r="K593" s="130"/>
    </row>
    <row r="594" spans="1:11" x14ac:dyDescent="0.25">
      <c r="B594" s="129" t="s">
        <v>578</v>
      </c>
      <c r="C594" s="130">
        <v>2.7777777777777779E-3</v>
      </c>
      <c r="D594" s="130"/>
      <c r="E594" s="130">
        <v>0.21041666666666667</v>
      </c>
      <c r="F594" s="130"/>
      <c r="G594" s="130">
        <f t="shared" si="4"/>
        <v>0.21319444444444444</v>
      </c>
      <c r="H594" s="130">
        <v>8.4722222222222213E-2</v>
      </c>
      <c r="I594" s="130" t="s">
        <v>558</v>
      </c>
      <c r="J594" s="130"/>
      <c r="K594" s="130"/>
    </row>
    <row r="595" spans="1:11" x14ac:dyDescent="0.25">
      <c r="B595" s="129" t="s">
        <v>620</v>
      </c>
      <c r="C595" s="130">
        <v>0.25138888888888888</v>
      </c>
      <c r="D595" s="130">
        <v>0.16666666666666666</v>
      </c>
      <c r="E595" s="130">
        <v>0.20833333333333334</v>
      </c>
      <c r="F595" s="130">
        <v>8.4722222222222213E-2</v>
      </c>
      <c r="G595" s="130">
        <f t="shared" si="4"/>
        <v>0.71111111111111114</v>
      </c>
      <c r="H595" s="130">
        <v>0.29236111111111113</v>
      </c>
      <c r="I595" s="130" t="s">
        <v>557</v>
      </c>
      <c r="J595" s="130"/>
      <c r="K595" s="130"/>
    </row>
    <row r="596" spans="1:11" x14ac:dyDescent="0.25">
      <c r="B596" s="129" t="s">
        <v>648</v>
      </c>
      <c r="C596" s="130">
        <v>0.25138888888888888</v>
      </c>
      <c r="D596" s="130"/>
      <c r="E596" s="130">
        <v>0.25138888888888888</v>
      </c>
      <c r="F596" s="130"/>
      <c r="G596" s="130">
        <f t="shared" si="4"/>
        <v>0.50277777777777777</v>
      </c>
      <c r="H596" s="130">
        <v>0.16666666666666666</v>
      </c>
      <c r="I596" s="130" t="s">
        <v>557</v>
      </c>
      <c r="J596" s="130"/>
      <c r="K596" s="130"/>
    </row>
    <row r="597" spans="1:11" x14ac:dyDescent="0.25">
      <c r="B597" s="129" t="s">
        <v>566</v>
      </c>
      <c r="C597" s="130">
        <v>0.25138888888888888</v>
      </c>
      <c r="D597" s="130"/>
      <c r="E597" s="130">
        <v>0.16944444444444443</v>
      </c>
      <c r="F597" s="130"/>
      <c r="G597" s="130">
        <f t="shared" si="4"/>
        <v>0.42083333333333328</v>
      </c>
      <c r="H597" s="130">
        <v>0.12569444444444444</v>
      </c>
      <c r="I597" s="130" t="s">
        <v>557</v>
      </c>
      <c r="J597" s="130"/>
      <c r="K597" s="130"/>
    </row>
    <row r="598" spans="1:11" x14ac:dyDescent="0.25">
      <c r="B598" s="129" t="s">
        <v>577</v>
      </c>
      <c r="C598" s="130">
        <v>0.12708333333333333</v>
      </c>
      <c r="D598" s="130">
        <v>0.37638888888888888</v>
      </c>
      <c r="E598" s="130">
        <v>4.1666666666666664E-2</v>
      </c>
      <c r="F598" s="130">
        <v>4.4444444444444446E-2</v>
      </c>
      <c r="G598" s="130">
        <f t="shared" si="4"/>
        <v>0.58958333333333335</v>
      </c>
      <c r="H598" s="130">
        <v>0.21041666666666667</v>
      </c>
      <c r="I598" s="130" t="s">
        <v>557</v>
      </c>
      <c r="J598" s="130"/>
      <c r="K598" s="130"/>
    </row>
    <row r="599" spans="1:11" x14ac:dyDescent="0.25">
      <c r="B599" s="129" t="s">
        <v>575</v>
      </c>
      <c r="C599" s="130">
        <v>0.20972222222222223</v>
      </c>
      <c r="D599" s="130"/>
      <c r="E599" s="130">
        <v>0.21180555555555555</v>
      </c>
      <c r="F599" s="130"/>
      <c r="G599" s="130">
        <f t="shared" si="4"/>
        <v>0.42152777777777778</v>
      </c>
      <c r="H599" s="130">
        <v>0.12569444444444444</v>
      </c>
      <c r="I599" s="130" t="s">
        <v>557</v>
      </c>
      <c r="J599" s="130"/>
      <c r="K599" s="130"/>
    </row>
    <row r="600" spans="1:11" x14ac:dyDescent="0.25">
      <c r="B600" s="129" t="s">
        <v>565</v>
      </c>
      <c r="C600" s="130">
        <v>8.7499999999999994E-2</v>
      </c>
      <c r="D600" s="130">
        <v>8.5416666666666655E-2</v>
      </c>
      <c r="E600" s="130">
        <v>0.16805555555555554</v>
      </c>
      <c r="F600" s="130">
        <v>0.1277777777777778</v>
      </c>
      <c r="G600" s="130">
        <f t="shared" si="4"/>
        <v>0.46875</v>
      </c>
      <c r="H600" s="130">
        <v>8.7499999999999994E-2</v>
      </c>
      <c r="I600" s="130" t="s">
        <v>558</v>
      </c>
      <c r="J600" s="130"/>
      <c r="K600" s="130"/>
    </row>
    <row r="601" spans="1:11" x14ac:dyDescent="0.25">
      <c r="B601" s="129" t="s">
        <v>651</v>
      </c>
      <c r="C601" s="130">
        <v>0.25</v>
      </c>
      <c r="D601" s="130"/>
      <c r="E601" s="130">
        <v>0.12638888888888888</v>
      </c>
      <c r="F601" s="130"/>
      <c r="G601" s="130">
        <f t="shared" si="4"/>
        <v>0.37638888888888888</v>
      </c>
      <c r="H601" s="130">
        <v>0.16666666666666666</v>
      </c>
      <c r="I601" s="130" t="s">
        <v>557</v>
      </c>
      <c r="J601" s="130"/>
      <c r="K601" s="130"/>
    </row>
    <row r="602" spans="1:11" x14ac:dyDescent="0.25">
      <c r="C602" s="130"/>
      <c r="D602" s="130"/>
      <c r="E602" s="130"/>
      <c r="F602" s="130"/>
      <c r="G602" s="130"/>
      <c r="H602" s="130"/>
      <c r="I602" s="130"/>
    </row>
    <row r="603" spans="1:11" x14ac:dyDescent="0.25">
      <c r="A603" s="129" t="s">
        <v>579</v>
      </c>
      <c r="C603" s="130" t="s">
        <v>339</v>
      </c>
      <c r="D603" s="130" t="s">
        <v>340</v>
      </c>
      <c r="E603" s="130" t="s">
        <v>341</v>
      </c>
      <c r="F603" s="130" t="s">
        <v>342</v>
      </c>
      <c r="G603" s="130" t="s">
        <v>343</v>
      </c>
      <c r="H603" s="130" t="s">
        <v>344</v>
      </c>
      <c r="I603" s="130" t="s">
        <v>580</v>
      </c>
      <c r="J603" s="130" t="s">
        <v>337</v>
      </c>
      <c r="K603" s="130"/>
    </row>
    <row r="604" spans="1:11" x14ac:dyDescent="0.25">
      <c r="A604" s="129" t="s">
        <v>534</v>
      </c>
      <c r="B604" s="130" t="s">
        <v>563</v>
      </c>
      <c r="C604" s="130">
        <v>0.25208333333333333</v>
      </c>
      <c r="D604" s="130" t="s">
        <v>171</v>
      </c>
      <c r="E604" s="130" t="s">
        <v>352</v>
      </c>
      <c r="F604" s="130">
        <v>0.12638888888888888</v>
      </c>
      <c r="G604" s="130">
        <v>0.12638888888888888</v>
      </c>
      <c r="I604" s="130">
        <v>0.71666666666666667</v>
      </c>
      <c r="J604" s="130">
        <v>0.1673611111111111</v>
      </c>
      <c r="K604" s="130"/>
    </row>
    <row r="605" spans="1:11" x14ac:dyDescent="0.25">
      <c r="A605" s="129" t="s">
        <v>535</v>
      </c>
      <c r="B605" s="129" t="s">
        <v>573</v>
      </c>
      <c r="C605" s="130">
        <v>4.4444444444444446E-2</v>
      </c>
      <c r="D605" s="130">
        <v>0.25277777777777777</v>
      </c>
      <c r="E605" s="130">
        <v>0.1673611111111111</v>
      </c>
      <c r="F605" s="130">
        <v>3.472222222222222E-3</v>
      </c>
      <c r="G605" s="130">
        <v>0.25069444444444444</v>
      </c>
      <c r="H605" s="129" t="s">
        <v>652</v>
      </c>
      <c r="I605" s="130">
        <v>0.92986111111111114</v>
      </c>
      <c r="J605" s="130">
        <v>0.16805555555555554</v>
      </c>
      <c r="K605" s="130"/>
    </row>
    <row r="606" spans="1:11" x14ac:dyDescent="0.25">
      <c r="A606" s="129" t="s">
        <v>536</v>
      </c>
      <c r="B606" s="129" t="s">
        <v>602</v>
      </c>
      <c r="C606" s="130">
        <v>8.4027777777777771E-2</v>
      </c>
      <c r="D606" s="130">
        <v>4.7222222222222221E-2</v>
      </c>
      <c r="E606" s="130">
        <v>4.5833333333333337E-2</v>
      </c>
      <c r="F606" s="130">
        <v>4.4444444444444446E-2</v>
      </c>
      <c r="G606" s="130">
        <v>4.3055555555555562E-2</v>
      </c>
      <c r="H606" s="130"/>
      <c r="I606" s="130">
        <v>0.26458333333333334</v>
      </c>
      <c r="J606" s="130">
        <v>4.4444444444444446E-2</v>
      </c>
      <c r="K606" s="130"/>
    </row>
    <row r="607" spans="1:11" x14ac:dyDescent="0.25">
      <c r="C607" s="130"/>
      <c r="D607" s="130"/>
      <c r="E607" s="130"/>
      <c r="F607" s="130"/>
      <c r="G607" s="130"/>
      <c r="H607" s="130"/>
      <c r="I607" s="130"/>
      <c r="J607" s="130"/>
      <c r="K607" s="130"/>
    </row>
    <row r="608" spans="1:11" x14ac:dyDescent="0.25">
      <c r="A608" s="129" t="s">
        <v>653</v>
      </c>
      <c r="J608" s="130"/>
      <c r="K608" s="130"/>
    </row>
    <row r="609" spans="1:11" x14ac:dyDescent="0.25">
      <c r="A609" s="129" t="s">
        <v>588</v>
      </c>
      <c r="B609" s="129" t="s">
        <v>585</v>
      </c>
      <c r="D609" s="134" t="s">
        <v>654</v>
      </c>
      <c r="J609" s="130"/>
      <c r="K609" s="130"/>
    </row>
    <row r="610" spans="1:11" x14ac:dyDescent="0.25">
      <c r="B610" s="129" t="s">
        <v>549</v>
      </c>
      <c r="C610" s="129" t="s">
        <v>550</v>
      </c>
      <c r="D610" s="129" t="s">
        <v>551</v>
      </c>
      <c r="E610" s="129" t="s">
        <v>552</v>
      </c>
      <c r="F610" s="129" t="s">
        <v>553</v>
      </c>
      <c r="G610" s="129" t="s">
        <v>554</v>
      </c>
      <c r="H610" s="129" t="s">
        <v>555</v>
      </c>
      <c r="I610" s="129" t="s">
        <v>556</v>
      </c>
      <c r="J610" s="130"/>
      <c r="K610" s="130"/>
    </row>
    <row r="611" spans="1:11" x14ac:dyDescent="0.25">
      <c r="B611" s="129" t="s">
        <v>602</v>
      </c>
      <c r="C611" s="130">
        <v>0.17013888888888887</v>
      </c>
      <c r="D611" s="130">
        <v>0.21041666666666667</v>
      </c>
      <c r="E611" s="130">
        <v>8.6805555555555566E-2</v>
      </c>
      <c r="F611" s="130">
        <v>0.12986111111111112</v>
      </c>
      <c r="G611" s="130">
        <f t="shared" ref="G611:G619" si="5">F611+E611+D611+C611</f>
        <v>0.59722222222222221</v>
      </c>
      <c r="H611" s="130">
        <v>8.7499999999999994E-2</v>
      </c>
      <c r="I611" s="130" t="s">
        <v>558</v>
      </c>
      <c r="J611" s="130"/>
      <c r="K611" s="130"/>
    </row>
    <row r="612" spans="1:11" x14ac:dyDescent="0.25">
      <c r="B612" s="129" t="s">
        <v>563</v>
      </c>
      <c r="C612" s="130">
        <v>0.25277777777777777</v>
      </c>
      <c r="D612" s="130">
        <v>0.29166666666666669</v>
      </c>
      <c r="E612" s="130">
        <v>0.1277777777777778</v>
      </c>
      <c r="F612" s="130">
        <v>4.5138888888888888E-2</v>
      </c>
      <c r="G612" s="130">
        <f t="shared" si="5"/>
        <v>0.71736111111111112</v>
      </c>
      <c r="H612" s="130">
        <v>0.16944444444444443</v>
      </c>
      <c r="I612" s="130" t="s">
        <v>557</v>
      </c>
      <c r="J612" s="130"/>
      <c r="K612" s="130"/>
    </row>
    <row r="613" spans="1:11" x14ac:dyDescent="0.25">
      <c r="B613" s="129" t="s">
        <v>559</v>
      </c>
      <c r="C613" s="130">
        <v>4.1666666666666664E-2</v>
      </c>
      <c r="D613" s="130">
        <v>0.12847222222222224</v>
      </c>
      <c r="E613" s="130">
        <v>0.16875000000000001</v>
      </c>
      <c r="F613" s="130">
        <v>0.13055555555555556</v>
      </c>
      <c r="G613" s="130">
        <f t="shared" si="5"/>
        <v>0.4694444444444445</v>
      </c>
      <c r="H613" s="130">
        <v>0.16944444444444443</v>
      </c>
      <c r="I613" s="130" t="s">
        <v>558</v>
      </c>
      <c r="J613" s="130"/>
      <c r="K613" s="130"/>
    </row>
    <row r="614" spans="1:11" x14ac:dyDescent="0.25">
      <c r="B614" s="129" t="s">
        <v>578</v>
      </c>
      <c r="C614" s="130">
        <v>0.12708333333333333</v>
      </c>
      <c r="D614" s="130">
        <v>4.3055555555555562E-2</v>
      </c>
      <c r="E614" s="130">
        <v>8.6111111111111124E-2</v>
      </c>
      <c r="F614" s="130">
        <v>8.5416666666666655E-2</v>
      </c>
      <c r="G614" s="130">
        <f t="shared" si="5"/>
        <v>0.34166666666666667</v>
      </c>
      <c r="H614" s="130">
        <v>4.6527777777777779E-2</v>
      </c>
      <c r="I614" s="130" t="s">
        <v>558</v>
      </c>
      <c r="J614" s="130"/>
      <c r="K614" s="130"/>
    </row>
    <row r="615" spans="1:11" x14ac:dyDescent="0.25">
      <c r="B615" s="129" t="s">
        <v>648</v>
      </c>
      <c r="C615" s="130">
        <v>0.25069444444444444</v>
      </c>
      <c r="D615" s="130">
        <v>0.12847222222222224</v>
      </c>
      <c r="E615" s="130">
        <v>0.12916666666666668</v>
      </c>
      <c r="F615" s="130">
        <v>2.0833333333333333E-3</v>
      </c>
      <c r="G615" s="130">
        <f t="shared" si="5"/>
        <v>0.51041666666666674</v>
      </c>
      <c r="H615" s="130">
        <v>8.7499999999999994E-2</v>
      </c>
      <c r="I615" s="130" t="s">
        <v>558</v>
      </c>
      <c r="J615" s="130"/>
      <c r="K615" s="130"/>
    </row>
    <row r="616" spans="1:11" x14ac:dyDescent="0.25">
      <c r="B616" s="129" t="s">
        <v>577</v>
      </c>
      <c r="C616" s="130">
        <v>0.20902777777777778</v>
      </c>
      <c r="D616" s="130">
        <v>4.5138888888888888E-2</v>
      </c>
      <c r="E616" s="130">
        <v>0.12708333333333333</v>
      </c>
      <c r="F616" s="130">
        <v>0.12569444444444444</v>
      </c>
      <c r="G616" s="130">
        <f t="shared" si="5"/>
        <v>0.50694444444444442</v>
      </c>
      <c r="H616" s="130">
        <v>0.21041666666666667</v>
      </c>
      <c r="I616" s="130" t="s">
        <v>557</v>
      </c>
      <c r="J616" s="130"/>
      <c r="K616" s="130"/>
    </row>
    <row r="617" spans="1:11" x14ac:dyDescent="0.25">
      <c r="B617" s="129" t="s">
        <v>561</v>
      </c>
      <c r="C617" s="130">
        <v>0.125</v>
      </c>
      <c r="D617" s="130">
        <v>0.29375000000000001</v>
      </c>
      <c r="E617" s="130">
        <v>8.4722222222222213E-2</v>
      </c>
      <c r="F617" s="130">
        <v>8.5416666666666655E-2</v>
      </c>
      <c r="G617" s="130">
        <f t="shared" si="5"/>
        <v>0.58888888888888891</v>
      </c>
      <c r="H617" s="130">
        <v>0.21041666666666667</v>
      </c>
      <c r="I617" s="130" t="s">
        <v>557</v>
      </c>
      <c r="J617" s="130"/>
      <c r="K617" s="130"/>
    </row>
    <row r="618" spans="1:11" x14ac:dyDescent="0.25">
      <c r="B618" s="129" t="s">
        <v>573</v>
      </c>
      <c r="C618" s="130">
        <v>0.29236111111111113</v>
      </c>
      <c r="D618" s="130">
        <v>8.4722222222222213E-2</v>
      </c>
      <c r="E618" s="130">
        <v>0.125</v>
      </c>
      <c r="F618" s="130">
        <v>4.3749999999999997E-2</v>
      </c>
      <c r="G618" s="130">
        <f t="shared" si="5"/>
        <v>0.54583333333333339</v>
      </c>
      <c r="H618" s="130">
        <v>0.21041666666666667</v>
      </c>
      <c r="I618" s="130" t="s">
        <v>557</v>
      </c>
      <c r="J618" s="130"/>
      <c r="K618" s="130"/>
    </row>
    <row r="619" spans="1:11" x14ac:dyDescent="0.25">
      <c r="B619" s="129" t="s">
        <v>565</v>
      </c>
      <c r="C619" s="130">
        <v>0.2951388888888889</v>
      </c>
      <c r="D619" s="130">
        <v>0.17083333333333331</v>
      </c>
      <c r="E619" s="130">
        <v>4.3055555555555562E-2</v>
      </c>
      <c r="F619" s="130">
        <v>0.16875000000000001</v>
      </c>
      <c r="G619" s="130">
        <f t="shared" si="5"/>
        <v>0.67777777777777781</v>
      </c>
      <c r="H619" s="130">
        <v>0.16944444444444443</v>
      </c>
      <c r="I619" s="130" t="s">
        <v>562</v>
      </c>
      <c r="J619" s="130"/>
      <c r="K619" s="130"/>
    </row>
    <row r="620" spans="1:11" x14ac:dyDescent="0.25">
      <c r="B620" s="129" t="s">
        <v>566</v>
      </c>
      <c r="C620" s="130">
        <v>0.16805555555555554</v>
      </c>
      <c r="D620" s="130">
        <v>0.16805555555555554</v>
      </c>
      <c r="E620" s="130">
        <v>4.4444444444444446E-2</v>
      </c>
      <c r="F620" s="129" t="s">
        <v>163</v>
      </c>
      <c r="G620" s="130">
        <v>0.5083333333333333</v>
      </c>
      <c r="H620" s="130">
        <v>0.16944444444444443</v>
      </c>
      <c r="I620" s="130" t="s">
        <v>562</v>
      </c>
      <c r="J620" s="130"/>
      <c r="K620" s="130"/>
    </row>
    <row r="621" spans="1:11" x14ac:dyDescent="0.25">
      <c r="B621" s="129" t="s">
        <v>620</v>
      </c>
      <c r="C621" s="130">
        <v>0.25208333333333333</v>
      </c>
      <c r="D621" s="130">
        <v>0.25277777777777777</v>
      </c>
      <c r="E621" s="130">
        <v>0.21180555555555555</v>
      </c>
      <c r="F621" s="130">
        <v>0.12708333333333333</v>
      </c>
      <c r="G621" s="130">
        <f>F621+E621+D621+C621</f>
        <v>0.84375</v>
      </c>
      <c r="H621" s="130">
        <v>0.25138888888888888</v>
      </c>
      <c r="I621" s="130" t="s">
        <v>557</v>
      </c>
      <c r="J621" s="130"/>
      <c r="K621" s="130"/>
    </row>
    <row r="622" spans="1:11" x14ac:dyDescent="0.25">
      <c r="C622" s="130"/>
      <c r="D622" s="130"/>
      <c r="E622" s="130"/>
      <c r="F622" s="130"/>
      <c r="G622" s="130"/>
      <c r="H622" s="130"/>
      <c r="I622" s="130"/>
      <c r="J622" s="130"/>
      <c r="K622" s="130"/>
    </row>
    <row r="623" spans="1:11" x14ac:dyDescent="0.25">
      <c r="A623" s="129" t="s">
        <v>579</v>
      </c>
      <c r="C623" s="130" t="s">
        <v>339</v>
      </c>
      <c r="D623" s="130" t="s">
        <v>340</v>
      </c>
      <c r="E623" s="130" t="s">
        <v>341</v>
      </c>
      <c r="F623" s="130" t="s">
        <v>342</v>
      </c>
      <c r="G623" s="130" t="s">
        <v>580</v>
      </c>
      <c r="H623" s="130" t="s">
        <v>337</v>
      </c>
      <c r="J623" s="130"/>
      <c r="K623" s="130"/>
    </row>
    <row r="624" spans="1:11" x14ac:dyDescent="0.25">
      <c r="A624" s="129" t="s">
        <v>534</v>
      </c>
      <c r="B624" s="130" t="s">
        <v>602</v>
      </c>
      <c r="C624" s="130">
        <v>2.0833333333333333E-3</v>
      </c>
      <c r="D624" s="130">
        <v>8.6111111111111124E-2</v>
      </c>
      <c r="E624" s="130">
        <v>0.25208333333333333</v>
      </c>
      <c r="F624" s="130">
        <v>4.5138888888888888E-2</v>
      </c>
      <c r="G624" s="130">
        <v>0.38541666666666669</v>
      </c>
      <c r="H624" s="130">
        <v>4.3749999999999997E-2</v>
      </c>
      <c r="J624" s="130"/>
      <c r="K624" s="130"/>
    </row>
    <row r="625" spans="1:11" x14ac:dyDescent="0.25">
      <c r="J625" s="130"/>
      <c r="K625" s="130"/>
    </row>
    <row r="626" spans="1:11" x14ac:dyDescent="0.25">
      <c r="A626" s="129" t="s">
        <v>655</v>
      </c>
      <c r="D626" s="134" t="s">
        <v>654</v>
      </c>
      <c r="J626" s="130"/>
      <c r="K626" s="130"/>
    </row>
    <row r="627" spans="1:11" x14ac:dyDescent="0.25">
      <c r="A627" s="129" t="s">
        <v>588</v>
      </c>
      <c r="B627" s="129" t="s">
        <v>585</v>
      </c>
      <c r="J627" s="130"/>
      <c r="K627" s="130"/>
    </row>
    <row r="628" spans="1:11" x14ac:dyDescent="0.25">
      <c r="B628" s="129" t="s">
        <v>549</v>
      </c>
      <c r="C628" s="129" t="s">
        <v>550</v>
      </c>
      <c r="D628" s="129" t="s">
        <v>551</v>
      </c>
      <c r="E628" s="129" t="s">
        <v>552</v>
      </c>
      <c r="F628" s="129" t="s">
        <v>553</v>
      </c>
      <c r="G628" s="129" t="s">
        <v>554</v>
      </c>
      <c r="H628" s="129" t="s">
        <v>555</v>
      </c>
      <c r="I628" s="129" t="s">
        <v>556</v>
      </c>
      <c r="J628" s="130"/>
      <c r="K628" s="130"/>
    </row>
    <row r="629" spans="1:11" x14ac:dyDescent="0.25">
      <c r="B629" s="129" t="s">
        <v>648</v>
      </c>
      <c r="C629" s="130">
        <v>4.3055555555555562E-2</v>
      </c>
      <c r="D629" s="130">
        <v>0.12569444444444444</v>
      </c>
      <c r="E629" s="130">
        <v>8.7499999999999994E-2</v>
      </c>
      <c r="F629" s="130">
        <v>4.2361111111111106E-2</v>
      </c>
      <c r="G629" s="130">
        <f>F629+E629+D629+C629</f>
        <v>0.2986111111111111</v>
      </c>
      <c r="H629" s="130">
        <v>0.12847222222222224</v>
      </c>
      <c r="I629" s="130" t="s">
        <v>558</v>
      </c>
      <c r="J629" s="130"/>
      <c r="K629" s="130"/>
    </row>
    <row r="630" spans="1:11" x14ac:dyDescent="0.25">
      <c r="B630" s="129" t="s">
        <v>565</v>
      </c>
      <c r="C630" s="130">
        <v>4.4444444444444446E-2</v>
      </c>
      <c r="D630" s="130">
        <v>0.17013888888888887</v>
      </c>
      <c r="E630" s="130">
        <v>0.12916666666666668</v>
      </c>
      <c r="F630" s="130">
        <v>0.16944444444444443</v>
      </c>
      <c r="G630" s="130">
        <f>F630+E630+D630+C630</f>
        <v>0.5131944444444444</v>
      </c>
      <c r="H630" s="130">
        <v>4.6527777777777779E-2</v>
      </c>
      <c r="I630" s="130" t="s">
        <v>558</v>
      </c>
      <c r="J630" s="130"/>
      <c r="K630" s="130"/>
    </row>
    <row r="631" spans="1:11" x14ac:dyDescent="0.25">
      <c r="B631" s="129" t="s">
        <v>578</v>
      </c>
      <c r="C631" s="130">
        <v>0.12847222222222224</v>
      </c>
      <c r="D631" s="130">
        <v>0.29305555555555557</v>
      </c>
      <c r="E631" s="130">
        <v>0.12986111111111112</v>
      </c>
      <c r="F631" s="130">
        <v>0.29375000000000001</v>
      </c>
      <c r="G631" s="130">
        <f>F631+E631+D631+C631</f>
        <v>0.84513888888888899</v>
      </c>
      <c r="H631" s="130">
        <v>0.16944444444444443</v>
      </c>
      <c r="I631" s="130" t="s">
        <v>557</v>
      </c>
      <c r="J631" s="130"/>
      <c r="K631" s="130"/>
    </row>
    <row r="632" spans="1:11" x14ac:dyDescent="0.25">
      <c r="B632" s="129" t="s">
        <v>573</v>
      </c>
      <c r="C632" s="130">
        <v>0.21041666666666667</v>
      </c>
      <c r="D632" s="130">
        <v>0.12638888888888888</v>
      </c>
      <c r="E632" s="130">
        <v>4.4444444444444446E-2</v>
      </c>
      <c r="F632" s="130" t="s">
        <v>164</v>
      </c>
      <c r="G632" s="130">
        <v>0.55000000000000004</v>
      </c>
      <c r="H632" s="130">
        <v>0.25138888888888888</v>
      </c>
      <c r="I632" s="130" t="s">
        <v>557</v>
      </c>
      <c r="J632" s="130"/>
      <c r="K632" s="130"/>
    </row>
    <row r="633" spans="1:11" x14ac:dyDescent="0.25">
      <c r="B633" s="129" t="s">
        <v>559</v>
      </c>
      <c r="C633" s="130">
        <v>0.25416666666666665</v>
      </c>
      <c r="D633" s="130">
        <v>0.37847222222222227</v>
      </c>
      <c r="E633" s="130">
        <v>0.13055555555555556</v>
      </c>
      <c r="F633" s="130">
        <v>0.16944444444444443</v>
      </c>
      <c r="G633" s="130">
        <f t="shared" ref="G633:G639" si="6">F633+E633+D633+C633</f>
        <v>0.93263888888888891</v>
      </c>
      <c r="H633" s="130">
        <v>0.16944444444444443</v>
      </c>
      <c r="I633" s="130" t="s">
        <v>558</v>
      </c>
      <c r="J633" s="130"/>
      <c r="K633" s="130"/>
    </row>
    <row r="634" spans="1:11" x14ac:dyDescent="0.25">
      <c r="B634" s="129" t="s">
        <v>566</v>
      </c>
      <c r="C634" s="130">
        <v>4.2361111111111106E-2</v>
      </c>
      <c r="D634" s="130">
        <v>0.12708333333333333</v>
      </c>
      <c r="E634" s="130">
        <v>4.3749999999999997E-2</v>
      </c>
      <c r="F634" s="130">
        <v>4.5138888888888888E-2</v>
      </c>
      <c r="G634" s="130">
        <f t="shared" si="6"/>
        <v>0.2583333333333333</v>
      </c>
      <c r="H634" s="130">
        <v>8.7499999999999994E-2</v>
      </c>
      <c r="I634" s="130" t="s">
        <v>558</v>
      </c>
      <c r="J634" s="130"/>
      <c r="K634" s="130"/>
    </row>
    <row r="635" spans="1:11" x14ac:dyDescent="0.25">
      <c r="B635" s="129" t="s">
        <v>563</v>
      </c>
      <c r="C635" s="130">
        <v>0.29166666666666669</v>
      </c>
      <c r="D635" s="130">
        <v>0.12916666666666668</v>
      </c>
      <c r="E635" s="130">
        <v>8.6111111111111124E-2</v>
      </c>
      <c r="F635" s="130">
        <v>8.7499999999999994E-2</v>
      </c>
      <c r="G635" s="130">
        <f t="shared" si="6"/>
        <v>0.59444444444444455</v>
      </c>
      <c r="H635" s="130">
        <v>8.7499999999999994E-2</v>
      </c>
      <c r="I635" s="130" t="s">
        <v>558</v>
      </c>
      <c r="J635" s="130"/>
      <c r="K635" s="130"/>
    </row>
    <row r="636" spans="1:11" x14ac:dyDescent="0.25">
      <c r="B636" s="129" t="s">
        <v>577</v>
      </c>
      <c r="C636" s="130">
        <v>0.33611111111111108</v>
      </c>
      <c r="D636" s="130">
        <v>0.12708333333333333</v>
      </c>
      <c r="E636" s="130">
        <v>0.12638888888888888</v>
      </c>
      <c r="F636" s="130">
        <v>8.7499999999999994E-2</v>
      </c>
      <c r="G636" s="130">
        <f t="shared" si="6"/>
        <v>0.67708333333333326</v>
      </c>
      <c r="H636" s="130">
        <v>0.21041666666666667</v>
      </c>
      <c r="I636" s="130" t="s">
        <v>557</v>
      </c>
      <c r="J636" s="130"/>
      <c r="K636" s="130"/>
    </row>
    <row r="637" spans="1:11" x14ac:dyDescent="0.25">
      <c r="B637" s="129" t="s">
        <v>620</v>
      </c>
      <c r="C637" s="130">
        <v>0.16805555555555554</v>
      </c>
      <c r="D637" s="130">
        <v>8.4027777777777771E-2</v>
      </c>
      <c r="E637" s="130">
        <v>8.6111111111111124E-2</v>
      </c>
      <c r="F637" s="130">
        <v>0.16875000000000001</v>
      </c>
      <c r="G637" s="130">
        <f t="shared" si="6"/>
        <v>0.50694444444444442</v>
      </c>
      <c r="H637" s="130">
        <v>0.25138888888888888</v>
      </c>
      <c r="I637" s="130" t="s">
        <v>557</v>
      </c>
      <c r="J637" s="130"/>
      <c r="K637" s="130"/>
    </row>
    <row r="638" spans="1:11" x14ac:dyDescent="0.25">
      <c r="B638" s="129" t="s">
        <v>637</v>
      </c>
      <c r="C638" s="130">
        <v>0.12708333333333333</v>
      </c>
      <c r="D638" s="130">
        <v>0.12847222222222224</v>
      </c>
      <c r="E638" s="130">
        <v>0.20972222222222223</v>
      </c>
      <c r="F638" s="130">
        <v>0.20902777777777778</v>
      </c>
      <c r="G638" s="130">
        <f t="shared" si="6"/>
        <v>0.6743055555555556</v>
      </c>
      <c r="H638" s="130">
        <v>0.21041666666666667</v>
      </c>
      <c r="I638" s="130" t="s">
        <v>557</v>
      </c>
      <c r="J638" s="130"/>
      <c r="K638" s="130"/>
    </row>
    <row r="639" spans="1:11" x14ac:dyDescent="0.25">
      <c r="B639" s="129" t="s">
        <v>656</v>
      </c>
      <c r="C639" s="130">
        <v>0.29236111111111113</v>
      </c>
      <c r="D639" s="130">
        <v>0.21111111111111111</v>
      </c>
      <c r="E639" s="130">
        <v>0.375</v>
      </c>
      <c r="F639" s="130">
        <v>8.6111111111111124E-2</v>
      </c>
      <c r="G639" s="130">
        <f t="shared" si="6"/>
        <v>0.96458333333333335</v>
      </c>
      <c r="H639" s="130">
        <v>0.25138888888888888</v>
      </c>
      <c r="I639" s="130" t="s">
        <v>557</v>
      </c>
      <c r="J639" s="130"/>
      <c r="K639" s="130"/>
    </row>
    <row r="640" spans="1:11" x14ac:dyDescent="0.25">
      <c r="C640" s="130"/>
      <c r="D640" s="130"/>
      <c r="E640" s="130"/>
      <c r="F640" s="130"/>
      <c r="G640" s="130"/>
      <c r="H640" s="130"/>
      <c r="I640" s="130"/>
      <c r="J640" s="130"/>
      <c r="K640" s="130"/>
    </row>
    <row r="641" spans="1:11" x14ac:dyDescent="0.25">
      <c r="A641" s="129" t="s">
        <v>579</v>
      </c>
      <c r="B641" s="130"/>
      <c r="C641" s="130" t="s">
        <v>339</v>
      </c>
      <c r="D641" s="130" t="s">
        <v>340</v>
      </c>
      <c r="E641" s="130" t="s">
        <v>341</v>
      </c>
      <c r="F641" s="130" t="s">
        <v>342</v>
      </c>
      <c r="G641" s="130" t="s">
        <v>580</v>
      </c>
      <c r="H641" s="130" t="s">
        <v>337</v>
      </c>
      <c r="J641" s="130"/>
      <c r="K641" s="130"/>
    </row>
    <row r="642" spans="1:11" x14ac:dyDescent="0.25">
      <c r="A642" s="129" t="s">
        <v>534</v>
      </c>
      <c r="B642" s="130" t="s">
        <v>578</v>
      </c>
      <c r="C642" s="130">
        <v>0.21111111111111111</v>
      </c>
      <c r="D642" s="130">
        <v>8.5416666666666655E-2</v>
      </c>
      <c r="E642" s="130">
        <v>4.4444444444444446E-2</v>
      </c>
      <c r="F642" s="130">
        <v>8.819444444444445E-2</v>
      </c>
      <c r="G642" s="130">
        <v>0.4291666666666667</v>
      </c>
      <c r="H642" s="130">
        <v>4.3749999999999997E-2</v>
      </c>
      <c r="J642" s="130"/>
      <c r="K642" s="130"/>
    </row>
    <row r="643" spans="1:11" x14ac:dyDescent="0.25">
      <c r="C643" s="130"/>
      <c r="D643" s="130"/>
      <c r="E643" s="130"/>
      <c r="F643" s="130"/>
      <c r="G643" s="130"/>
      <c r="H643" s="130"/>
      <c r="I643" s="130"/>
      <c r="J643" s="130"/>
      <c r="K643" s="130"/>
    </row>
    <row r="644" spans="1:11" x14ac:dyDescent="0.25">
      <c r="F644" s="130"/>
      <c r="G644" s="130"/>
      <c r="H644" s="130"/>
      <c r="I644" s="130"/>
    </row>
    <row r="645" spans="1:11" x14ac:dyDescent="0.25">
      <c r="A645" s="134" t="s">
        <v>657</v>
      </c>
      <c r="C645" s="130"/>
      <c r="D645" s="130"/>
      <c r="E645" s="130"/>
      <c r="F645" s="130"/>
      <c r="G645" s="130"/>
      <c r="H645" s="130"/>
      <c r="I645" s="130"/>
      <c r="J645" s="130"/>
      <c r="K645" s="130"/>
    </row>
    <row r="646" spans="1:11" x14ac:dyDescent="0.25">
      <c r="C646" s="130"/>
      <c r="D646" s="130"/>
      <c r="E646" s="130"/>
      <c r="F646" s="130"/>
      <c r="G646" s="130"/>
      <c r="H646" s="130"/>
      <c r="I646" s="130"/>
      <c r="J646" s="130"/>
      <c r="K646" s="130"/>
    </row>
    <row r="647" spans="1:11" x14ac:dyDescent="0.25">
      <c r="C647" s="130"/>
      <c r="D647" s="130"/>
      <c r="E647" s="130"/>
      <c r="F647" s="130"/>
      <c r="G647" s="130"/>
      <c r="H647" s="130"/>
      <c r="I647" s="130"/>
      <c r="J647" s="130"/>
      <c r="K647" s="130"/>
    </row>
    <row r="648" spans="1:11" x14ac:dyDescent="0.25">
      <c r="A648" s="129" t="s">
        <v>658</v>
      </c>
      <c r="J648" s="130"/>
      <c r="K648" s="130"/>
    </row>
    <row r="649" spans="1:11" x14ac:dyDescent="0.25">
      <c r="A649" s="129" t="s">
        <v>640</v>
      </c>
      <c r="B649" s="129" t="s">
        <v>659</v>
      </c>
      <c r="D649" s="134" t="s">
        <v>654</v>
      </c>
      <c r="E649" s="134"/>
      <c r="J649" s="130"/>
      <c r="K649" s="130"/>
    </row>
    <row r="650" spans="1:11" x14ac:dyDescent="0.25">
      <c r="B650" s="129" t="s">
        <v>549</v>
      </c>
      <c r="C650" s="129" t="s">
        <v>550</v>
      </c>
      <c r="D650" s="129" t="s">
        <v>551</v>
      </c>
      <c r="E650" s="129" t="s">
        <v>552</v>
      </c>
      <c r="F650" s="129" t="s">
        <v>553</v>
      </c>
      <c r="G650" s="129" t="s">
        <v>554</v>
      </c>
      <c r="H650" s="129" t="s">
        <v>555</v>
      </c>
      <c r="I650" s="129" t="s">
        <v>556</v>
      </c>
      <c r="J650" s="130"/>
      <c r="K650" s="130"/>
    </row>
    <row r="651" spans="1:11" x14ac:dyDescent="0.25">
      <c r="B651" s="129" t="s">
        <v>573</v>
      </c>
      <c r="C651" s="130">
        <v>0.12638888888888888</v>
      </c>
      <c r="D651" s="130"/>
      <c r="E651" s="130">
        <v>0.21180555555555555</v>
      </c>
      <c r="F651" s="130"/>
      <c r="G651" s="130">
        <f>F651+E651+D651+C651</f>
        <v>0.33819444444444446</v>
      </c>
      <c r="H651" s="130">
        <v>0.12569444444444444</v>
      </c>
      <c r="I651" s="130" t="s">
        <v>557</v>
      </c>
      <c r="J651" s="130"/>
      <c r="K651" s="130"/>
    </row>
    <row r="652" spans="1:11" x14ac:dyDescent="0.25">
      <c r="B652" s="129" t="s">
        <v>566</v>
      </c>
      <c r="C652" s="130">
        <v>0.12638888888888888</v>
      </c>
      <c r="D652" s="130"/>
      <c r="E652" s="130">
        <v>0.16875000000000001</v>
      </c>
      <c r="F652" s="130"/>
      <c r="G652" s="130">
        <f>F652+E652+D652+C652</f>
        <v>0.2951388888888889</v>
      </c>
      <c r="H652" s="130">
        <v>0.16666666666666666</v>
      </c>
      <c r="I652" s="130" t="s">
        <v>557</v>
      </c>
      <c r="J652" s="130"/>
      <c r="K652" s="130"/>
    </row>
    <row r="653" spans="1:11" x14ac:dyDescent="0.25">
      <c r="B653" s="129" t="s">
        <v>660</v>
      </c>
      <c r="C653" s="130">
        <v>0.29305555555555557</v>
      </c>
      <c r="D653" s="130">
        <v>0.37708333333333338</v>
      </c>
      <c r="E653" s="130">
        <v>0.29305555555555557</v>
      </c>
      <c r="F653" s="130">
        <v>8.5416666666666655E-2</v>
      </c>
      <c r="G653" s="132">
        <v>1.0486111111111112</v>
      </c>
      <c r="H653" s="130">
        <v>0.25138888888888888</v>
      </c>
      <c r="I653" s="130" t="s">
        <v>557</v>
      </c>
      <c r="J653" s="130"/>
      <c r="K653" s="130"/>
    </row>
    <row r="654" spans="1:11" x14ac:dyDescent="0.25">
      <c r="B654" s="129" t="s">
        <v>578</v>
      </c>
      <c r="C654" s="130">
        <v>0.37847222222222227</v>
      </c>
      <c r="D654" s="130">
        <v>0.12569444444444444</v>
      </c>
      <c r="E654" s="130">
        <v>0.16875000000000001</v>
      </c>
      <c r="F654" s="130">
        <v>8.6111111111111124E-2</v>
      </c>
      <c r="G654" s="130">
        <f t="shared" ref="G654:G659" si="7">F654+E654+D654+C654</f>
        <v>0.75902777777777786</v>
      </c>
      <c r="H654" s="130">
        <v>0.25138888888888888</v>
      </c>
      <c r="I654" s="130" t="s">
        <v>557</v>
      </c>
      <c r="J654" s="130"/>
      <c r="K654" s="130"/>
    </row>
    <row r="655" spans="1:11" x14ac:dyDescent="0.25">
      <c r="B655" s="129" t="s">
        <v>661</v>
      </c>
      <c r="C655" s="130">
        <v>0.12569444444444444</v>
      </c>
      <c r="D655" s="130"/>
      <c r="E655" s="130">
        <v>8.5416666666666655E-2</v>
      </c>
      <c r="F655" s="130"/>
      <c r="G655" s="130">
        <f t="shared" si="7"/>
        <v>0.21111111111111108</v>
      </c>
      <c r="H655" s="130">
        <v>8.4722222222222213E-2</v>
      </c>
      <c r="I655" s="130" t="s">
        <v>557</v>
      </c>
      <c r="J655" s="130"/>
      <c r="K655" s="130"/>
    </row>
    <row r="656" spans="1:11" x14ac:dyDescent="0.25">
      <c r="B656" s="129" t="s">
        <v>563</v>
      </c>
      <c r="C656" s="130">
        <v>0.25138888888888888</v>
      </c>
      <c r="D656" s="130"/>
      <c r="E656" s="130">
        <v>0.12638888888888888</v>
      </c>
      <c r="F656" s="130"/>
      <c r="G656" s="130">
        <f t="shared" si="7"/>
        <v>0.37777777777777777</v>
      </c>
      <c r="H656" s="130">
        <v>0.16666666666666666</v>
      </c>
      <c r="I656" s="130" t="s">
        <v>557</v>
      </c>
      <c r="J656" s="130"/>
      <c r="K656" s="130"/>
    </row>
    <row r="657" spans="1:11" x14ac:dyDescent="0.25">
      <c r="B657" s="129" t="s">
        <v>565</v>
      </c>
      <c r="C657" s="130">
        <v>0.16944444444444443</v>
      </c>
      <c r="D657" s="130"/>
      <c r="E657" s="130">
        <v>8.5416666666666655E-2</v>
      </c>
      <c r="F657" s="130"/>
      <c r="G657" s="130">
        <f t="shared" si="7"/>
        <v>0.25486111111111109</v>
      </c>
      <c r="H657" s="130">
        <v>4.3749999999999997E-2</v>
      </c>
      <c r="I657" s="130" t="s">
        <v>558</v>
      </c>
      <c r="J657" s="130"/>
      <c r="K657" s="130"/>
    </row>
    <row r="658" spans="1:11" x14ac:dyDescent="0.25">
      <c r="B658" s="129" t="s">
        <v>559</v>
      </c>
      <c r="C658" s="130">
        <v>0.21180555555555555</v>
      </c>
      <c r="D658" s="130">
        <v>0.33750000000000002</v>
      </c>
      <c r="E658" s="130">
        <v>8.6805555555555566E-2</v>
      </c>
      <c r="F658" s="130">
        <v>0.1673611111111111</v>
      </c>
      <c r="G658" s="130">
        <f t="shared" si="7"/>
        <v>0.80347222222222225</v>
      </c>
      <c r="H658" s="130">
        <v>0.21041666666666667</v>
      </c>
      <c r="I658" s="130" t="s">
        <v>557</v>
      </c>
      <c r="J658" s="130"/>
      <c r="K658" s="130"/>
    </row>
    <row r="659" spans="1:11" x14ac:dyDescent="0.25">
      <c r="B659" s="129" t="s">
        <v>620</v>
      </c>
      <c r="C659" s="130">
        <v>0.16805555555555554</v>
      </c>
      <c r="D659" s="130">
        <v>0.29444444444444445</v>
      </c>
      <c r="E659" s="130">
        <v>2.0833333333333333E-3</v>
      </c>
      <c r="F659" s="130">
        <v>0.12569444444444444</v>
      </c>
      <c r="G659" s="130">
        <f t="shared" si="7"/>
        <v>0.59027777777777779</v>
      </c>
      <c r="H659" s="130">
        <v>0.16944444444444443</v>
      </c>
      <c r="I659" s="130" t="s">
        <v>557</v>
      </c>
      <c r="J659" s="130"/>
      <c r="K659" s="130"/>
    </row>
    <row r="660" spans="1:11" x14ac:dyDescent="0.25">
      <c r="B660" s="129" t="s">
        <v>648</v>
      </c>
      <c r="C660" s="130" t="s">
        <v>358</v>
      </c>
      <c r="D660" s="130">
        <v>0.25138888888888888</v>
      </c>
      <c r="E660" s="130">
        <v>0.20902777777777778</v>
      </c>
      <c r="F660" s="130">
        <v>4.3749999999999997E-2</v>
      </c>
      <c r="G660" s="130">
        <v>0.75763888888888886</v>
      </c>
      <c r="H660" s="130">
        <v>0.25138888888888888</v>
      </c>
      <c r="I660" s="130" t="s">
        <v>557</v>
      </c>
      <c r="J660" s="130"/>
      <c r="K660" s="130"/>
    </row>
    <row r="661" spans="1:11" x14ac:dyDescent="0.25">
      <c r="B661" s="129" t="s">
        <v>662</v>
      </c>
      <c r="C661" s="130">
        <v>0.1277777777777778</v>
      </c>
      <c r="D661" s="130"/>
      <c r="E661" s="130">
        <v>8.7499999999999994E-2</v>
      </c>
      <c r="F661" s="130"/>
      <c r="G661" s="130">
        <f>F661+E661+D661+C661</f>
        <v>0.21527777777777779</v>
      </c>
      <c r="H661" s="130">
        <v>2.7777777777777779E-3</v>
      </c>
      <c r="I661" s="130" t="s">
        <v>558</v>
      </c>
      <c r="J661" s="130"/>
      <c r="K661" s="130"/>
    </row>
    <row r="662" spans="1:11" x14ac:dyDescent="0.25">
      <c r="B662" s="129" t="s">
        <v>663</v>
      </c>
      <c r="C662" s="130">
        <v>8.6111111111111124E-2</v>
      </c>
      <c r="D662" s="130">
        <v>0.4201388888888889</v>
      </c>
      <c r="E662" s="130" t="s">
        <v>359</v>
      </c>
      <c r="F662" s="130">
        <v>0.1673611111111111</v>
      </c>
      <c r="G662" s="130">
        <v>0.84375</v>
      </c>
      <c r="H662" s="130">
        <v>0.16944444444444443</v>
      </c>
      <c r="I662" s="130" t="s">
        <v>557</v>
      </c>
      <c r="J662" s="130"/>
      <c r="K662" s="130"/>
    </row>
    <row r="663" spans="1:11" x14ac:dyDescent="0.25">
      <c r="B663" s="129" t="s">
        <v>577</v>
      </c>
      <c r="C663" s="130">
        <v>0.16666666666666666</v>
      </c>
      <c r="D663" s="130">
        <v>0.20833333333333334</v>
      </c>
      <c r="E663" s="130">
        <v>0.16875000000000001</v>
      </c>
      <c r="F663" s="130">
        <v>4.8611111111111112E-2</v>
      </c>
      <c r="G663" s="130">
        <f>F663+E663+D663+C663</f>
        <v>0.59236111111111112</v>
      </c>
      <c r="H663" s="130">
        <v>0.25138888888888888</v>
      </c>
      <c r="I663" s="130" t="s">
        <v>557</v>
      </c>
      <c r="J663" s="130"/>
      <c r="K663" s="130"/>
    </row>
    <row r="664" spans="1:11" x14ac:dyDescent="0.25">
      <c r="C664" s="130"/>
      <c r="D664" s="130"/>
      <c r="E664" s="130"/>
      <c r="F664" s="130"/>
      <c r="G664" s="130"/>
      <c r="H664" s="130"/>
      <c r="I664" s="130"/>
      <c r="J664" s="130"/>
      <c r="K664" s="130"/>
    </row>
    <row r="665" spans="1:11" x14ac:dyDescent="0.25">
      <c r="A665" s="129" t="s">
        <v>579</v>
      </c>
      <c r="C665" s="130" t="s">
        <v>339</v>
      </c>
      <c r="D665" s="130" t="s">
        <v>340</v>
      </c>
      <c r="E665" s="130" t="s">
        <v>341</v>
      </c>
      <c r="F665" s="130" t="s">
        <v>342</v>
      </c>
      <c r="G665" s="130" t="s">
        <v>343</v>
      </c>
      <c r="H665" s="130" t="s">
        <v>580</v>
      </c>
      <c r="I665" s="130" t="s">
        <v>337</v>
      </c>
      <c r="J665" s="130"/>
      <c r="K665" s="130"/>
    </row>
    <row r="666" spans="1:11" x14ac:dyDescent="0.25">
      <c r="A666" s="129" t="s">
        <v>534</v>
      </c>
      <c r="B666" s="130" t="s">
        <v>565</v>
      </c>
      <c r="C666" s="130" t="s">
        <v>351</v>
      </c>
      <c r="D666" s="130">
        <v>0.25208333333333333</v>
      </c>
      <c r="E666" s="130">
        <v>0.16666666666666666</v>
      </c>
      <c r="F666" s="130"/>
      <c r="G666" s="130"/>
      <c r="H666" s="130">
        <v>0.54513888888888895</v>
      </c>
      <c r="I666" s="130">
        <v>0.125</v>
      </c>
      <c r="J666" s="130"/>
      <c r="K666" s="130"/>
    </row>
    <row r="667" spans="1:11" x14ac:dyDescent="0.25">
      <c r="A667" s="129" t="s">
        <v>535</v>
      </c>
      <c r="B667" s="129" t="s">
        <v>566</v>
      </c>
      <c r="C667" s="130">
        <v>8.7499999999999994E-2</v>
      </c>
      <c r="D667" s="130">
        <v>8.819444444444445E-2</v>
      </c>
      <c r="E667" s="130" t="s">
        <v>360</v>
      </c>
      <c r="F667" s="130" t="s">
        <v>162</v>
      </c>
      <c r="G667" s="130">
        <v>8.5416666666666655E-2</v>
      </c>
      <c r="H667" s="157">
        <v>0.81041666666666667</v>
      </c>
      <c r="I667" s="130">
        <v>8.5416666666666655E-2</v>
      </c>
      <c r="J667" s="130"/>
      <c r="K667" s="130"/>
    </row>
    <row r="668" spans="1:11" x14ac:dyDescent="0.25">
      <c r="A668" s="129" t="s">
        <v>664</v>
      </c>
      <c r="B668" s="129" t="s">
        <v>660</v>
      </c>
      <c r="C668" s="130">
        <v>0.1277777777777778</v>
      </c>
      <c r="D668" s="130">
        <v>0.16875000000000001</v>
      </c>
      <c r="E668" s="130">
        <v>0.1277777777777778</v>
      </c>
      <c r="F668" s="130"/>
      <c r="G668" s="130"/>
      <c r="H668" s="157">
        <v>0.42430555555555555</v>
      </c>
      <c r="I668" s="130">
        <v>4.3055555555555562E-2</v>
      </c>
      <c r="J668" s="130"/>
      <c r="K668" s="130"/>
    </row>
    <row r="669" spans="1:11" x14ac:dyDescent="0.25">
      <c r="C669" s="130"/>
      <c r="D669" s="130"/>
      <c r="E669" s="130"/>
      <c r="F669" s="130"/>
      <c r="G669" s="130"/>
      <c r="H669" s="130"/>
      <c r="I669" s="130"/>
      <c r="J669" s="130"/>
      <c r="K669" s="130"/>
    </row>
    <row r="670" spans="1:11" x14ac:dyDescent="0.25">
      <c r="J670" s="130"/>
      <c r="K670" s="130"/>
    </row>
    <row r="671" spans="1:11" x14ac:dyDescent="0.25">
      <c r="A671" s="129" t="s">
        <v>665</v>
      </c>
      <c r="J671" s="130"/>
      <c r="K671" s="130"/>
    </row>
    <row r="672" spans="1:11" x14ac:dyDescent="0.25">
      <c r="A672" s="129" t="s">
        <v>666</v>
      </c>
      <c r="B672" s="129" t="s">
        <v>667</v>
      </c>
      <c r="E672" s="134" t="s">
        <v>654</v>
      </c>
      <c r="J672" s="130"/>
      <c r="K672" s="130"/>
    </row>
    <row r="673" spans="1:11" x14ac:dyDescent="0.25">
      <c r="B673" s="129" t="s">
        <v>549</v>
      </c>
      <c r="C673" s="129" t="s">
        <v>550</v>
      </c>
      <c r="D673" s="129" t="s">
        <v>551</v>
      </c>
      <c r="E673" s="129" t="s">
        <v>552</v>
      </c>
      <c r="F673" s="129" t="s">
        <v>553</v>
      </c>
      <c r="G673" s="129" t="s">
        <v>554</v>
      </c>
      <c r="H673" s="129" t="s">
        <v>555</v>
      </c>
      <c r="I673" s="129" t="s">
        <v>556</v>
      </c>
      <c r="J673" s="130"/>
      <c r="K673" s="130"/>
    </row>
    <row r="674" spans="1:11" x14ac:dyDescent="0.25">
      <c r="B674" s="129" t="s">
        <v>660</v>
      </c>
      <c r="C674" s="130" t="s">
        <v>589</v>
      </c>
      <c r="D674" s="130"/>
      <c r="E674" s="130" t="s">
        <v>668</v>
      </c>
      <c r="F674" s="130"/>
      <c r="G674" s="130">
        <v>0.38263888888888892</v>
      </c>
      <c r="H674" s="130">
        <v>2.7777777777777779E-3</v>
      </c>
      <c r="I674" s="130" t="s">
        <v>558</v>
      </c>
      <c r="J674" s="130"/>
      <c r="K674" s="130"/>
    </row>
    <row r="675" spans="1:11" x14ac:dyDescent="0.25">
      <c r="B675" s="129" t="s">
        <v>577</v>
      </c>
      <c r="C675" s="130">
        <v>0.16875000000000001</v>
      </c>
      <c r="D675" s="130">
        <v>0.16875000000000001</v>
      </c>
      <c r="E675" s="130">
        <v>0.1277777777777778</v>
      </c>
      <c r="F675" s="130">
        <v>8.6805555555555566E-2</v>
      </c>
      <c r="G675" s="130">
        <f>F675+E675+D675+C675</f>
        <v>0.55208333333333337</v>
      </c>
      <c r="H675" s="130">
        <v>0.16944444444444443</v>
      </c>
      <c r="I675" s="130" t="s">
        <v>558</v>
      </c>
      <c r="J675" s="130"/>
      <c r="K675" s="130"/>
    </row>
    <row r="676" spans="1:11" x14ac:dyDescent="0.25">
      <c r="B676" s="129" t="s">
        <v>566</v>
      </c>
      <c r="C676" s="130">
        <v>8.6111111111111124E-2</v>
      </c>
      <c r="D676" s="130"/>
      <c r="E676" s="130">
        <v>0.33680555555555558</v>
      </c>
      <c r="F676" s="130"/>
      <c r="G676" s="130">
        <f>F676+E676+D676+C676</f>
        <v>0.42291666666666672</v>
      </c>
      <c r="H676" s="130">
        <v>8.4722222222222213E-2</v>
      </c>
      <c r="I676" s="130" t="s">
        <v>557</v>
      </c>
      <c r="J676" s="130"/>
      <c r="K676" s="130"/>
    </row>
    <row r="677" spans="1:11" x14ac:dyDescent="0.25">
      <c r="B677" s="129" t="s">
        <v>620</v>
      </c>
      <c r="C677" s="130" t="s">
        <v>171</v>
      </c>
      <c r="D677" s="130">
        <v>0.16805555555555554</v>
      </c>
      <c r="E677" s="130">
        <v>0.12916666666666668</v>
      </c>
      <c r="F677" s="130">
        <v>8.6805555555555566E-2</v>
      </c>
      <c r="G677" s="130">
        <v>0.4694444444444445</v>
      </c>
      <c r="H677" s="130">
        <v>8.7499999999999994E-2</v>
      </c>
      <c r="I677" s="130" t="s">
        <v>558</v>
      </c>
      <c r="J677" s="130"/>
      <c r="K677" s="130"/>
    </row>
    <row r="678" spans="1:11" x14ac:dyDescent="0.25">
      <c r="B678" s="129" t="s">
        <v>578</v>
      </c>
      <c r="C678" s="130">
        <v>3.472222222222222E-3</v>
      </c>
      <c r="D678" s="130">
        <v>0.25</v>
      </c>
      <c r="E678" s="130">
        <v>0.29652777777777778</v>
      </c>
      <c r="F678" s="130">
        <v>0.29305555555555557</v>
      </c>
      <c r="G678" s="130">
        <f t="shared" ref="G678:G686" si="8">F678+E678+D678+C678</f>
        <v>0.84305555555555556</v>
      </c>
      <c r="H678" s="130">
        <v>0.21041666666666667</v>
      </c>
      <c r="I678" s="130" t="s">
        <v>557</v>
      </c>
      <c r="J678" s="130"/>
      <c r="K678" s="130"/>
    </row>
    <row r="679" spans="1:11" x14ac:dyDescent="0.25">
      <c r="B679" s="129" t="s">
        <v>573</v>
      </c>
      <c r="C679" s="130">
        <v>0.16944444444444443</v>
      </c>
      <c r="D679" s="130">
        <v>0.29375000000000001</v>
      </c>
      <c r="E679" s="130">
        <v>0.17013888888888887</v>
      </c>
      <c r="F679" s="130">
        <v>0.13194444444444445</v>
      </c>
      <c r="G679" s="130">
        <f t="shared" si="8"/>
        <v>0.76527777777777772</v>
      </c>
      <c r="H679" s="130">
        <v>0.12847222222222224</v>
      </c>
      <c r="I679" s="130" t="s">
        <v>558</v>
      </c>
      <c r="J679" s="130"/>
      <c r="K679" s="130"/>
    </row>
    <row r="680" spans="1:11" x14ac:dyDescent="0.25">
      <c r="B680" s="129" t="s">
        <v>661</v>
      </c>
      <c r="C680" s="130">
        <v>0.12638888888888888</v>
      </c>
      <c r="D680" s="130"/>
      <c r="E680" s="130">
        <v>0.12986111111111112</v>
      </c>
      <c r="F680" s="130"/>
      <c r="G680" s="130">
        <f t="shared" si="8"/>
        <v>0.25624999999999998</v>
      </c>
      <c r="H680" s="130">
        <v>8.4722222222222213E-2</v>
      </c>
      <c r="I680" s="130" t="s">
        <v>558</v>
      </c>
      <c r="J680" s="130"/>
      <c r="K680" s="130"/>
    </row>
    <row r="681" spans="1:11" x14ac:dyDescent="0.25">
      <c r="B681" s="129" t="s">
        <v>565</v>
      </c>
      <c r="C681" s="130">
        <v>0.20902777777777778</v>
      </c>
      <c r="D681" s="130">
        <v>0.29305555555555557</v>
      </c>
      <c r="E681" s="130">
        <v>0.16944444444444443</v>
      </c>
      <c r="F681" s="130">
        <v>0.21180555555555555</v>
      </c>
      <c r="G681" s="130">
        <f t="shared" si="8"/>
        <v>0.8833333333333333</v>
      </c>
      <c r="H681" s="130">
        <v>0.25138888888888888</v>
      </c>
      <c r="I681" s="130" t="s">
        <v>557</v>
      </c>
      <c r="J681" s="130"/>
      <c r="K681" s="130"/>
    </row>
    <row r="682" spans="1:11" x14ac:dyDescent="0.25">
      <c r="B682" s="129" t="s">
        <v>563</v>
      </c>
      <c r="C682" s="130">
        <v>4.1666666666666664E-2</v>
      </c>
      <c r="D682" s="130"/>
      <c r="E682" s="130">
        <v>0.25138888888888888</v>
      </c>
      <c r="F682" s="130"/>
      <c r="G682" s="130">
        <f t="shared" si="8"/>
        <v>0.29305555555555557</v>
      </c>
      <c r="H682" s="130">
        <v>0.16666666666666666</v>
      </c>
      <c r="I682" s="130" t="s">
        <v>557</v>
      </c>
      <c r="J682" s="130"/>
      <c r="K682" s="130"/>
    </row>
    <row r="683" spans="1:11" x14ac:dyDescent="0.25">
      <c r="B683" s="129" t="s">
        <v>648</v>
      </c>
      <c r="C683" s="130">
        <v>0.29236111111111113</v>
      </c>
      <c r="D683" s="130"/>
      <c r="E683" s="130">
        <v>0.21111111111111111</v>
      </c>
      <c r="F683" s="130"/>
      <c r="G683" s="130">
        <f t="shared" si="8"/>
        <v>0.50347222222222221</v>
      </c>
      <c r="H683" s="130">
        <v>0.16666666666666666</v>
      </c>
      <c r="I683" s="130" t="s">
        <v>557</v>
      </c>
      <c r="J683" s="130"/>
      <c r="K683" s="130"/>
    </row>
    <row r="684" spans="1:11" x14ac:dyDescent="0.25">
      <c r="B684" s="129" t="s">
        <v>663</v>
      </c>
      <c r="C684" s="130">
        <v>0.16805555555555554</v>
      </c>
      <c r="D684" s="130"/>
      <c r="E684" s="130">
        <v>0.21180555555555555</v>
      </c>
      <c r="F684" s="130"/>
      <c r="G684" s="130">
        <f t="shared" si="8"/>
        <v>0.37986111111111109</v>
      </c>
      <c r="H684" s="130">
        <v>0.12569444444444444</v>
      </c>
      <c r="I684" s="130" t="s">
        <v>557</v>
      </c>
      <c r="J684" s="130"/>
      <c r="K684" s="130"/>
    </row>
    <row r="685" spans="1:11" x14ac:dyDescent="0.25">
      <c r="B685" s="129" t="s">
        <v>662</v>
      </c>
      <c r="C685" s="130">
        <v>0.37638888888888888</v>
      </c>
      <c r="D685" s="130"/>
      <c r="E685" s="130">
        <v>0.1673611111111111</v>
      </c>
      <c r="F685" s="130"/>
      <c r="G685" s="130">
        <f t="shared" si="8"/>
        <v>0.54374999999999996</v>
      </c>
      <c r="H685" s="130">
        <v>0.16666666666666666</v>
      </c>
      <c r="I685" s="130" t="s">
        <v>557</v>
      </c>
      <c r="J685" s="130"/>
      <c r="K685" s="130"/>
    </row>
    <row r="686" spans="1:11" x14ac:dyDescent="0.25">
      <c r="B686" s="129" t="s">
        <v>651</v>
      </c>
      <c r="C686" s="130">
        <v>0.16805555555555554</v>
      </c>
      <c r="D686" s="130">
        <v>0.21041666666666667</v>
      </c>
      <c r="E686" s="130">
        <v>0.16944444444444443</v>
      </c>
      <c r="F686" s="130">
        <v>0.16944444444444443</v>
      </c>
      <c r="G686" s="130">
        <f t="shared" si="8"/>
        <v>0.71736111111111101</v>
      </c>
      <c r="H686" s="130">
        <v>0.25138888888888888</v>
      </c>
      <c r="I686" s="130" t="s">
        <v>557</v>
      </c>
      <c r="J686" s="130"/>
      <c r="K686" s="130"/>
    </row>
    <row r="687" spans="1:11" x14ac:dyDescent="0.25">
      <c r="C687" s="130"/>
      <c r="D687" s="130"/>
      <c r="E687" s="130"/>
      <c r="F687" s="130"/>
      <c r="G687" s="130"/>
      <c r="H687" s="130"/>
      <c r="I687" s="130"/>
      <c r="J687" s="130"/>
      <c r="K687" s="130"/>
    </row>
    <row r="688" spans="1:11" x14ac:dyDescent="0.25">
      <c r="A688" s="129" t="s">
        <v>579</v>
      </c>
      <c r="C688" s="130" t="s">
        <v>339</v>
      </c>
      <c r="D688" s="130" t="s">
        <v>340</v>
      </c>
      <c r="E688" s="130" t="s">
        <v>341</v>
      </c>
      <c r="F688" s="130" t="s">
        <v>342</v>
      </c>
      <c r="G688" s="130" t="s">
        <v>580</v>
      </c>
      <c r="H688" s="130" t="s">
        <v>337</v>
      </c>
      <c r="J688" s="130"/>
      <c r="K688" s="130"/>
    </row>
    <row r="689" spans="1:11" x14ac:dyDescent="0.25">
      <c r="A689" s="129" t="s">
        <v>534</v>
      </c>
      <c r="B689" s="130" t="s">
        <v>661</v>
      </c>
      <c r="C689" s="130">
        <v>0.29236111111111113</v>
      </c>
      <c r="D689" s="130">
        <v>0.29305555555555557</v>
      </c>
      <c r="E689" s="130">
        <v>0.21111111111111111</v>
      </c>
      <c r="F689" s="130"/>
      <c r="G689" s="130">
        <v>0.79652777777777783</v>
      </c>
      <c r="H689" s="130">
        <v>0.125</v>
      </c>
      <c r="I689" s="130"/>
      <c r="J689" s="130"/>
      <c r="K689" s="130"/>
    </row>
    <row r="690" spans="1:11" x14ac:dyDescent="0.25">
      <c r="A690" s="129" t="s">
        <v>535</v>
      </c>
      <c r="B690" s="129" t="s">
        <v>660</v>
      </c>
      <c r="C690" s="130">
        <v>0.21041666666666667</v>
      </c>
      <c r="D690" s="130">
        <v>4.3749999999999997E-2</v>
      </c>
      <c r="E690" s="130" t="s">
        <v>359</v>
      </c>
      <c r="F690" s="130">
        <v>0.21249999999999999</v>
      </c>
      <c r="G690" s="130">
        <v>0.63680555555555551</v>
      </c>
      <c r="H690" s="130">
        <v>4.3749999999999997E-2</v>
      </c>
      <c r="I690" s="130"/>
      <c r="J690" s="130"/>
      <c r="K690" s="130"/>
    </row>
    <row r="691" spans="1:11" x14ac:dyDescent="0.25">
      <c r="A691" s="129" t="s">
        <v>664</v>
      </c>
      <c r="B691" s="129" t="s">
        <v>566</v>
      </c>
      <c r="C691" s="130">
        <v>0.16805555555555554</v>
      </c>
      <c r="D691" s="130">
        <v>0.50347222222222221</v>
      </c>
      <c r="E691" s="130"/>
      <c r="F691" s="130"/>
      <c r="G691" s="130">
        <v>0.67152777777777783</v>
      </c>
      <c r="H691" s="130">
        <v>8.3333333333333329E-2</v>
      </c>
      <c r="I691" s="130"/>
      <c r="J691" s="130"/>
      <c r="K691" s="130"/>
    </row>
    <row r="692" spans="1:11" x14ac:dyDescent="0.25">
      <c r="C692" s="130"/>
      <c r="D692" s="130"/>
      <c r="E692" s="130"/>
      <c r="F692" s="130"/>
      <c r="G692" s="130"/>
      <c r="H692" s="130"/>
      <c r="I692" s="130"/>
      <c r="J692" s="130"/>
      <c r="K692" s="130"/>
    </row>
    <row r="693" spans="1:11" x14ac:dyDescent="0.25">
      <c r="A693" s="129" t="s">
        <v>669</v>
      </c>
      <c r="J693" s="130"/>
      <c r="K693" s="130"/>
    </row>
    <row r="694" spans="1:11" x14ac:dyDescent="0.25">
      <c r="A694" s="129" t="s">
        <v>650</v>
      </c>
      <c r="B694" s="129" t="s">
        <v>546</v>
      </c>
      <c r="J694" s="130"/>
      <c r="K694" s="130"/>
    </row>
    <row r="695" spans="1:11" x14ac:dyDescent="0.25">
      <c r="B695" s="129" t="s">
        <v>549</v>
      </c>
      <c r="C695" s="129" t="s">
        <v>550</v>
      </c>
      <c r="D695" s="129" t="s">
        <v>551</v>
      </c>
      <c r="E695" s="129" t="s">
        <v>552</v>
      </c>
      <c r="F695" s="129" t="s">
        <v>553</v>
      </c>
      <c r="G695" s="129" t="s">
        <v>554</v>
      </c>
      <c r="H695" s="129" t="s">
        <v>555</v>
      </c>
      <c r="I695" s="129" t="s">
        <v>556</v>
      </c>
      <c r="J695" s="130"/>
      <c r="K695" s="130"/>
    </row>
    <row r="696" spans="1:11" x14ac:dyDescent="0.25">
      <c r="B696" s="129" t="s">
        <v>620</v>
      </c>
      <c r="C696" s="130">
        <v>0.1673611111111111</v>
      </c>
      <c r="D696" s="130">
        <v>4.8611111111111112E-3</v>
      </c>
      <c r="E696" s="130">
        <v>8.4722222222222213E-2</v>
      </c>
      <c r="F696" s="130">
        <v>8.6805555555555566E-2</v>
      </c>
      <c r="G696" s="130">
        <v>0.38263888888888892</v>
      </c>
      <c r="H696" s="130">
        <v>0.12847222222222224</v>
      </c>
      <c r="I696" s="130" t="s">
        <v>558</v>
      </c>
      <c r="J696" s="130"/>
      <c r="K696" s="130"/>
    </row>
    <row r="697" spans="1:11" x14ac:dyDescent="0.25">
      <c r="B697" s="129" t="s">
        <v>660</v>
      </c>
      <c r="C697" s="130">
        <v>8.4027777777777771E-2</v>
      </c>
      <c r="D697" s="130">
        <v>0.21319444444444444</v>
      </c>
      <c r="E697" s="130">
        <v>0.1277777777777778</v>
      </c>
      <c r="F697" s="130">
        <v>0.20902777777777778</v>
      </c>
      <c r="G697" s="130">
        <f>F697+E697+D697+C697</f>
        <v>0.63402777777777786</v>
      </c>
      <c r="H697" s="130">
        <v>0.16944444444444443</v>
      </c>
      <c r="I697" s="130" t="s">
        <v>557</v>
      </c>
      <c r="J697" s="130"/>
      <c r="K697" s="130"/>
    </row>
    <row r="698" spans="1:11" x14ac:dyDescent="0.25">
      <c r="B698" s="129" t="s">
        <v>661</v>
      </c>
      <c r="C698" s="130">
        <v>0.16666666666666666</v>
      </c>
      <c r="D698" s="130">
        <v>0.12569444444444444</v>
      </c>
      <c r="E698" s="130">
        <v>0.12847222222222224</v>
      </c>
      <c r="F698" s="130">
        <v>8.6111111111111124E-2</v>
      </c>
      <c r="G698" s="130">
        <f>F698+E698+D698+C698</f>
        <v>0.50694444444444442</v>
      </c>
      <c r="H698" s="130">
        <v>0.16944444444444443</v>
      </c>
      <c r="I698" s="130" t="s">
        <v>557</v>
      </c>
      <c r="J698" s="130"/>
      <c r="K698" s="130"/>
    </row>
    <row r="699" spans="1:11" x14ac:dyDescent="0.25">
      <c r="B699" s="129" t="s">
        <v>577</v>
      </c>
      <c r="C699" s="130">
        <v>0.16805555555555554</v>
      </c>
      <c r="D699" s="130">
        <v>0.20972222222222223</v>
      </c>
      <c r="E699" s="130">
        <v>0.12847222222222224</v>
      </c>
      <c r="F699" s="130">
        <v>0.17222222222222225</v>
      </c>
      <c r="G699" s="130">
        <v>0.4694444444444445</v>
      </c>
      <c r="H699" s="130">
        <v>0.16944444444444443</v>
      </c>
      <c r="I699" s="130" t="s">
        <v>558</v>
      </c>
      <c r="J699" s="130"/>
      <c r="K699" s="130"/>
    </row>
    <row r="700" spans="1:11" x14ac:dyDescent="0.25">
      <c r="B700" s="129" t="s">
        <v>573</v>
      </c>
      <c r="C700" s="130">
        <v>0.16666666666666666</v>
      </c>
      <c r="D700" s="130">
        <v>8.6805555555555566E-2</v>
      </c>
      <c r="E700" s="130">
        <v>0.12708333333333333</v>
      </c>
      <c r="F700" s="130">
        <v>4.7916666666666663E-2</v>
      </c>
      <c r="G700" s="130">
        <f t="shared" ref="G700:G708" si="9">F700+E700+D700+C700</f>
        <v>0.42847222222222225</v>
      </c>
      <c r="H700" s="130">
        <v>0.12847222222222224</v>
      </c>
      <c r="I700" s="130" t="s">
        <v>558</v>
      </c>
      <c r="J700" s="130"/>
      <c r="K700" s="130"/>
    </row>
    <row r="701" spans="1:11" x14ac:dyDescent="0.25">
      <c r="B701" s="129" t="s">
        <v>563</v>
      </c>
      <c r="C701" s="130">
        <v>0.16944444444444443</v>
      </c>
      <c r="D701" s="130">
        <v>0.33611111111111108</v>
      </c>
      <c r="E701" s="130">
        <v>0.21041666666666667</v>
      </c>
      <c r="F701" s="130">
        <v>8.7499999999999994E-2</v>
      </c>
      <c r="G701" s="130">
        <f t="shared" si="9"/>
        <v>0.80347222222222214</v>
      </c>
      <c r="H701" s="130">
        <v>0.21041666666666667</v>
      </c>
      <c r="I701" s="130" t="s">
        <v>557</v>
      </c>
      <c r="J701" s="130"/>
      <c r="K701" s="130"/>
    </row>
    <row r="702" spans="1:11" x14ac:dyDescent="0.25">
      <c r="B702" s="129" t="s">
        <v>663</v>
      </c>
      <c r="C702" s="130">
        <v>8.5416666666666655E-2</v>
      </c>
      <c r="D702" s="130">
        <v>0.37638888888888888</v>
      </c>
      <c r="E702" s="130">
        <v>0.25277777777777777</v>
      </c>
      <c r="F702" s="130">
        <v>0.3354166666666667</v>
      </c>
      <c r="G702" s="132">
        <f t="shared" si="9"/>
        <v>1.05</v>
      </c>
      <c r="H702" s="130">
        <v>0.25138888888888888</v>
      </c>
      <c r="I702" s="130" t="s">
        <v>557</v>
      </c>
      <c r="J702" s="130"/>
      <c r="K702" s="130"/>
    </row>
    <row r="703" spans="1:11" x14ac:dyDescent="0.25">
      <c r="B703" s="129" t="s">
        <v>565</v>
      </c>
      <c r="C703" s="130">
        <v>0.25347222222222221</v>
      </c>
      <c r="D703" s="130">
        <v>0.25347222222222221</v>
      </c>
      <c r="E703" s="130">
        <v>0.21111111111111111</v>
      </c>
      <c r="F703" s="130">
        <v>0.1277777777777778</v>
      </c>
      <c r="G703" s="130">
        <f t="shared" si="9"/>
        <v>0.84583333333333333</v>
      </c>
      <c r="H703" s="130">
        <v>0.25138888888888888</v>
      </c>
      <c r="I703" s="130" t="s">
        <v>557</v>
      </c>
      <c r="J703" s="130"/>
      <c r="K703" s="130"/>
    </row>
    <row r="704" spans="1:11" x14ac:dyDescent="0.25">
      <c r="B704" s="129" t="s">
        <v>566</v>
      </c>
      <c r="C704" s="130">
        <v>0.21041666666666667</v>
      </c>
      <c r="D704" s="130">
        <v>0.29166666666666669</v>
      </c>
      <c r="E704" s="130">
        <v>8.6805555555555566E-2</v>
      </c>
      <c r="F704" s="130">
        <v>0.16805555555555554</v>
      </c>
      <c r="G704" s="130">
        <f t="shared" si="9"/>
        <v>0.75694444444444442</v>
      </c>
      <c r="H704" s="130">
        <v>0.25138888888888888</v>
      </c>
      <c r="I704" s="130" t="s">
        <v>557</v>
      </c>
      <c r="J704" s="130"/>
      <c r="K704" s="130"/>
    </row>
    <row r="705" spans="1:11" x14ac:dyDescent="0.25">
      <c r="B705" s="129" t="s">
        <v>648</v>
      </c>
      <c r="C705" s="130">
        <v>0.16666666666666666</v>
      </c>
      <c r="D705" s="130">
        <v>0.37916666666666665</v>
      </c>
      <c r="E705" s="130">
        <v>0.12638888888888888</v>
      </c>
      <c r="F705" s="130">
        <v>0.16805555555555554</v>
      </c>
      <c r="G705" s="130">
        <f t="shared" si="9"/>
        <v>0.84027777777777768</v>
      </c>
      <c r="H705" s="130">
        <v>0.33333333333333331</v>
      </c>
      <c r="I705" s="130" t="s">
        <v>557</v>
      </c>
      <c r="J705" s="130"/>
      <c r="K705" s="130"/>
    </row>
    <row r="706" spans="1:11" x14ac:dyDescent="0.25">
      <c r="B706" s="129" t="s">
        <v>578</v>
      </c>
      <c r="C706" s="130">
        <v>4.3749999999999997E-2</v>
      </c>
      <c r="D706" s="130">
        <v>0.12638888888888888</v>
      </c>
      <c r="E706" s="130">
        <v>4.3055555555555562E-2</v>
      </c>
      <c r="F706" s="130">
        <v>0.16805555555555554</v>
      </c>
      <c r="G706" s="130">
        <f t="shared" si="9"/>
        <v>0.38125000000000003</v>
      </c>
      <c r="H706" s="130">
        <v>0.16944444444444443</v>
      </c>
      <c r="I706" s="130" t="s">
        <v>562</v>
      </c>
      <c r="J706" s="130"/>
      <c r="K706" s="130"/>
    </row>
    <row r="707" spans="1:11" x14ac:dyDescent="0.25">
      <c r="B707" s="129" t="s">
        <v>670</v>
      </c>
      <c r="C707" s="130">
        <v>0.12708333333333333</v>
      </c>
      <c r="D707" s="130">
        <v>0.37777777777777777</v>
      </c>
      <c r="E707" s="130">
        <v>0.29305555555555557</v>
      </c>
      <c r="F707" s="130">
        <v>8.6111111111111124E-2</v>
      </c>
      <c r="G707" s="130">
        <f t="shared" si="9"/>
        <v>0.88402777777777775</v>
      </c>
      <c r="H707" s="130">
        <v>0.21041666666666667</v>
      </c>
      <c r="I707" s="130" t="s">
        <v>557</v>
      </c>
      <c r="J707" s="130"/>
      <c r="K707" s="130"/>
    </row>
    <row r="708" spans="1:11" x14ac:dyDescent="0.25">
      <c r="B708" s="129" t="s">
        <v>559</v>
      </c>
      <c r="C708" s="130">
        <v>0.54652777777777783</v>
      </c>
      <c r="D708" s="130">
        <v>0.16944444444444443</v>
      </c>
      <c r="E708" s="130">
        <v>0.3347222222222222</v>
      </c>
      <c r="F708" s="130">
        <v>0.1277777777777778</v>
      </c>
      <c r="G708" s="132">
        <f t="shared" si="9"/>
        <v>1.1784722222222221</v>
      </c>
      <c r="H708" s="130">
        <v>0.21041666666666667</v>
      </c>
      <c r="I708" s="130" t="s">
        <v>557</v>
      </c>
      <c r="J708" s="130"/>
      <c r="K708" s="130"/>
    </row>
    <row r="709" spans="1:11" x14ac:dyDescent="0.25">
      <c r="C709" s="130"/>
      <c r="D709" s="130"/>
      <c r="E709" s="130"/>
      <c r="F709" s="130"/>
      <c r="G709" s="130"/>
      <c r="H709" s="130"/>
      <c r="I709" s="130"/>
      <c r="J709" s="130"/>
      <c r="K709" s="130"/>
    </row>
    <row r="710" spans="1:11" x14ac:dyDescent="0.25">
      <c r="A710" s="129" t="s">
        <v>579</v>
      </c>
      <c r="C710" s="130" t="s">
        <v>339</v>
      </c>
      <c r="D710" s="130" t="s">
        <v>340</v>
      </c>
      <c r="E710" s="130" t="s">
        <v>341</v>
      </c>
      <c r="F710" s="130" t="s">
        <v>342</v>
      </c>
      <c r="G710" s="130" t="s">
        <v>580</v>
      </c>
      <c r="H710" s="130" t="s">
        <v>337</v>
      </c>
      <c r="J710" s="130"/>
      <c r="K710" s="130"/>
    </row>
    <row r="711" spans="1:11" x14ac:dyDescent="0.25">
      <c r="A711" s="129" t="s">
        <v>535</v>
      </c>
      <c r="B711" s="130" t="s">
        <v>660</v>
      </c>
      <c r="C711" s="130">
        <v>0.21041666666666667</v>
      </c>
      <c r="D711" s="130">
        <v>4.4444444444444446E-2</v>
      </c>
      <c r="E711" s="130" t="s">
        <v>159</v>
      </c>
      <c r="F711" s="130" t="s">
        <v>358</v>
      </c>
      <c r="G711" s="130">
        <v>0.67708333333333337</v>
      </c>
      <c r="H711" s="130">
        <v>0.12569444444444444</v>
      </c>
      <c r="I711" s="130"/>
      <c r="J711" s="130"/>
      <c r="K711" s="130"/>
    </row>
    <row r="712" spans="1:11" x14ac:dyDescent="0.25">
      <c r="A712" s="129" t="s">
        <v>536</v>
      </c>
      <c r="B712" s="129" t="s">
        <v>620</v>
      </c>
      <c r="C712" s="130">
        <v>0.12916666666666668</v>
      </c>
      <c r="D712" s="130">
        <v>8.5416666666666655E-2</v>
      </c>
      <c r="E712" s="130">
        <v>0.20902777777777778</v>
      </c>
      <c r="F712" s="130">
        <v>4.8611111111111112E-3</v>
      </c>
      <c r="G712" s="130">
        <v>0.4284722222222222</v>
      </c>
      <c r="H712" s="130">
        <v>4.3749999999999997E-2</v>
      </c>
      <c r="I712" s="130"/>
      <c r="J712" s="130"/>
      <c r="K712" s="130"/>
    </row>
    <row r="713" spans="1:11" x14ac:dyDescent="0.25">
      <c r="C713" s="130"/>
      <c r="D713" s="130"/>
      <c r="E713" s="130"/>
      <c r="F713" s="130"/>
      <c r="G713" s="130"/>
      <c r="H713" s="130"/>
      <c r="I713" s="130"/>
      <c r="J713" s="130"/>
      <c r="K713" s="130"/>
    </row>
    <row r="714" spans="1:11" x14ac:dyDescent="0.25">
      <c r="C714" s="130"/>
      <c r="D714" s="130"/>
      <c r="E714" s="130"/>
      <c r="F714" s="130"/>
      <c r="G714" s="130"/>
      <c r="H714" s="130"/>
      <c r="I714" s="130"/>
      <c r="J714" s="130"/>
      <c r="K714" s="130"/>
    </row>
    <row r="715" spans="1:11" x14ac:dyDescent="0.25">
      <c r="C715" s="130"/>
      <c r="D715" s="130"/>
      <c r="E715" s="130"/>
      <c r="F715" s="130"/>
      <c r="G715" s="130"/>
      <c r="H715" s="130"/>
      <c r="I715" s="130"/>
      <c r="J715" s="130"/>
      <c r="K715" s="130"/>
    </row>
    <row r="716" spans="1:11" x14ac:dyDescent="0.25">
      <c r="C716" s="130"/>
      <c r="D716" s="130"/>
      <c r="E716" s="130"/>
      <c r="F716" s="130"/>
      <c r="G716" s="130"/>
      <c r="H716" s="130"/>
      <c r="I716" s="130"/>
      <c r="J716" s="130"/>
      <c r="K716" s="130"/>
    </row>
    <row r="717" spans="1:11" x14ac:dyDescent="0.25">
      <c r="C717" s="130"/>
      <c r="D717" s="130"/>
      <c r="E717" s="130"/>
      <c r="F717" s="130"/>
      <c r="G717" s="130"/>
      <c r="H717" s="130"/>
      <c r="I717" s="130"/>
      <c r="J717" s="130"/>
      <c r="K717" s="130"/>
    </row>
    <row r="718" spans="1:11" x14ac:dyDescent="0.25">
      <c r="C718" s="130"/>
      <c r="D718" s="130"/>
      <c r="E718" s="130"/>
      <c r="F718" s="130"/>
      <c r="G718" s="130"/>
      <c r="H718" s="130"/>
      <c r="I718" s="130"/>
      <c r="J718" s="130"/>
      <c r="K718" s="130"/>
    </row>
    <row r="719" spans="1:11" x14ac:dyDescent="0.25">
      <c r="C719" s="130"/>
      <c r="D719" s="130"/>
      <c r="E719" s="130"/>
      <c r="F719" s="130"/>
      <c r="G719" s="130"/>
      <c r="H719" s="130"/>
      <c r="I719" s="130"/>
      <c r="J719" s="130"/>
      <c r="K719" s="130"/>
    </row>
    <row r="720" spans="1:11" x14ac:dyDescent="0.25">
      <c r="C720" s="130"/>
      <c r="D720" s="130"/>
      <c r="E720" s="130"/>
      <c r="F720" s="130"/>
      <c r="G720" s="130"/>
      <c r="H720" s="130"/>
      <c r="I720" s="130"/>
      <c r="J720" s="130"/>
      <c r="K720" s="130"/>
    </row>
    <row r="721" spans="3:11" x14ac:dyDescent="0.25">
      <c r="C721" s="130"/>
      <c r="D721" s="130"/>
      <c r="E721" s="130"/>
      <c r="F721" s="130"/>
      <c r="G721" s="130"/>
      <c r="H721" s="130"/>
      <c r="I721" s="130"/>
      <c r="J721" s="130"/>
      <c r="K721" s="130"/>
    </row>
    <row r="722" spans="3:11" x14ac:dyDescent="0.25">
      <c r="C722" s="130"/>
      <c r="D722" s="130"/>
      <c r="E722" s="130"/>
      <c r="F722" s="130"/>
      <c r="G722" s="130"/>
      <c r="H722" s="130"/>
      <c r="I722" s="130"/>
      <c r="J722" s="130"/>
      <c r="K722" s="130"/>
    </row>
    <row r="723" spans="3:11" x14ac:dyDescent="0.25">
      <c r="C723" s="130"/>
      <c r="D723" s="130"/>
      <c r="E723" s="130"/>
      <c r="F723" s="130"/>
      <c r="G723" s="130"/>
      <c r="H723" s="130"/>
      <c r="I723" s="130"/>
      <c r="J723" s="130"/>
      <c r="K723" s="130"/>
    </row>
    <row r="724" spans="3:11" x14ac:dyDescent="0.25">
      <c r="C724" s="130"/>
      <c r="D724" s="130"/>
      <c r="E724" s="130"/>
      <c r="F724" s="130"/>
      <c r="G724" s="130"/>
      <c r="H724" s="130"/>
      <c r="I724" s="130"/>
      <c r="J724" s="130"/>
      <c r="K724" s="130"/>
    </row>
    <row r="725" spans="3:11" x14ac:dyDescent="0.25">
      <c r="C725" s="130"/>
      <c r="D725" s="130"/>
      <c r="E725" s="130"/>
      <c r="F725" s="130"/>
      <c r="G725" s="130"/>
      <c r="H725" s="130"/>
      <c r="I725" s="130"/>
      <c r="J725" s="130"/>
      <c r="K725" s="130"/>
    </row>
    <row r="726" spans="3:11" x14ac:dyDescent="0.25">
      <c r="C726" s="130"/>
      <c r="D726" s="130"/>
      <c r="E726" s="130"/>
      <c r="F726" s="130"/>
      <c r="G726" s="130"/>
      <c r="H726" s="130"/>
      <c r="I726" s="130"/>
      <c r="J726" s="130"/>
      <c r="K726" s="130"/>
    </row>
    <row r="727" spans="3:11" x14ac:dyDescent="0.25">
      <c r="C727" s="130"/>
      <c r="D727" s="130"/>
      <c r="E727" s="130"/>
      <c r="F727" s="130"/>
      <c r="G727" s="130"/>
      <c r="H727" s="130"/>
      <c r="I727" s="130"/>
      <c r="J727" s="130"/>
      <c r="K727" s="130"/>
    </row>
    <row r="728" spans="3:11" x14ac:dyDescent="0.25">
      <c r="C728" s="130"/>
      <c r="D728" s="130"/>
      <c r="E728" s="130"/>
      <c r="F728" s="130"/>
      <c r="G728" s="130"/>
      <c r="H728" s="130"/>
      <c r="I728" s="130"/>
      <c r="J728" s="130"/>
      <c r="K728" s="130"/>
    </row>
    <row r="729" spans="3:11" x14ac:dyDescent="0.25">
      <c r="C729" s="130"/>
      <c r="D729" s="130"/>
      <c r="E729" s="130"/>
      <c r="F729" s="130"/>
      <c r="G729" s="130"/>
      <c r="H729" s="130"/>
      <c r="I729" s="130"/>
      <c r="J729" s="130"/>
      <c r="K729" s="130"/>
    </row>
    <row r="730" spans="3:11" x14ac:dyDescent="0.25">
      <c r="C730" s="130"/>
      <c r="D730" s="130"/>
      <c r="E730" s="130"/>
      <c r="F730" s="130"/>
      <c r="G730" s="130"/>
      <c r="H730" s="130"/>
      <c r="I730" s="130"/>
      <c r="J730" s="130"/>
      <c r="K730" s="130"/>
    </row>
    <row r="731" spans="3:11" x14ac:dyDescent="0.25">
      <c r="C731" s="130"/>
      <c r="D731" s="130"/>
      <c r="E731" s="130"/>
      <c r="F731" s="130"/>
      <c r="G731" s="130"/>
      <c r="H731" s="130"/>
      <c r="I731" s="130"/>
      <c r="J731" s="130"/>
      <c r="K731" s="130"/>
    </row>
    <row r="732" spans="3:11" x14ac:dyDescent="0.25">
      <c r="C732" s="130"/>
      <c r="D732" s="130"/>
      <c r="E732" s="130"/>
      <c r="F732" s="130"/>
      <c r="G732" s="130"/>
      <c r="H732" s="130"/>
      <c r="I732" s="130"/>
      <c r="J732" s="130"/>
      <c r="K732" s="130"/>
    </row>
    <row r="733" spans="3:11" x14ac:dyDescent="0.25">
      <c r="C733" s="130"/>
      <c r="D733" s="130"/>
      <c r="E733" s="130"/>
      <c r="F733" s="130"/>
      <c r="G733" s="130"/>
      <c r="H733" s="130"/>
      <c r="I733" s="130"/>
      <c r="J733" s="130"/>
      <c r="K733" s="130"/>
    </row>
    <row r="734" spans="3:11" x14ac:dyDescent="0.25">
      <c r="C734" s="130"/>
      <c r="D734" s="130"/>
      <c r="E734" s="130"/>
      <c r="F734" s="130"/>
      <c r="G734" s="130"/>
      <c r="H734" s="130"/>
      <c r="I734" s="130"/>
      <c r="J734" s="130"/>
      <c r="K734" s="130"/>
    </row>
    <row r="735" spans="3:11" x14ac:dyDescent="0.25">
      <c r="C735" s="130"/>
      <c r="D735" s="130"/>
      <c r="E735" s="130"/>
      <c r="F735" s="130"/>
      <c r="G735" s="130"/>
      <c r="H735" s="130"/>
      <c r="I735" s="130"/>
      <c r="J735" s="130"/>
      <c r="K735" s="130"/>
    </row>
    <row r="736" spans="3:11" x14ac:dyDescent="0.25">
      <c r="C736" s="130"/>
      <c r="D736" s="130"/>
      <c r="E736" s="130"/>
      <c r="F736" s="130"/>
      <c r="G736" s="130"/>
      <c r="H736" s="130"/>
      <c r="I736" s="130"/>
      <c r="J736" s="130"/>
      <c r="K736" s="130"/>
    </row>
    <row r="737" spans="3:11" x14ac:dyDescent="0.25">
      <c r="C737" s="130"/>
      <c r="D737" s="130"/>
      <c r="E737" s="130"/>
      <c r="F737" s="130"/>
      <c r="G737" s="130"/>
      <c r="H737" s="130"/>
      <c r="I737" s="130"/>
      <c r="J737" s="130"/>
      <c r="K737" s="130"/>
    </row>
    <row r="738" spans="3:11" x14ac:dyDescent="0.25">
      <c r="C738" s="130"/>
      <c r="D738" s="130"/>
      <c r="E738" s="130"/>
      <c r="F738" s="130"/>
      <c r="G738" s="130"/>
      <c r="H738" s="130"/>
      <c r="I738" s="130"/>
      <c r="J738" s="130"/>
      <c r="K738" s="130"/>
    </row>
    <row r="739" spans="3:11" x14ac:dyDescent="0.25">
      <c r="C739" s="130"/>
      <c r="D739" s="130"/>
      <c r="E739" s="130"/>
      <c r="F739" s="130"/>
      <c r="G739" s="130"/>
      <c r="H739" s="130"/>
      <c r="I739" s="130"/>
      <c r="J739" s="130"/>
      <c r="K739" s="130"/>
    </row>
    <row r="740" spans="3:11" x14ac:dyDescent="0.25">
      <c r="C740" s="130"/>
      <c r="D740" s="130"/>
      <c r="E740" s="130"/>
      <c r="F740" s="130"/>
      <c r="G740" s="130"/>
      <c r="H740" s="130"/>
      <c r="I740" s="130"/>
      <c r="J740" s="130"/>
      <c r="K740" s="130"/>
    </row>
    <row r="741" spans="3:11" x14ac:dyDescent="0.25">
      <c r="C741" s="130"/>
      <c r="D741" s="130"/>
      <c r="E741" s="130"/>
      <c r="F741" s="130"/>
      <c r="G741" s="130"/>
      <c r="H741" s="130"/>
      <c r="I741" s="130"/>
      <c r="J741" s="130"/>
      <c r="K741" s="130"/>
    </row>
    <row r="742" spans="3:11" x14ac:dyDescent="0.25">
      <c r="C742" s="130"/>
      <c r="D742" s="130"/>
      <c r="E742" s="130"/>
      <c r="F742" s="130"/>
      <c r="G742" s="130"/>
      <c r="H742" s="130"/>
      <c r="I742" s="130"/>
      <c r="J742" s="130"/>
      <c r="K742" s="130"/>
    </row>
    <row r="743" spans="3:11" x14ac:dyDescent="0.25">
      <c r="C743" s="130"/>
      <c r="D743" s="130"/>
      <c r="E743" s="130"/>
      <c r="F743" s="130"/>
      <c r="G743" s="130"/>
      <c r="H743" s="130"/>
      <c r="I743" s="130"/>
      <c r="J743" s="130"/>
      <c r="K743" s="130"/>
    </row>
    <row r="744" spans="3:11" x14ac:dyDescent="0.25">
      <c r="C744" s="130"/>
      <c r="D744" s="130"/>
      <c r="E744" s="130"/>
      <c r="F744" s="130"/>
      <c r="G744" s="130"/>
      <c r="H744" s="130"/>
      <c r="I744" s="130"/>
      <c r="J744" s="130"/>
      <c r="K744" s="130"/>
    </row>
    <row r="745" spans="3:11" x14ac:dyDescent="0.25">
      <c r="C745" s="130"/>
      <c r="D745" s="130"/>
      <c r="E745" s="130"/>
      <c r="F745" s="130"/>
      <c r="G745" s="130"/>
      <c r="H745" s="130"/>
      <c r="I745" s="130"/>
      <c r="J745" s="130"/>
      <c r="K745" s="130"/>
    </row>
    <row r="746" spans="3:11" x14ac:dyDescent="0.25">
      <c r="C746" s="130"/>
      <c r="D746" s="130"/>
      <c r="E746" s="130"/>
      <c r="F746" s="130"/>
      <c r="G746" s="130"/>
      <c r="H746" s="130"/>
      <c r="I746" s="130"/>
      <c r="J746" s="130"/>
      <c r="K746" s="130"/>
    </row>
    <row r="747" spans="3:11" x14ac:dyDescent="0.25">
      <c r="C747" s="130"/>
      <c r="D747" s="130"/>
      <c r="E747" s="130"/>
      <c r="F747" s="130"/>
      <c r="G747" s="130"/>
      <c r="H747" s="130"/>
      <c r="I747" s="130"/>
      <c r="J747" s="130"/>
      <c r="K747" s="130"/>
    </row>
    <row r="748" spans="3:11" x14ac:dyDescent="0.25">
      <c r="C748" s="130"/>
      <c r="D748" s="130"/>
      <c r="E748" s="130"/>
      <c r="F748" s="130"/>
      <c r="G748" s="130"/>
      <c r="H748" s="130"/>
      <c r="I748" s="130"/>
      <c r="J748" s="130"/>
      <c r="K748" s="130"/>
    </row>
    <row r="749" spans="3:11" x14ac:dyDescent="0.25">
      <c r="C749" s="130"/>
      <c r="D749" s="130"/>
      <c r="E749" s="130"/>
      <c r="F749" s="130"/>
      <c r="G749" s="130"/>
      <c r="H749" s="130"/>
      <c r="I749" s="130"/>
      <c r="J749" s="130"/>
      <c r="K749" s="130"/>
    </row>
    <row r="750" spans="3:11" x14ac:dyDescent="0.25">
      <c r="C750" s="130"/>
      <c r="D750" s="130"/>
      <c r="E750" s="130"/>
      <c r="F750" s="130"/>
      <c r="G750" s="130"/>
      <c r="H750" s="130"/>
      <c r="I750" s="130"/>
      <c r="J750" s="130"/>
      <c r="K750" s="130"/>
    </row>
    <row r="751" spans="3:11" x14ac:dyDescent="0.25">
      <c r="C751" s="130"/>
      <c r="D751" s="130"/>
      <c r="E751" s="130"/>
      <c r="F751" s="130"/>
      <c r="G751" s="130"/>
      <c r="H751" s="130"/>
      <c r="I751" s="130"/>
      <c r="J751" s="130"/>
      <c r="K751" s="130"/>
    </row>
    <row r="752" spans="3:11" x14ac:dyDescent="0.25">
      <c r="C752" s="130"/>
      <c r="D752" s="130"/>
      <c r="E752" s="130"/>
      <c r="F752" s="130"/>
      <c r="G752" s="130"/>
      <c r="H752" s="130"/>
      <c r="I752" s="130"/>
      <c r="J752" s="130"/>
      <c r="K752" s="130"/>
    </row>
    <row r="753" spans="3:11" x14ac:dyDescent="0.25">
      <c r="C753" s="130"/>
      <c r="D753" s="130"/>
      <c r="E753" s="130"/>
      <c r="F753" s="130"/>
      <c r="G753" s="130"/>
      <c r="H753" s="130"/>
      <c r="I753" s="130"/>
      <c r="J753" s="130"/>
      <c r="K753" s="130"/>
    </row>
    <row r="754" spans="3:11" x14ac:dyDescent="0.25">
      <c r="C754" s="130"/>
      <c r="D754" s="130"/>
      <c r="E754" s="130"/>
      <c r="F754" s="130"/>
      <c r="G754" s="130"/>
      <c r="H754" s="130"/>
      <c r="I754" s="130"/>
      <c r="J754" s="130"/>
      <c r="K754" s="130"/>
    </row>
    <row r="755" spans="3:11" x14ac:dyDescent="0.25">
      <c r="C755" s="130"/>
      <c r="D755" s="130"/>
      <c r="E755" s="130"/>
      <c r="F755" s="130"/>
      <c r="G755" s="130"/>
      <c r="H755" s="130"/>
      <c r="I755" s="130"/>
      <c r="J755" s="130"/>
      <c r="K755" s="130"/>
    </row>
    <row r="756" spans="3:11" x14ac:dyDescent="0.25">
      <c r="C756" s="130"/>
      <c r="D756" s="130"/>
      <c r="E756" s="130"/>
      <c r="F756" s="130"/>
      <c r="G756" s="130"/>
      <c r="H756" s="130"/>
      <c r="I756" s="130"/>
      <c r="J756" s="130"/>
      <c r="K756" s="130"/>
    </row>
    <row r="757" spans="3:11" x14ac:dyDescent="0.25">
      <c r="C757" s="130"/>
      <c r="D757" s="130"/>
      <c r="E757" s="130"/>
      <c r="F757" s="130"/>
      <c r="G757" s="130"/>
      <c r="H757" s="130"/>
      <c r="I757" s="130"/>
      <c r="J757" s="130"/>
      <c r="K757" s="130"/>
    </row>
    <row r="758" spans="3:11" x14ac:dyDescent="0.25">
      <c r="C758" s="130"/>
      <c r="D758" s="130"/>
      <c r="E758" s="130"/>
      <c r="F758" s="130"/>
      <c r="G758" s="130"/>
      <c r="H758" s="130"/>
      <c r="I758" s="130"/>
      <c r="J758" s="130"/>
      <c r="K758" s="130"/>
    </row>
    <row r="759" spans="3:11" x14ac:dyDescent="0.25">
      <c r="C759" s="130"/>
      <c r="D759" s="130"/>
      <c r="E759" s="130"/>
      <c r="F759" s="130"/>
      <c r="G759" s="130"/>
      <c r="H759" s="130"/>
      <c r="I759" s="130"/>
      <c r="J759" s="130"/>
      <c r="K759" s="130"/>
    </row>
    <row r="760" spans="3:11" x14ac:dyDescent="0.25">
      <c r="C760" s="130"/>
      <c r="D760" s="130"/>
      <c r="E760" s="130"/>
      <c r="F760" s="130"/>
      <c r="G760" s="130"/>
      <c r="H760" s="130"/>
      <c r="I760" s="130"/>
      <c r="J760" s="130"/>
      <c r="K760" s="130"/>
    </row>
    <row r="761" spans="3:11" x14ac:dyDescent="0.25">
      <c r="C761" s="130"/>
      <c r="D761" s="130"/>
      <c r="E761" s="130"/>
      <c r="F761" s="130"/>
      <c r="G761" s="130"/>
      <c r="H761" s="130"/>
      <c r="I761" s="130"/>
      <c r="J761" s="130"/>
      <c r="K761" s="130"/>
    </row>
    <row r="762" spans="3:11" x14ac:dyDescent="0.25">
      <c r="C762" s="130"/>
      <c r="D762" s="130"/>
      <c r="E762" s="130"/>
      <c r="F762" s="130"/>
      <c r="G762" s="130"/>
      <c r="H762" s="130"/>
      <c r="I762" s="130"/>
      <c r="J762" s="130"/>
      <c r="K762" s="130"/>
    </row>
    <row r="763" spans="3:11" x14ac:dyDescent="0.25">
      <c r="C763" s="130"/>
      <c r="D763" s="130"/>
      <c r="E763" s="130"/>
      <c r="F763" s="130"/>
      <c r="G763" s="130"/>
      <c r="H763" s="130"/>
      <c r="I763" s="130"/>
      <c r="J763" s="130"/>
      <c r="K763" s="130"/>
    </row>
    <row r="764" spans="3:11" x14ac:dyDescent="0.25">
      <c r="C764" s="130"/>
      <c r="D764" s="130"/>
      <c r="E764" s="130"/>
      <c r="F764" s="130"/>
      <c r="G764" s="130"/>
      <c r="H764" s="130"/>
      <c r="I764" s="130"/>
      <c r="J764" s="130"/>
      <c r="K764" s="130"/>
    </row>
    <row r="765" spans="3:11" x14ac:dyDescent="0.25">
      <c r="C765" s="130"/>
      <c r="D765" s="130"/>
      <c r="E765" s="130"/>
      <c r="F765" s="130"/>
      <c r="G765" s="130"/>
      <c r="H765" s="130"/>
      <c r="I765" s="130"/>
      <c r="J765" s="130"/>
      <c r="K765" s="130"/>
    </row>
    <row r="766" spans="3:11" x14ac:dyDescent="0.25">
      <c r="C766" s="130"/>
      <c r="D766" s="130"/>
      <c r="E766" s="130"/>
      <c r="F766" s="130"/>
      <c r="G766" s="130"/>
      <c r="H766" s="130"/>
      <c r="I766" s="130"/>
      <c r="J766" s="130"/>
      <c r="K766" s="130"/>
    </row>
    <row r="767" spans="3:11" x14ac:dyDescent="0.25">
      <c r="C767" s="130"/>
      <c r="D767" s="130"/>
      <c r="E767" s="130"/>
      <c r="F767" s="130"/>
      <c r="G767" s="130"/>
      <c r="H767" s="130"/>
      <c r="I767" s="130"/>
      <c r="J767" s="130"/>
      <c r="K767" s="130"/>
    </row>
    <row r="768" spans="3:11" x14ac:dyDescent="0.25">
      <c r="C768" s="130"/>
      <c r="D768" s="130"/>
      <c r="E768" s="130"/>
      <c r="F768" s="130"/>
      <c r="G768" s="130"/>
      <c r="H768" s="130"/>
      <c r="I768" s="130"/>
      <c r="J768" s="130"/>
      <c r="K768" s="130"/>
    </row>
    <row r="769" spans="3:11" x14ac:dyDescent="0.25">
      <c r="C769" s="130"/>
      <c r="D769" s="130"/>
      <c r="E769" s="130"/>
      <c r="F769" s="130"/>
      <c r="G769" s="130"/>
      <c r="H769" s="130"/>
      <c r="I769" s="130"/>
      <c r="J769" s="130"/>
      <c r="K769" s="130"/>
    </row>
    <row r="770" spans="3:11" x14ac:dyDescent="0.25">
      <c r="C770" s="130"/>
      <c r="D770" s="130"/>
      <c r="E770" s="130"/>
      <c r="F770" s="130"/>
      <c r="G770" s="130"/>
      <c r="H770" s="130"/>
      <c r="I770" s="130"/>
      <c r="J770" s="130"/>
      <c r="K770" s="130"/>
    </row>
    <row r="771" spans="3:11" x14ac:dyDescent="0.25">
      <c r="C771" s="130"/>
      <c r="D771" s="130"/>
      <c r="E771" s="130"/>
      <c r="F771" s="130"/>
      <c r="G771" s="130"/>
      <c r="H771" s="130"/>
      <c r="I771" s="130"/>
      <c r="J771" s="130"/>
      <c r="K771" s="130"/>
    </row>
    <row r="772" spans="3:11" x14ac:dyDescent="0.25">
      <c r="C772" s="130"/>
      <c r="D772" s="130"/>
      <c r="E772" s="130"/>
      <c r="F772" s="130"/>
      <c r="G772" s="130"/>
      <c r="H772" s="130"/>
      <c r="I772" s="130"/>
      <c r="J772" s="130"/>
      <c r="K772" s="130"/>
    </row>
    <row r="773" spans="3:11" x14ac:dyDescent="0.25">
      <c r="C773" s="130"/>
      <c r="D773" s="130"/>
      <c r="E773" s="130"/>
      <c r="F773" s="130"/>
      <c r="G773" s="130"/>
      <c r="H773" s="130"/>
      <c r="I773" s="130"/>
      <c r="J773" s="130"/>
      <c r="K773" s="130"/>
    </row>
    <row r="774" spans="3:11" x14ac:dyDescent="0.25">
      <c r="C774" s="130"/>
      <c r="D774" s="130"/>
      <c r="E774" s="130"/>
      <c r="F774" s="130"/>
      <c r="G774" s="130"/>
      <c r="H774" s="130"/>
      <c r="I774" s="130"/>
      <c r="J774" s="130"/>
      <c r="K774" s="130"/>
    </row>
    <row r="775" spans="3:11" x14ac:dyDescent="0.25">
      <c r="C775" s="130"/>
      <c r="D775" s="130"/>
      <c r="E775" s="130"/>
      <c r="F775" s="130"/>
      <c r="G775" s="130"/>
      <c r="H775" s="130"/>
      <c r="I775" s="130"/>
      <c r="J775" s="130"/>
      <c r="K775" s="130"/>
    </row>
    <row r="776" spans="3:11" x14ac:dyDescent="0.25">
      <c r="C776" s="130"/>
      <c r="D776" s="130"/>
      <c r="E776" s="130"/>
      <c r="F776" s="130"/>
      <c r="G776" s="130"/>
      <c r="H776" s="130"/>
      <c r="I776" s="130"/>
      <c r="J776" s="130"/>
      <c r="K776" s="130"/>
    </row>
    <row r="777" spans="3:11" x14ac:dyDescent="0.25">
      <c r="C777" s="130"/>
      <c r="D777" s="130"/>
      <c r="E777" s="130"/>
      <c r="F777" s="130"/>
      <c r="G777" s="130"/>
      <c r="H777" s="130"/>
      <c r="I777" s="130"/>
      <c r="J777" s="130"/>
      <c r="K777" s="130"/>
    </row>
    <row r="778" spans="3:11" x14ac:dyDescent="0.25">
      <c r="C778" s="130"/>
      <c r="D778" s="130"/>
      <c r="E778" s="130"/>
      <c r="F778" s="130"/>
      <c r="G778" s="130"/>
      <c r="H778" s="130"/>
      <c r="I778" s="130"/>
      <c r="J778" s="130"/>
      <c r="K778" s="130"/>
    </row>
    <row r="779" spans="3:11" x14ac:dyDescent="0.25">
      <c r="C779" s="130"/>
      <c r="D779" s="130"/>
      <c r="E779" s="130"/>
      <c r="F779" s="130"/>
      <c r="G779" s="130"/>
      <c r="H779" s="130"/>
      <c r="I779" s="130"/>
      <c r="J779" s="130"/>
      <c r="K779" s="130"/>
    </row>
    <row r="780" spans="3:11" x14ac:dyDescent="0.25">
      <c r="C780" s="130"/>
      <c r="D780" s="130"/>
      <c r="E780" s="130"/>
      <c r="F780" s="130"/>
      <c r="G780" s="130"/>
      <c r="H780" s="130"/>
      <c r="I780" s="130"/>
      <c r="J780" s="130"/>
      <c r="K780" s="130"/>
    </row>
    <row r="781" spans="3:11" x14ac:dyDescent="0.25">
      <c r="C781" s="130"/>
      <c r="D781" s="130"/>
      <c r="E781" s="130"/>
      <c r="F781" s="130"/>
      <c r="G781" s="130"/>
      <c r="H781" s="130"/>
      <c r="I781" s="130"/>
      <c r="J781" s="130"/>
      <c r="K781" s="130"/>
    </row>
    <row r="782" spans="3:11" x14ac:dyDescent="0.25">
      <c r="C782" s="130"/>
      <c r="D782" s="130"/>
      <c r="E782" s="130"/>
      <c r="F782" s="130"/>
      <c r="G782" s="130"/>
      <c r="H782" s="130"/>
      <c r="I782" s="130"/>
      <c r="J782" s="130"/>
      <c r="K782" s="130"/>
    </row>
    <row r="783" spans="3:11" x14ac:dyDescent="0.25">
      <c r="C783" s="130"/>
      <c r="D783" s="130"/>
      <c r="E783" s="130"/>
      <c r="F783" s="130"/>
      <c r="G783" s="130"/>
      <c r="H783" s="130"/>
      <c r="I783" s="130"/>
      <c r="J783" s="130"/>
      <c r="K783" s="130"/>
    </row>
    <row r="784" spans="3:11" x14ac:dyDescent="0.25">
      <c r="C784" s="130"/>
      <c r="D784" s="130"/>
      <c r="E784" s="130"/>
      <c r="F784" s="130"/>
      <c r="G784" s="130"/>
      <c r="H784" s="130"/>
      <c r="I784" s="130"/>
      <c r="J784" s="130"/>
      <c r="K784" s="130"/>
    </row>
    <row r="785" spans="3:11" x14ac:dyDescent="0.25">
      <c r="C785" s="130"/>
      <c r="D785" s="130"/>
      <c r="E785" s="130"/>
      <c r="F785" s="130"/>
      <c r="G785" s="130"/>
      <c r="H785" s="130"/>
      <c r="I785" s="130"/>
      <c r="J785" s="130"/>
      <c r="K785" s="130"/>
    </row>
    <row r="786" spans="3:11" x14ac:dyDescent="0.25">
      <c r="C786" s="130"/>
      <c r="D786" s="130"/>
      <c r="E786" s="130"/>
      <c r="F786" s="130"/>
      <c r="G786" s="130"/>
      <c r="H786" s="130"/>
      <c r="I786" s="130"/>
      <c r="J786" s="130"/>
      <c r="K786" s="130"/>
    </row>
    <row r="787" spans="3:11" x14ac:dyDescent="0.25">
      <c r="C787" s="130"/>
      <c r="D787" s="130"/>
      <c r="E787" s="130"/>
      <c r="F787" s="130"/>
      <c r="G787" s="130"/>
      <c r="H787" s="130"/>
      <c r="I787" s="130"/>
      <c r="J787" s="130"/>
      <c r="K787" s="130"/>
    </row>
    <row r="788" spans="3:11" x14ac:dyDescent="0.25">
      <c r="C788" s="130"/>
      <c r="D788" s="130"/>
      <c r="E788" s="130"/>
      <c r="F788" s="130"/>
      <c r="G788" s="130"/>
      <c r="H788" s="130"/>
      <c r="I788" s="130"/>
      <c r="J788" s="130"/>
      <c r="K788" s="130"/>
    </row>
    <row r="789" spans="3:11" x14ac:dyDescent="0.25">
      <c r="C789" s="130"/>
      <c r="D789" s="130"/>
      <c r="E789" s="130"/>
      <c r="F789" s="130"/>
      <c r="G789" s="130"/>
      <c r="H789" s="130"/>
      <c r="I789" s="130"/>
      <c r="J789" s="130"/>
      <c r="K789" s="130"/>
    </row>
    <row r="790" spans="3:11" x14ac:dyDescent="0.25">
      <c r="C790" s="130"/>
      <c r="D790" s="130"/>
      <c r="E790" s="130"/>
      <c r="F790" s="130"/>
      <c r="G790" s="130"/>
      <c r="H790" s="130"/>
      <c r="I790" s="130"/>
      <c r="J790" s="130"/>
      <c r="K790" s="130"/>
    </row>
    <row r="791" spans="3:11" x14ac:dyDescent="0.25">
      <c r="C791" s="130"/>
      <c r="D791" s="130"/>
      <c r="E791" s="130"/>
      <c r="F791" s="130"/>
      <c r="G791" s="130"/>
      <c r="H791" s="130"/>
      <c r="I791" s="130"/>
      <c r="J791" s="130"/>
      <c r="K791" s="130"/>
    </row>
    <row r="792" spans="3:11" x14ac:dyDescent="0.25">
      <c r="C792" s="130"/>
      <c r="D792" s="130"/>
      <c r="E792" s="130"/>
      <c r="F792" s="130"/>
      <c r="G792" s="130"/>
      <c r="H792" s="130"/>
      <c r="I792" s="130"/>
      <c r="J792" s="130"/>
      <c r="K792" s="130"/>
    </row>
    <row r="793" spans="3:11" x14ac:dyDescent="0.25">
      <c r="C793" s="130"/>
      <c r="D793" s="130"/>
      <c r="E793" s="130"/>
      <c r="F793" s="130"/>
      <c r="G793" s="130"/>
      <c r="H793" s="130"/>
      <c r="I793" s="130"/>
      <c r="J793" s="130"/>
      <c r="K793" s="130"/>
    </row>
    <row r="794" spans="3:11" x14ac:dyDescent="0.25">
      <c r="C794" s="130"/>
      <c r="D794" s="130"/>
      <c r="E794" s="130"/>
      <c r="F794" s="130"/>
      <c r="G794" s="130"/>
      <c r="H794" s="130"/>
      <c r="I794" s="130"/>
      <c r="J794" s="130"/>
      <c r="K794" s="130"/>
    </row>
    <row r="795" spans="3:11" x14ac:dyDescent="0.25">
      <c r="C795" s="130"/>
      <c r="D795" s="130"/>
      <c r="E795" s="130"/>
      <c r="F795" s="130"/>
      <c r="G795" s="130"/>
      <c r="H795" s="130"/>
      <c r="I795" s="130"/>
      <c r="J795" s="130"/>
      <c r="K795" s="130"/>
    </row>
    <row r="796" spans="3:11" x14ac:dyDescent="0.25">
      <c r="C796" s="130"/>
      <c r="D796" s="130"/>
      <c r="E796" s="130"/>
      <c r="F796" s="130"/>
      <c r="G796" s="130"/>
      <c r="H796" s="130"/>
      <c r="I796" s="130"/>
      <c r="J796" s="130"/>
      <c r="K796" s="130"/>
    </row>
    <row r="797" spans="3:11" x14ac:dyDescent="0.25">
      <c r="C797" s="130"/>
      <c r="D797" s="130"/>
      <c r="E797" s="130"/>
      <c r="F797" s="130"/>
      <c r="G797" s="130"/>
      <c r="H797" s="130"/>
      <c r="I797" s="130"/>
      <c r="J797" s="130"/>
      <c r="K797" s="130"/>
    </row>
    <row r="798" spans="3:11" x14ac:dyDescent="0.25">
      <c r="C798" s="130"/>
      <c r="D798" s="130"/>
      <c r="E798" s="130"/>
      <c r="F798" s="130"/>
      <c r="G798" s="130"/>
      <c r="H798" s="130"/>
      <c r="I798" s="130"/>
      <c r="J798" s="130"/>
      <c r="K798" s="130"/>
    </row>
    <row r="799" spans="3:11" x14ac:dyDescent="0.25">
      <c r="C799" s="130"/>
      <c r="D799" s="130"/>
      <c r="E799" s="130"/>
      <c r="F799" s="130"/>
      <c r="G799" s="130"/>
      <c r="H799" s="130"/>
      <c r="I799" s="130"/>
      <c r="J799" s="130"/>
      <c r="K799" s="130"/>
    </row>
    <row r="800" spans="3:11" x14ac:dyDescent="0.25">
      <c r="C800" s="130"/>
      <c r="D800" s="130"/>
      <c r="E800" s="130"/>
      <c r="F800" s="130"/>
      <c r="G800" s="130"/>
      <c r="H800" s="130"/>
      <c r="I800" s="130"/>
      <c r="J800" s="130"/>
      <c r="K800" s="130"/>
    </row>
    <row r="801" spans="3:11" x14ac:dyDescent="0.25">
      <c r="C801" s="130"/>
      <c r="D801" s="130"/>
      <c r="E801" s="130"/>
      <c r="F801" s="130"/>
      <c r="G801" s="130"/>
      <c r="H801" s="130"/>
      <c r="I801" s="130"/>
      <c r="J801" s="130"/>
      <c r="K801" s="130"/>
    </row>
    <row r="802" spans="3:11" x14ac:dyDescent="0.25">
      <c r="C802" s="130"/>
      <c r="D802" s="130"/>
      <c r="E802" s="130"/>
      <c r="F802" s="130"/>
      <c r="G802" s="130"/>
      <c r="H802" s="130"/>
      <c r="I802" s="130"/>
      <c r="J802" s="130"/>
      <c r="K802" s="130"/>
    </row>
    <row r="803" spans="3:11" x14ac:dyDescent="0.25">
      <c r="C803" s="130"/>
      <c r="D803" s="130"/>
      <c r="E803" s="130"/>
      <c r="F803" s="130"/>
      <c r="G803" s="130"/>
      <c r="H803" s="130"/>
      <c r="I803" s="130"/>
      <c r="J803" s="130"/>
      <c r="K803" s="130"/>
    </row>
    <row r="804" spans="3:11" x14ac:dyDescent="0.25">
      <c r="C804" s="130"/>
      <c r="D804" s="130"/>
      <c r="E804" s="130"/>
      <c r="F804" s="130"/>
      <c r="G804" s="130"/>
      <c r="H804" s="130"/>
      <c r="I804" s="130"/>
      <c r="J804" s="130"/>
      <c r="K804" s="130"/>
    </row>
    <row r="805" spans="3:11" x14ac:dyDescent="0.25">
      <c r="C805" s="130"/>
      <c r="D805" s="130"/>
      <c r="E805" s="130"/>
      <c r="F805" s="130"/>
      <c r="G805" s="130"/>
      <c r="H805" s="130"/>
      <c r="I805" s="130"/>
      <c r="J805" s="130"/>
      <c r="K805" s="130"/>
    </row>
    <row r="806" spans="3:11" x14ac:dyDescent="0.25">
      <c r="C806" s="130"/>
      <c r="D806" s="130"/>
      <c r="E806" s="130"/>
      <c r="F806" s="130"/>
      <c r="G806" s="130"/>
      <c r="H806" s="130"/>
      <c r="I806" s="130"/>
      <c r="J806" s="130"/>
      <c r="K806" s="130"/>
    </row>
    <row r="807" spans="3:11" x14ac:dyDescent="0.25">
      <c r="C807" s="130"/>
      <c r="D807" s="130"/>
      <c r="E807" s="130"/>
      <c r="F807" s="130"/>
      <c r="G807" s="130"/>
      <c r="H807" s="130"/>
      <c r="I807" s="130"/>
      <c r="J807" s="130"/>
      <c r="K807" s="130"/>
    </row>
    <row r="808" spans="3:11" x14ac:dyDescent="0.25">
      <c r="C808" s="130"/>
      <c r="D808" s="130"/>
      <c r="E808" s="130"/>
      <c r="F808" s="130"/>
      <c r="G808" s="130"/>
      <c r="H808" s="130"/>
      <c r="I808" s="130"/>
      <c r="J808" s="130"/>
      <c r="K808" s="130"/>
    </row>
    <row r="809" spans="3:11" x14ac:dyDescent="0.25">
      <c r="C809" s="130"/>
      <c r="D809" s="130"/>
      <c r="E809" s="130"/>
      <c r="F809" s="130"/>
      <c r="G809" s="130"/>
      <c r="H809" s="130"/>
      <c r="I809" s="130"/>
      <c r="J809" s="130"/>
      <c r="K809" s="130"/>
    </row>
    <row r="810" spans="3:11" x14ac:dyDescent="0.25">
      <c r="C810" s="130"/>
      <c r="D810" s="130"/>
      <c r="E810" s="130"/>
      <c r="F810" s="130"/>
      <c r="G810" s="130"/>
      <c r="H810" s="130"/>
      <c r="I810" s="130"/>
      <c r="J810" s="130"/>
      <c r="K810" s="130"/>
    </row>
    <row r="811" spans="3:11" x14ac:dyDescent="0.25">
      <c r="C811" s="130"/>
      <c r="D811" s="130"/>
      <c r="E811" s="130"/>
      <c r="F811" s="130"/>
      <c r="G811" s="130"/>
      <c r="H811" s="130"/>
      <c r="I811" s="130"/>
      <c r="J811" s="130"/>
      <c r="K811" s="130"/>
    </row>
    <row r="812" spans="3:11" x14ac:dyDescent="0.25">
      <c r="C812" s="130"/>
      <c r="D812" s="130"/>
      <c r="E812" s="130"/>
      <c r="F812" s="130"/>
      <c r="G812" s="130"/>
      <c r="H812" s="130"/>
      <c r="I812" s="130"/>
      <c r="J812" s="130"/>
      <c r="K812" s="130"/>
    </row>
    <row r="813" spans="3:11" x14ac:dyDescent="0.25">
      <c r="C813" s="130"/>
      <c r="D813" s="130"/>
      <c r="E813" s="130"/>
      <c r="F813" s="130"/>
      <c r="G813" s="130"/>
      <c r="H813" s="130"/>
      <c r="I813" s="130"/>
      <c r="J813" s="130"/>
      <c r="K813" s="130"/>
    </row>
    <row r="814" spans="3:11" x14ac:dyDescent="0.25">
      <c r="C814" s="130"/>
      <c r="D814" s="130"/>
      <c r="E814" s="130"/>
      <c r="F814" s="130"/>
      <c r="G814" s="130"/>
      <c r="H814" s="130"/>
      <c r="I814" s="130"/>
      <c r="J814" s="130"/>
      <c r="K814" s="130"/>
    </row>
    <row r="815" spans="3:11" x14ac:dyDescent="0.25">
      <c r="C815" s="130"/>
      <c r="D815" s="130"/>
      <c r="E815" s="130"/>
      <c r="F815" s="130"/>
      <c r="G815" s="130"/>
      <c r="H815" s="130"/>
      <c r="I815" s="130"/>
      <c r="J815" s="130"/>
      <c r="K815" s="130"/>
    </row>
    <row r="816" spans="3:11" x14ac:dyDescent="0.25">
      <c r="C816" s="130"/>
      <c r="D816" s="130"/>
      <c r="E816" s="130"/>
      <c r="F816" s="130"/>
      <c r="G816" s="130"/>
      <c r="H816" s="130"/>
      <c r="I816" s="130"/>
      <c r="J816" s="130"/>
      <c r="K816" s="130"/>
    </row>
    <row r="817" spans="3:11" x14ac:dyDescent="0.25">
      <c r="C817" s="130"/>
      <c r="D817" s="130"/>
      <c r="E817" s="130"/>
      <c r="F817" s="130"/>
      <c r="G817" s="130"/>
      <c r="H817" s="130"/>
      <c r="I817" s="130"/>
      <c r="J817" s="130"/>
      <c r="K817" s="130"/>
    </row>
    <row r="818" spans="3:11" x14ac:dyDescent="0.25">
      <c r="C818" s="130"/>
      <c r="D818" s="130"/>
      <c r="E818" s="130"/>
      <c r="F818" s="130"/>
      <c r="G818" s="130"/>
      <c r="H818" s="130"/>
      <c r="I818" s="130"/>
      <c r="J818" s="130"/>
      <c r="K818" s="130"/>
    </row>
    <row r="819" spans="3:11" x14ac:dyDescent="0.25">
      <c r="C819" s="130"/>
      <c r="D819" s="130"/>
      <c r="E819" s="130"/>
      <c r="F819" s="130"/>
      <c r="G819" s="130"/>
      <c r="H819" s="130"/>
      <c r="I819" s="130"/>
      <c r="J819" s="130"/>
      <c r="K819" s="130"/>
    </row>
    <row r="820" spans="3:11" x14ac:dyDescent="0.25">
      <c r="C820" s="130"/>
      <c r="D820" s="130"/>
      <c r="E820" s="130"/>
      <c r="F820" s="130"/>
      <c r="G820" s="130"/>
      <c r="H820" s="130"/>
      <c r="I820" s="130"/>
    </row>
    <row r="821" spans="3:11" x14ac:dyDescent="0.25">
      <c r="C821" s="130"/>
      <c r="D821" s="130"/>
      <c r="E821" s="130"/>
      <c r="F821" s="130"/>
      <c r="G821" s="130"/>
      <c r="H821" s="130"/>
      <c r="I821" s="130"/>
    </row>
    <row r="822" spans="3:11" x14ac:dyDescent="0.25">
      <c r="C822" s="130"/>
      <c r="D822" s="130"/>
      <c r="E822" s="130"/>
      <c r="F822" s="130"/>
      <c r="G822" s="130"/>
      <c r="H822" s="130"/>
      <c r="I822" s="130"/>
    </row>
    <row r="823" spans="3:11" x14ac:dyDescent="0.25">
      <c r="C823" s="130"/>
      <c r="D823" s="130"/>
      <c r="E823" s="130"/>
      <c r="F823" s="130"/>
      <c r="G823" s="130"/>
      <c r="H823" s="130"/>
      <c r="I823" s="130"/>
    </row>
    <row r="824" spans="3:11" x14ac:dyDescent="0.25">
      <c r="C824" s="130"/>
      <c r="D824" s="130"/>
      <c r="E824" s="130"/>
      <c r="F824" s="130"/>
      <c r="G824" s="130"/>
      <c r="H824" s="130"/>
      <c r="I824" s="130"/>
    </row>
    <row r="825" spans="3:11" x14ac:dyDescent="0.25">
      <c r="C825" s="130"/>
      <c r="D825" s="130"/>
      <c r="E825" s="130"/>
      <c r="F825" s="130"/>
      <c r="G825" s="130"/>
      <c r="H825" s="130"/>
      <c r="I825" s="130"/>
    </row>
    <row r="826" spans="3:11" x14ac:dyDescent="0.25">
      <c r="C826" s="130"/>
      <c r="D826" s="130"/>
      <c r="E826" s="130"/>
      <c r="F826" s="130"/>
      <c r="G826" s="130"/>
      <c r="H826" s="130"/>
      <c r="I826" s="130"/>
    </row>
    <row r="827" spans="3:11" x14ac:dyDescent="0.25">
      <c r="C827" s="130"/>
      <c r="D827" s="130"/>
      <c r="E827" s="130"/>
      <c r="F827" s="130"/>
      <c r="G827" s="130"/>
      <c r="H827" s="130"/>
      <c r="I827" s="130"/>
    </row>
    <row r="828" spans="3:11" x14ac:dyDescent="0.25">
      <c r="C828" s="130"/>
      <c r="D828" s="130"/>
      <c r="E828" s="130"/>
      <c r="F828" s="130"/>
      <c r="G828" s="130"/>
      <c r="H828" s="130"/>
      <c r="I828" s="130"/>
    </row>
    <row r="829" spans="3:11" x14ac:dyDescent="0.25">
      <c r="C829" s="130"/>
      <c r="D829" s="130"/>
      <c r="E829" s="130"/>
      <c r="F829" s="130"/>
      <c r="G829" s="130"/>
      <c r="H829" s="130"/>
      <c r="I829" s="130"/>
    </row>
    <row r="830" spans="3:11" x14ac:dyDescent="0.25">
      <c r="C830" s="130"/>
      <c r="D830" s="130"/>
      <c r="E830" s="130"/>
      <c r="F830" s="130"/>
      <c r="G830" s="130"/>
      <c r="H830" s="130"/>
      <c r="I830" s="130"/>
    </row>
    <row r="831" spans="3:11" x14ac:dyDescent="0.25">
      <c r="C831" s="130"/>
      <c r="D831" s="130"/>
      <c r="E831" s="130"/>
      <c r="F831" s="130"/>
      <c r="G831" s="130"/>
      <c r="H831" s="130"/>
      <c r="I831" s="130"/>
    </row>
    <row r="832" spans="3:11" x14ac:dyDescent="0.25">
      <c r="C832" s="130"/>
      <c r="D832" s="130"/>
      <c r="E832" s="130"/>
      <c r="F832" s="130"/>
      <c r="G832" s="130"/>
      <c r="H832" s="130"/>
      <c r="I832" s="130"/>
    </row>
    <row r="833" spans="3:9" x14ac:dyDescent="0.25">
      <c r="C833" s="130"/>
      <c r="D833" s="130"/>
      <c r="E833" s="130"/>
      <c r="F833" s="130"/>
      <c r="G833" s="130"/>
      <c r="H833" s="130"/>
      <c r="I833" s="130"/>
    </row>
    <row r="834" spans="3:9" x14ac:dyDescent="0.25">
      <c r="C834" s="130"/>
      <c r="D834" s="130"/>
      <c r="E834" s="130"/>
      <c r="F834" s="130"/>
      <c r="G834" s="130"/>
      <c r="H834" s="130"/>
      <c r="I834" s="130"/>
    </row>
    <row r="835" spans="3:9" x14ac:dyDescent="0.25">
      <c r="C835" s="130"/>
      <c r="D835" s="130"/>
      <c r="E835" s="130"/>
      <c r="F835" s="130"/>
      <c r="G835" s="130"/>
      <c r="H835" s="130"/>
      <c r="I835" s="130"/>
    </row>
    <row r="836" spans="3:9" x14ac:dyDescent="0.25">
      <c r="C836" s="130"/>
      <c r="D836" s="130"/>
      <c r="E836" s="130"/>
      <c r="F836" s="130"/>
      <c r="G836" s="130"/>
      <c r="H836" s="130"/>
      <c r="I836" s="130"/>
    </row>
    <row r="837" spans="3:9" x14ac:dyDescent="0.25">
      <c r="C837" s="130"/>
      <c r="D837" s="130"/>
      <c r="E837" s="130"/>
      <c r="F837" s="130"/>
      <c r="G837" s="130"/>
      <c r="H837" s="130"/>
      <c r="I837" s="130"/>
    </row>
    <row r="838" spans="3:9" x14ac:dyDescent="0.25">
      <c r="C838" s="130"/>
      <c r="D838" s="130"/>
      <c r="E838" s="130"/>
      <c r="F838" s="130"/>
      <c r="G838" s="130"/>
      <c r="H838" s="130"/>
      <c r="I838" s="130"/>
    </row>
    <row r="839" spans="3:9" x14ac:dyDescent="0.25">
      <c r="C839" s="130"/>
      <c r="D839" s="130"/>
      <c r="E839" s="130"/>
      <c r="F839" s="130"/>
      <c r="G839" s="130"/>
      <c r="H839" s="130"/>
      <c r="I839" s="130"/>
    </row>
    <row r="840" spans="3:9" x14ac:dyDescent="0.25">
      <c r="C840" s="130"/>
      <c r="D840" s="130"/>
      <c r="E840" s="130"/>
      <c r="F840" s="130"/>
      <c r="G840" s="130"/>
      <c r="H840" s="130"/>
      <c r="I840" s="130"/>
    </row>
  </sheetData>
  <pageMargins left="0.74791666666666667" right="0.74791666666666667" top="0.98402777777777783" bottom="0.98402777777777783" header="0.51180555555555562" footer="0.51180555555555562"/>
  <pageSetup paperSize="9" firstPageNumber="0" orientation="portrait" horizontalDpi="300" verticalDpi="300" r:id="rId1"/>
  <headerFooter alignWithMargins="0"/>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V315"/>
  <sheetViews>
    <sheetView workbookViewId="0">
      <selection activeCell="L12" sqref="L12"/>
    </sheetView>
  </sheetViews>
  <sheetFormatPr defaultRowHeight="14.4" x14ac:dyDescent="0.3"/>
  <cols>
    <col min="1" max="1" width="12.33203125" customWidth="1"/>
    <col min="2" max="2" width="15.5546875" customWidth="1"/>
    <col min="3" max="9" width="17.88671875" customWidth="1"/>
    <col min="10" max="14" width="16.44140625" customWidth="1"/>
    <col min="15" max="19" width="17.109375" customWidth="1"/>
  </cols>
  <sheetData>
    <row r="1" spans="1:10" ht="18" x14ac:dyDescent="0.35">
      <c r="A1" s="1172" t="s">
        <v>893</v>
      </c>
      <c r="B1" s="1172"/>
      <c r="C1" s="1172"/>
    </row>
    <row r="3" spans="1:10" x14ac:dyDescent="0.3">
      <c r="A3" s="2"/>
      <c r="B3" s="129" t="s">
        <v>6179</v>
      </c>
      <c r="C3" s="129" t="s">
        <v>550</v>
      </c>
      <c r="D3" s="129" t="s">
        <v>551</v>
      </c>
      <c r="E3" s="129" t="s">
        <v>552</v>
      </c>
      <c r="F3" s="129" t="s">
        <v>553</v>
      </c>
      <c r="G3" s="129" t="s">
        <v>580</v>
      </c>
      <c r="H3" s="129" t="s">
        <v>555</v>
      </c>
      <c r="I3" s="129" t="s">
        <v>556</v>
      </c>
    </row>
    <row r="4" spans="1:10" x14ac:dyDescent="0.3">
      <c r="A4" s="2"/>
      <c r="B4" s="946" t="s">
        <v>5273</v>
      </c>
      <c r="C4" s="130">
        <v>0.25208333333333333</v>
      </c>
      <c r="D4" s="637"/>
      <c r="E4" s="130">
        <v>0.12638888888888888</v>
      </c>
      <c r="F4" s="637">
        <v>4.3750000000000004E-2</v>
      </c>
      <c r="G4" s="130">
        <v>0.42222222222222222</v>
      </c>
      <c r="H4" s="130">
        <v>0.25208333333333333</v>
      </c>
      <c r="I4" s="2" t="s">
        <v>557</v>
      </c>
    </row>
    <row r="5" spans="1:10" x14ac:dyDescent="0.3">
      <c r="A5" s="2"/>
      <c r="B5" s="946" t="s">
        <v>4807</v>
      </c>
      <c r="C5" s="130">
        <v>0.20902777777777778</v>
      </c>
      <c r="D5" s="637" t="s">
        <v>352</v>
      </c>
      <c r="E5" s="130">
        <v>0.17013888888888887</v>
      </c>
      <c r="F5" s="637">
        <v>4.3750000000000004E-2</v>
      </c>
      <c r="G5" s="130">
        <v>0.42291666666666666</v>
      </c>
      <c r="H5" s="130">
        <v>0.21319444444444444</v>
      </c>
      <c r="I5" s="129" t="s">
        <v>558</v>
      </c>
    </row>
    <row r="6" spans="1:10" x14ac:dyDescent="0.3">
      <c r="A6" s="2"/>
      <c r="B6" s="946" t="s">
        <v>4613</v>
      </c>
      <c r="C6" s="130">
        <v>0.1277777777777778</v>
      </c>
      <c r="D6" s="637" t="s">
        <v>171</v>
      </c>
      <c r="E6" s="130">
        <v>8.6111111111111124E-2</v>
      </c>
      <c r="F6" s="637">
        <v>0.20902777777777778</v>
      </c>
      <c r="G6" s="130">
        <v>0.5083333333333333</v>
      </c>
      <c r="H6" s="130">
        <v>0.17222222222222225</v>
      </c>
      <c r="I6" s="129" t="s">
        <v>558</v>
      </c>
    </row>
    <row r="7" spans="1:10" x14ac:dyDescent="0.3">
      <c r="A7" s="2"/>
      <c r="B7" s="946" t="s">
        <v>3606</v>
      </c>
      <c r="C7" s="130" t="s">
        <v>3796</v>
      </c>
      <c r="D7" s="130" t="s">
        <v>160</v>
      </c>
      <c r="E7" s="130">
        <v>0.16805555555555554</v>
      </c>
      <c r="F7" s="130">
        <v>0.16874999999999998</v>
      </c>
      <c r="G7" s="130">
        <v>0.67569444444444438</v>
      </c>
      <c r="H7" s="130">
        <v>0.37708333333333338</v>
      </c>
      <c r="I7" s="129" t="s">
        <v>557</v>
      </c>
    </row>
    <row r="8" spans="1:10" x14ac:dyDescent="0.3">
      <c r="A8" s="2"/>
      <c r="B8" s="2" t="s">
        <v>1120</v>
      </c>
      <c r="C8" s="130">
        <v>8.4027777777777771E-2</v>
      </c>
      <c r="D8" s="130">
        <v>0.20972222222222223</v>
      </c>
      <c r="E8" s="130" t="s">
        <v>354</v>
      </c>
      <c r="F8" s="130" t="s">
        <v>354</v>
      </c>
      <c r="G8" s="130">
        <v>0.5493055555555556</v>
      </c>
      <c r="H8" s="130">
        <v>0.33611111111111108</v>
      </c>
      <c r="I8" s="129" t="s">
        <v>557</v>
      </c>
    </row>
    <row r="9" spans="1:10" x14ac:dyDescent="0.3">
      <c r="A9" s="2"/>
      <c r="B9" s="2" t="s">
        <v>259</v>
      </c>
      <c r="C9" s="130">
        <v>8.5416666666666655E-2</v>
      </c>
      <c r="D9" s="130">
        <v>0.1277777777777778</v>
      </c>
      <c r="E9" s="130">
        <v>4.3750000000000004E-2</v>
      </c>
      <c r="F9" s="130">
        <v>0.21041666666666667</v>
      </c>
      <c r="G9" s="130">
        <v>0.46736111111111112</v>
      </c>
      <c r="H9" s="130">
        <v>0.13125000000000001</v>
      </c>
      <c r="I9" s="129" t="s">
        <v>558</v>
      </c>
    </row>
    <row r="10" spans="1:10" x14ac:dyDescent="0.3">
      <c r="A10" s="2"/>
      <c r="B10" s="2" t="s">
        <v>683</v>
      </c>
      <c r="C10" s="130" t="s">
        <v>159</v>
      </c>
      <c r="D10" s="130">
        <v>4.4444444444444446E-2</v>
      </c>
      <c r="E10" s="130">
        <v>8.7500000000000008E-2</v>
      </c>
      <c r="F10" s="130">
        <v>2.7777777777777779E-3</v>
      </c>
      <c r="G10" s="130">
        <v>0.3034722222222222</v>
      </c>
      <c r="H10" s="130">
        <v>9.0277777777777776E-2</v>
      </c>
      <c r="I10" s="129" t="s">
        <v>558</v>
      </c>
      <c r="J10" s="130"/>
    </row>
    <row r="11" spans="1:10" x14ac:dyDescent="0.3">
      <c r="A11" s="2"/>
      <c r="B11" s="2" t="s">
        <v>401</v>
      </c>
      <c r="C11" s="130" t="s">
        <v>351</v>
      </c>
      <c r="D11" s="130">
        <v>0.21041666666666667</v>
      </c>
      <c r="E11" s="130">
        <v>4.6527777777777779E-2</v>
      </c>
      <c r="F11" s="130">
        <v>4.3055555555555562E-2</v>
      </c>
      <c r="G11" s="130">
        <v>0.42638888888888887</v>
      </c>
      <c r="H11" s="130">
        <v>0.21319444444444444</v>
      </c>
      <c r="I11" s="130" t="s">
        <v>558</v>
      </c>
      <c r="J11" s="130"/>
    </row>
    <row r="12" spans="1:10" x14ac:dyDescent="0.3">
      <c r="A12" s="2"/>
      <c r="B12" s="2" t="s">
        <v>395</v>
      </c>
      <c r="C12" s="130">
        <v>8.5416666666666655E-2</v>
      </c>
      <c r="D12" s="130">
        <v>6.9444444444444447E-4</v>
      </c>
      <c r="E12" s="130">
        <v>0.12569444444444444</v>
      </c>
      <c r="F12" s="130">
        <v>0.25069444444444444</v>
      </c>
      <c r="G12" s="130">
        <v>0.46249999999999997</v>
      </c>
      <c r="H12" s="130">
        <v>0.25416666666666665</v>
      </c>
      <c r="I12" s="130" t="s">
        <v>557</v>
      </c>
      <c r="J12" s="130"/>
    </row>
    <row r="13" spans="1:10" x14ac:dyDescent="0.3">
      <c r="A13" s="2"/>
      <c r="B13" s="2" t="s">
        <v>390</v>
      </c>
      <c r="C13" s="130">
        <v>0.25069444444444444</v>
      </c>
      <c r="D13" s="130">
        <v>4.3750000000000004E-2</v>
      </c>
      <c r="E13" s="130" t="s">
        <v>568</v>
      </c>
      <c r="F13" s="130">
        <v>4.3055555555555562E-2</v>
      </c>
      <c r="G13" s="130">
        <v>0.59097222222222223</v>
      </c>
      <c r="H13" s="130">
        <v>0.21319444444444444</v>
      </c>
      <c r="I13" s="130" t="s">
        <v>558</v>
      </c>
    </row>
    <row r="14" spans="1:10" x14ac:dyDescent="0.3">
      <c r="A14" s="2"/>
      <c r="B14" s="2" t="s">
        <v>386</v>
      </c>
      <c r="C14" s="130">
        <v>4.4444444444444446E-2</v>
      </c>
      <c r="D14" s="130">
        <v>0.1673611111111111</v>
      </c>
      <c r="E14" s="130">
        <v>0.12638888888888888</v>
      </c>
      <c r="F14" s="130">
        <v>4.4444444444444446E-2</v>
      </c>
      <c r="G14" s="130">
        <v>0.38263888888888892</v>
      </c>
      <c r="H14" s="130">
        <v>0.25416666666666665</v>
      </c>
      <c r="I14" s="139" t="s">
        <v>558</v>
      </c>
    </row>
    <row r="15" spans="1:10" x14ac:dyDescent="0.3">
      <c r="A15" s="2"/>
      <c r="B15" s="2" t="s">
        <v>379</v>
      </c>
      <c r="C15" s="130" t="s">
        <v>159</v>
      </c>
      <c r="D15" s="130">
        <v>0.20972222222222223</v>
      </c>
      <c r="E15" s="130" t="s">
        <v>164</v>
      </c>
      <c r="F15" s="130" t="s">
        <v>159</v>
      </c>
      <c r="G15" s="130">
        <v>0.71597222222222223</v>
      </c>
      <c r="H15" s="130">
        <v>0.37708333333333338</v>
      </c>
      <c r="I15" s="130" t="s">
        <v>557</v>
      </c>
    </row>
    <row r="16" spans="1:10" x14ac:dyDescent="0.3">
      <c r="A16" s="2"/>
      <c r="B16" s="2" t="s">
        <v>372</v>
      </c>
      <c r="C16" s="130">
        <v>0.1673611111111111</v>
      </c>
      <c r="D16" s="130" t="s">
        <v>352</v>
      </c>
      <c r="E16" s="130">
        <v>4.5138888888888888E-2</v>
      </c>
      <c r="F16" s="130">
        <v>4.4444444444444446E-2</v>
      </c>
      <c r="G16" s="130">
        <v>0.3833333333333333</v>
      </c>
      <c r="H16" s="130">
        <v>0.21319444444444444</v>
      </c>
      <c r="I16" s="129" t="s">
        <v>558</v>
      </c>
    </row>
    <row r="17" spans="1:11" x14ac:dyDescent="0.3">
      <c r="A17" s="2"/>
      <c r="B17" s="2" t="s">
        <v>458</v>
      </c>
      <c r="C17" s="130">
        <v>0.21041666666666667</v>
      </c>
      <c r="D17" s="130">
        <v>4.6527777777777779E-2</v>
      </c>
      <c r="E17" s="130">
        <v>4.3750000000000004E-2</v>
      </c>
      <c r="F17" s="130">
        <v>4.4444444444444446E-2</v>
      </c>
      <c r="G17" s="130">
        <v>0.34513888888888888</v>
      </c>
      <c r="H17" s="130">
        <v>0.13125000000000001</v>
      </c>
      <c r="I17" s="129" t="s">
        <v>558</v>
      </c>
    </row>
    <row r="18" spans="1:11" x14ac:dyDescent="0.3">
      <c r="A18" s="2"/>
      <c r="B18" s="2" t="s">
        <v>455</v>
      </c>
      <c r="C18" s="130">
        <v>0.21041666666666667</v>
      </c>
      <c r="D18" s="130">
        <v>0.25347222222222221</v>
      </c>
      <c r="E18" s="130">
        <v>0.12569444444444444</v>
      </c>
      <c r="F18" s="130">
        <v>8.5416666666666655E-2</v>
      </c>
      <c r="G18" s="130">
        <v>0.67500000000000004</v>
      </c>
      <c r="H18" s="130">
        <v>0.37708333333333338</v>
      </c>
      <c r="I18" s="129" t="s">
        <v>557</v>
      </c>
    </row>
    <row r="19" spans="1:11" x14ac:dyDescent="0.3">
      <c r="A19" s="2"/>
      <c r="B19" s="2"/>
      <c r="H19" s="60"/>
    </row>
    <row r="20" spans="1:11" x14ac:dyDescent="0.3">
      <c r="B20" s="2"/>
    </row>
    <row r="21" spans="1:11" x14ac:dyDescent="0.3">
      <c r="B21" s="2"/>
    </row>
    <row r="22" spans="1:11" x14ac:dyDescent="0.3">
      <c r="B22" s="2" t="s">
        <v>729</v>
      </c>
      <c r="C22" s="129" t="s">
        <v>550</v>
      </c>
      <c r="D22" s="129" t="s">
        <v>551</v>
      </c>
      <c r="E22" s="129" t="s">
        <v>730</v>
      </c>
      <c r="F22" s="129" t="s">
        <v>552</v>
      </c>
      <c r="G22" s="129" t="s">
        <v>553</v>
      </c>
      <c r="H22" s="129"/>
      <c r="I22" s="129"/>
    </row>
    <row r="23" spans="1:11" x14ac:dyDescent="0.3">
      <c r="B23" s="2" t="s">
        <v>733</v>
      </c>
      <c r="C23" s="130">
        <v>0.12638888888888888</v>
      </c>
      <c r="D23" s="130">
        <v>8.4027777777777771E-2</v>
      </c>
      <c r="E23" s="130" t="s">
        <v>351</v>
      </c>
      <c r="F23" s="130">
        <v>0.125</v>
      </c>
      <c r="G23" s="130">
        <v>4.4444444444444446E-2</v>
      </c>
    </row>
    <row r="25" spans="1:11" x14ac:dyDescent="0.3">
      <c r="A25" s="2"/>
      <c r="B25" s="129" t="s">
        <v>334</v>
      </c>
      <c r="C25" s="129" t="s">
        <v>550</v>
      </c>
      <c r="D25" s="129" t="s">
        <v>551</v>
      </c>
      <c r="E25" s="129" t="s">
        <v>552</v>
      </c>
      <c r="F25" s="129" t="s">
        <v>553</v>
      </c>
      <c r="G25" s="129" t="s">
        <v>580</v>
      </c>
      <c r="H25" s="129" t="s">
        <v>555</v>
      </c>
      <c r="I25" s="129" t="s">
        <v>556</v>
      </c>
    </row>
    <row r="26" spans="1:11" x14ac:dyDescent="0.3">
      <c r="A26" s="2"/>
      <c r="B26" s="946" t="s">
        <v>5273</v>
      </c>
      <c r="C26" s="130">
        <v>0.25277777777777777</v>
      </c>
      <c r="D26" s="130">
        <v>0.20972222222222223</v>
      </c>
      <c r="E26" s="130" t="s">
        <v>351</v>
      </c>
      <c r="F26" s="130"/>
      <c r="G26" s="130">
        <v>0.58888888888888891</v>
      </c>
      <c r="H26" s="130">
        <v>0.33402777777777781</v>
      </c>
      <c r="I26" s="129" t="s">
        <v>557</v>
      </c>
    </row>
    <row r="27" spans="1:11" x14ac:dyDescent="0.3">
      <c r="A27" s="2"/>
      <c r="B27" s="946" t="s">
        <v>4807</v>
      </c>
      <c r="C27" s="130" t="s">
        <v>589</v>
      </c>
      <c r="D27" s="130" t="s">
        <v>164</v>
      </c>
      <c r="E27" s="130">
        <v>4.4444444444444446E-2</v>
      </c>
      <c r="F27" s="130" t="s">
        <v>171</v>
      </c>
      <c r="G27" s="130">
        <v>0.17291666666666669</v>
      </c>
      <c r="H27" s="130">
        <v>0.17222222222222225</v>
      </c>
      <c r="I27" s="129" t="s">
        <v>558</v>
      </c>
      <c r="J27" s="129"/>
    </row>
    <row r="28" spans="1:11" x14ac:dyDescent="0.3">
      <c r="A28" s="2"/>
      <c r="B28" s="946" t="s">
        <v>4613</v>
      </c>
      <c r="C28" s="130">
        <v>8.6805555555555566E-2</v>
      </c>
      <c r="D28" s="130">
        <v>8.7500000000000008E-2</v>
      </c>
      <c r="E28" s="130" t="s">
        <v>163</v>
      </c>
      <c r="F28" s="637">
        <v>4.3750000000000004E-2</v>
      </c>
      <c r="G28" s="130">
        <v>0.34583333333333338</v>
      </c>
      <c r="H28" s="130">
        <v>4.9305555555555554E-2</v>
      </c>
      <c r="I28" s="129" t="s">
        <v>558</v>
      </c>
    </row>
    <row r="29" spans="1:11" x14ac:dyDescent="0.3">
      <c r="A29" s="2"/>
      <c r="B29" s="946" t="s">
        <v>3606</v>
      </c>
      <c r="C29" s="130">
        <v>0.12916666666666668</v>
      </c>
      <c r="D29" s="130">
        <v>4.3055555555555562E-2</v>
      </c>
      <c r="E29" s="130">
        <v>8.6111111111111124E-2</v>
      </c>
      <c r="F29" s="60">
        <v>0.12638888888888888</v>
      </c>
      <c r="G29" s="130">
        <v>0.38472222222222219</v>
      </c>
      <c r="H29" s="130">
        <v>0.13125000000000001</v>
      </c>
      <c r="I29" s="129" t="s">
        <v>558</v>
      </c>
    </row>
    <row r="30" spans="1:11" x14ac:dyDescent="0.3">
      <c r="A30" s="2"/>
      <c r="B30" s="2" t="s">
        <v>1120</v>
      </c>
      <c r="C30" s="130">
        <v>8.5416666666666655E-2</v>
      </c>
      <c r="D30" s="130">
        <v>0.20972222222222223</v>
      </c>
      <c r="E30" s="130">
        <v>8.5416666666666655E-2</v>
      </c>
      <c r="F30" s="60">
        <v>1.3888888888888889E-3</v>
      </c>
      <c r="G30" s="130">
        <v>0.38194444444444442</v>
      </c>
      <c r="H30" s="130">
        <v>0.13125000000000001</v>
      </c>
      <c r="I30" s="129" t="s">
        <v>558</v>
      </c>
    </row>
    <row r="31" spans="1:11" x14ac:dyDescent="0.3">
      <c r="A31" s="2"/>
      <c r="B31" s="2" t="s">
        <v>259</v>
      </c>
      <c r="C31" s="130">
        <v>1.3888888888888889E-3</v>
      </c>
      <c r="D31" s="130">
        <v>3.472222222222222E-3</v>
      </c>
      <c r="E31" s="130">
        <v>8.6111111111111124E-2</v>
      </c>
      <c r="F31" s="130">
        <v>4.4444444444444446E-2</v>
      </c>
      <c r="G31" s="130">
        <v>0.13541666666666666</v>
      </c>
      <c r="H31" s="130">
        <v>8.3333333333333332E-3</v>
      </c>
      <c r="I31" s="129" t="s">
        <v>558</v>
      </c>
    </row>
    <row r="32" spans="1:11" x14ac:dyDescent="0.3">
      <c r="A32" s="2"/>
      <c r="B32" s="2" t="s">
        <v>683</v>
      </c>
      <c r="C32" s="130">
        <v>8.5416666666666655E-2</v>
      </c>
      <c r="D32" s="130">
        <v>8.6805555555555566E-2</v>
      </c>
      <c r="E32" s="130">
        <v>4.5138888888888888E-2</v>
      </c>
      <c r="F32" s="130">
        <v>0.1277777777777778</v>
      </c>
      <c r="G32" s="130">
        <v>0.34513888888888888</v>
      </c>
      <c r="H32" s="130">
        <v>8.3333333333333332E-3</v>
      </c>
      <c r="I32" s="129" t="s">
        <v>558</v>
      </c>
      <c r="K32" s="130"/>
    </row>
    <row r="33" spans="1:11" x14ac:dyDescent="0.3">
      <c r="A33" s="2"/>
      <c r="B33" s="2" t="s">
        <v>401</v>
      </c>
      <c r="C33" s="130" t="s">
        <v>163</v>
      </c>
      <c r="D33" s="130">
        <v>4.4444444444444446E-2</v>
      </c>
      <c r="E33" s="130">
        <v>4.3055555555555562E-2</v>
      </c>
      <c r="F33" s="130" t="s">
        <v>351</v>
      </c>
      <c r="G33" s="130">
        <v>0.34166666666666662</v>
      </c>
      <c r="H33" s="130">
        <v>0.13125000000000001</v>
      </c>
      <c r="I33" s="130" t="s">
        <v>558</v>
      </c>
      <c r="K33" s="130"/>
    </row>
    <row r="34" spans="1:11" x14ac:dyDescent="0.3">
      <c r="A34" s="2"/>
      <c r="B34" s="2" t="s">
        <v>395</v>
      </c>
      <c r="C34" s="130">
        <v>4.4444444444444446E-2</v>
      </c>
      <c r="D34" s="130">
        <v>8.4027777777777771E-2</v>
      </c>
      <c r="E34" s="130">
        <v>8.6111111111111124E-2</v>
      </c>
      <c r="F34" s="130">
        <v>2.0833333333333333E-3</v>
      </c>
      <c r="G34" s="130">
        <v>0.21666666666666667</v>
      </c>
      <c r="H34" s="130">
        <v>0.13125000000000001</v>
      </c>
      <c r="I34" s="130" t="s">
        <v>558</v>
      </c>
      <c r="K34" s="130"/>
    </row>
    <row r="35" spans="1:11" x14ac:dyDescent="0.3">
      <c r="A35" s="2"/>
      <c r="B35" s="2" t="s">
        <v>390</v>
      </c>
      <c r="C35" s="130" t="s">
        <v>352</v>
      </c>
      <c r="D35" s="130">
        <v>0.12847222222222224</v>
      </c>
      <c r="E35" s="130">
        <v>0.1673611111111111</v>
      </c>
      <c r="F35" s="130">
        <v>4.4444444444444446E-2</v>
      </c>
      <c r="G35" s="130">
        <v>0.46666666666666662</v>
      </c>
      <c r="H35" s="130">
        <v>0.21319444444444444</v>
      </c>
      <c r="I35" s="130" t="s">
        <v>558</v>
      </c>
    </row>
    <row r="36" spans="1:11" x14ac:dyDescent="0.3">
      <c r="A36" s="2"/>
      <c r="B36" s="2" t="s">
        <v>386</v>
      </c>
      <c r="C36" s="130">
        <v>4.3750000000000004E-2</v>
      </c>
      <c r="D36" s="130">
        <v>4.1666666666666664E-2</v>
      </c>
      <c r="E36" s="130">
        <v>8.3333333333333329E-2</v>
      </c>
      <c r="F36" s="130">
        <v>8.7500000000000008E-2</v>
      </c>
      <c r="G36" s="130">
        <v>0.25625000000000003</v>
      </c>
      <c r="H36" s="130">
        <v>0.25416666666666665</v>
      </c>
      <c r="I36" s="139" t="s">
        <v>558</v>
      </c>
    </row>
    <row r="37" spans="1:11" x14ac:dyDescent="0.3">
      <c r="A37" s="2"/>
      <c r="B37" s="2" t="s">
        <v>379</v>
      </c>
      <c r="C37" s="130">
        <v>4.4444444444444446E-2</v>
      </c>
      <c r="D37" s="130" t="s">
        <v>568</v>
      </c>
      <c r="E37" s="130">
        <v>0.12916666666666668</v>
      </c>
      <c r="F37" s="130">
        <v>0.20972222222222223</v>
      </c>
      <c r="G37" s="130">
        <v>0.63680555555555551</v>
      </c>
      <c r="H37" s="130">
        <v>0.21319444444444444</v>
      </c>
      <c r="I37" s="130" t="s">
        <v>558</v>
      </c>
    </row>
    <row r="38" spans="1:11" x14ac:dyDescent="0.3">
      <c r="A38" s="2"/>
      <c r="B38" s="2" t="s">
        <v>372</v>
      </c>
      <c r="C38" s="130">
        <v>2.7777777777777779E-3</v>
      </c>
      <c r="D38" s="130">
        <v>0.21041666666666667</v>
      </c>
      <c r="E38" s="130">
        <v>0.12986111111111112</v>
      </c>
      <c r="F38" s="130">
        <v>0.17083333333333331</v>
      </c>
      <c r="G38" s="130">
        <v>0.51388888888888895</v>
      </c>
      <c r="H38" s="130">
        <v>0.13125000000000001</v>
      </c>
      <c r="I38" s="129" t="s">
        <v>558</v>
      </c>
    </row>
    <row r="39" spans="1:11" x14ac:dyDescent="0.3">
      <c r="A39" s="2"/>
      <c r="B39" s="2" t="s">
        <v>458</v>
      </c>
      <c r="C39" s="130">
        <v>8.6111111111111124E-2</v>
      </c>
      <c r="D39" s="130">
        <v>0.25208333333333333</v>
      </c>
      <c r="E39" s="130">
        <v>4.8611111111111112E-2</v>
      </c>
      <c r="F39" s="130">
        <v>0.12569444444444444</v>
      </c>
      <c r="G39" s="130">
        <v>0.51250000000000007</v>
      </c>
      <c r="H39" s="130">
        <v>0.25416666666666665</v>
      </c>
      <c r="I39" s="129" t="s">
        <v>558</v>
      </c>
    </row>
    <row r="40" spans="1:11" x14ac:dyDescent="0.3">
      <c r="A40" s="2"/>
      <c r="B40" s="2" t="s">
        <v>455</v>
      </c>
      <c r="C40" s="130" t="s">
        <v>576</v>
      </c>
      <c r="D40" s="130">
        <v>0.20972222222222223</v>
      </c>
      <c r="E40" s="130">
        <v>8.7499999999999994E-2</v>
      </c>
      <c r="F40" s="130" t="s">
        <v>354</v>
      </c>
      <c r="G40" s="130">
        <v>0.55138888888888882</v>
      </c>
      <c r="H40" s="130">
        <v>0.25416666666666665</v>
      </c>
      <c r="I40" s="129" t="s">
        <v>558</v>
      </c>
    </row>
    <row r="41" spans="1:11" x14ac:dyDescent="0.3">
      <c r="A41" s="2"/>
      <c r="B41" s="2" t="s">
        <v>728</v>
      </c>
      <c r="C41" s="130">
        <v>0.16875000000000001</v>
      </c>
      <c r="D41" s="130">
        <v>0.20833333333333334</v>
      </c>
      <c r="E41" s="130">
        <v>0.12986111111111112</v>
      </c>
      <c r="F41" s="130">
        <v>0.17083333333333331</v>
      </c>
      <c r="G41" s="131">
        <v>0.6777777777777777</v>
      </c>
      <c r="H41" s="130">
        <v>0.25416666666666665</v>
      </c>
      <c r="I41" s="129" t="s">
        <v>562</v>
      </c>
    </row>
    <row r="42" spans="1:11" x14ac:dyDescent="0.3">
      <c r="A42" s="2"/>
      <c r="B42" s="2" t="s">
        <v>449</v>
      </c>
      <c r="C42" s="130">
        <v>0.16805555555555554</v>
      </c>
      <c r="D42" s="130" t="s">
        <v>589</v>
      </c>
      <c r="E42" s="130" t="s">
        <v>161</v>
      </c>
      <c r="F42" s="130" t="s">
        <v>352</v>
      </c>
      <c r="G42" s="130">
        <v>0.42291666666666666</v>
      </c>
      <c r="H42" s="130">
        <v>0.2951388888888889</v>
      </c>
      <c r="I42" s="130" t="s">
        <v>557</v>
      </c>
    </row>
    <row r="43" spans="1:11" x14ac:dyDescent="0.3">
      <c r="A43" s="2"/>
      <c r="B43" s="2"/>
      <c r="C43" s="130"/>
      <c r="D43" s="130"/>
      <c r="E43" s="130"/>
      <c r="F43" s="130"/>
      <c r="G43" s="130"/>
      <c r="H43" s="130"/>
      <c r="I43" s="130"/>
    </row>
    <row r="44" spans="1:11" x14ac:dyDescent="0.3">
      <c r="B44" s="2"/>
      <c r="C44" s="130"/>
      <c r="D44" s="130"/>
      <c r="E44" s="130"/>
      <c r="F44" s="130"/>
      <c r="G44" s="130"/>
      <c r="H44" s="130"/>
      <c r="I44" s="130"/>
    </row>
    <row r="45" spans="1:11" x14ac:dyDescent="0.3">
      <c r="B45" s="2"/>
      <c r="C45" s="130"/>
      <c r="D45" s="130"/>
      <c r="E45" s="130"/>
      <c r="F45" s="130"/>
      <c r="G45" s="130"/>
      <c r="H45" s="130"/>
      <c r="I45" s="130"/>
    </row>
    <row r="46" spans="1:11" x14ac:dyDescent="0.3">
      <c r="B46" s="2" t="s">
        <v>729</v>
      </c>
      <c r="C46" s="129" t="s">
        <v>550</v>
      </c>
      <c r="D46" s="129" t="s">
        <v>551</v>
      </c>
      <c r="E46" s="129" t="s">
        <v>730</v>
      </c>
      <c r="F46" s="129" t="s">
        <v>552</v>
      </c>
      <c r="G46" s="129" t="s">
        <v>553</v>
      </c>
      <c r="H46" s="129" t="s">
        <v>731</v>
      </c>
      <c r="I46" s="129" t="s">
        <v>732</v>
      </c>
    </row>
    <row r="47" spans="1:11" x14ac:dyDescent="0.3">
      <c r="B47" t="s">
        <v>5663</v>
      </c>
      <c r="C47" s="130">
        <v>8.6111111111111124E-2</v>
      </c>
      <c r="F47" s="130">
        <v>4.3750000000000004E-2</v>
      </c>
      <c r="G47" s="130" t="s">
        <v>359</v>
      </c>
    </row>
    <row r="48" spans="1:11" x14ac:dyDescent="0.3">
      <c r="B48" s="2" t="s">
        <v>734</v>
      </c>
      <c r="C48" s="130">
        <v>0.21041666666666667</v>
      </c>
      <c r="D48" s="130">
        <v>0.16805555555555554</v>
      </c>
      <c r="E48" s="130">
        <v>4.4444444444444446E-2</v>
      </c>
      <c r="F48" s="130">
        <v>4.1666666666666666E-3</v>
      </c>
      <c r="G48" s="130">
        <v>8.5416666666666655E-2</v>
      </c>
      <c r="H48" s="130">
        <v>4.5833333333333337E-2</v>
      </c>
    </row>
    <row r="49" spans="1:11" x14ac:dyDescent="0.3">
      <c r="B49" s="2" t="s">
        <v>735</v>
      </c>
      <c r="C49" s="130">
        <v>6.9444444444444447E-4</v>
      </c>
      <c r="D49" s="130">
        <v>0.125</v>
      </c>
      <c r="E49" s="130">
        <v>0.12916666666666668</v>
      </c>
      <c r="F49" s="130">
        <v>0.12569444444444444</v>
      </c>
      <c r="G49" s="130">
        <v>0.12638888888888888</v>
      </c>
      <c r="H49" s="130" t="s">
        <v>208</v>
      </c>
      <c r="I49" s="130">
        <v>8.3333333333333329E-2</v>
      </c>
    </row>
    <row r="52" spans="1:11" x14ac:dyDescent="0.3">
      <c r="A52" s="2"/>
      <c r="B52" s="129" t="s">
        <v>331</v>
      </c>
      <c r="C52" s="129" t="s">
        <v>550</v>
      </c>
      <c r="D52" s="129" t="s">
        <v>551</v>
      </c>
      <c r="E52" s="129" t="s">
        <v>552</v>
      </c>
      <c r="F52" s="129" t="s">
        <v>553</v>
      </c>
      <c r="G52" s="129" t="s">
        <v>580</v>
      </c>
      <c r="H52" s="129" t="s">
        <v>555</v>
      </c>
      <c r="I52" s="129" t="s">
        <v>556</v>
      </c>
    </row>
    <row r="53" spans="1:11" x14ac:dyDescent="0.3">
      <c r="A53" s="2"/>
      <c r="B53" s="946" t="s">
        <v>5273</v>
      </c>
      <c r="C53" s="130">
        <v>0.16805555555555554</v>
      </c>
      <c r="D53" s="130" t="s">
        <v>161</v>
      </c>
      <c r="E53" s="130">
        <v>8.6805555555555566E-2</v>
      </c>
      <c r="F53" s="130"/>
      <c r="G53" s="130">
        <v>0.34027777777777773</v>
      </c>
      <c r="H53" s="130">
        <v>0.17013888888888887</v>
      </c>
      <c r="I53" s="2" t="s">
        <v>558</v>
      </c>
    </row>
    <row r="54" spans="1:11" x14ac:dyDescent="0.3">
      <c r="A54" s="2"/>
      <c r="B54" s="946" t="s">
        <v>4807</v>
      </c>
      <c r="C54" s="130">
        <v>8.6111111111111124E-2</v>
      </c>
      <c r="D54" s="130">
        <v>8.4027777777777771E-2</v>
      </c>
      <c r="E54" s="130">
        <v>0.1277777777777778</v>
      </c>
      <c r="F54" s="130">
        <v>4.4444444444444446E-2</v>
      </c>
      <c r="G54" s="130">
        <v>0.34236111111111112</v>
      </c>
      <c r="H54" s="130">
        <v>0.13125000000000001</v>
      </c>
      <c r="I54" s="129" t="s">
        <v>558</v>
      </c>
    </row>
    <row r="55" spans="1:11" x14ac:dyDescent="0.3">
      <c r="A55" s="2"/>
      <c r="B55" s="946" t="s">
        <v>4613</v>
      </c>
      <c r="C55" s="130">
        <v>8.6805555555555566E-2</v>
      </c>
      <c r="D55" s="130" t="s">
        <v>164</v>
      </c>
      <c r="E55" s="130">
        <v>0.16874999999999998</v>
      </c>
      <c r="F55" s="637" t="s">
        <v>163</v>
      </c>
      <c r="G55" s="130">
        <v>0.55208333333333337</v>
      </c>
      <c r="H55" s="130">
        <v>0.25416666666666665</v>
      </c>
      <c r="I55" s="129" t="s">
        <v>558</v>
      </c>
    </row>
    <row r="56" spans="1:11" x14ac:dyDescent="0.3">
      <c r="A56" s="2"/>
      <c r="B56" s="946" t="s">
        <v>3606</v>
      </c>
      <c r="C56" s="130">
        <v>4.4444444444444446E-2</v>
      </c>
      <c r="D56" s="130">
        <v>2.0833333333333333E-3</v>
      </c>
      <c r="E56" s="130" t="s">
        <v>208</v>
      </c>
      <c r="F56" s="130">
        <v>0.17013888888888887</v>
      </c>
      <c r="G56" s="130">
        <v>0.25972222222222224</v>
      </c>
      <c r="H56" s="130">
        <v>4.9305555555555554E-2</v>
      </c>
      <c r="I56" s="129" t="s">
        <v>558</v>
      </c>
    </row>
    <row r="57" spans="1:11" x14ac:dyDescent="0.3">
      <c r="A57" s="2"/>
      <c r="B57" s="2" t="s">
        <v>1120</v>
      </c>
      <c r="C57" s="130">
        <v>4.3750000000000004E-2</v>
      </c>
      <c r="D57" s="130">
        <v>0.20902777777777778</v>
      </c>
      <c r="E57" s="130">
        <v>1.3888888888888889E-3</v>
      </c>
      <c r="F57" s="130">
        <v>8.7500000000000008E-2</v>
      </c>
      <c r="G57" s="130">
        <v>0.34166666666666662</v>
      </c>
      <c r="H57" s="130">
        <v>0.13125000000000001</v>
      </c>
      <c r="I57" s="129" t="s">
        <v>558</v>
      </c>
    </row>
    <row r="58" spans="1:11" x14ac:dyDescent="0.3">
      <c r="A58" s="2"/>
      <c r="B58" s="2" t="s">
        <v>259</v>
      </c>
      <c r="C58" s="130" t="s">
        <v>208</v>
      </c>
      <c r="D58" s="130">
        <v>0.20902777777777778</v>
      </c>
      <c r="E58" s="130">
        <v>4.4444444444444446E-2</v>
      </c>
      <c r="F58" s="130">
        <v>4.6527777777777779E-2</v>
      </c>
      <c r="G58" s="130">
        <v>0.3430555555555555</v>
      </c>
      <c r="H58" s="130">
        <v>0.17222222222222225</v>
      </c>
      <c r="I58" s="129" t="s">
        <v>558</v>
      </c>
    </row>
    <row r="59" spans="1:11" x14ac:dyDescent="0.3">
      <c r="A59" s="2"/>
      <c r="B59" s="2" t="s">
        <v>683</v>
      </c>
      <c r="C59" s="130" t="s">
        <v>160</v>
      </c>
      <c r="D59" s="130">
        <v>0.17013888888888887</v>
      </c>
      <c r="E59" s="130">
        <v>4.5138888888888888E-2</v>
      </c>
      <c r="F59" s="130">
        <v>4.5138888888888888E-2</v>
      </c>
      <c r="G59" s="130">
        <v>0.3444444444444445</v>
      </c>
      <c r="H59" s="130">
        <v>9.0277777777777776E-2</v>
      </c>
      <c r="I59" s="129" t="s">
        <v>558</v>
      </c>
      <c r="K59" s="130"/>
    </row>
    <row r="60" spans="1:11" x14ac:dyDescent="0.3">
      <c r="A60" s="2"/>
      <c r="B60" s="2" t="s">
        <v>401</v>
      </c>
      <c r="C60" s="130">
        <v>8.3333333333333329E-2</v>
      </c>
      <c r="D60" s="130">
        <v>8.3333333333333329E-2</v>
      </c>
      <c r="E60" s="130">
        <v>0.16874999999999998</v>
      </c>
      <c r="F60" s="130">
        <v>8.6111111111111124E-2</v>
      </c>
      <c r="G60" s="130">
        <v>0.42152777777777778</v>
      </c>
      <c r="H60" s="130">
        <v>0.37708333333333338</v>
      </c>
      <c r="I60" s="130" t="s">
        <v>557</v>
      </c>
      <c r="K60" s="130"/>
    </row>
    <row r="61" spans="1:11" x14ac:dyDescent="0.3">
      <c r="A61" s="2"/>
      <c r="B61" s="2" t="s">
        <v>395</v>
      </c>
      <c r="C61" s="130">
        <v>4.3750000000000004E-2</v>
      </c>
      <c r="D61" s="130">
        <v>0.12569444444444444</v>
      </c>
      <c r="E61" s="130" t="s">
        <v>163</v>
      </c>
      <c r="F61" s="130">
        <v>4.3055555555555562E-2</v>
      </c>
      <c r="G61" s="130">
        <v>0.34027777777777773</v>
      </c>
      <c r="H61" s="130">
        <v>0.17222222222222225</v>
      </c>
      <c r="I61" s="130" t="s">
        <v>558</v>
      </c>
      <c r="K61" s="130"/>
    </row>
    <row r="62" spans="1:11" x14ac:dyDescent="0.3">
      <c r="A62" s="2"/>
      <c r="B62" s="2" t="s">
        <v>390</v>
      </c>
      <c r="C62" s="130">
        <v>4.1666666666666664E-2</v>
      </c>
      <c r="D62" s="130">
        <v>0.1673611111111111</v>
      </c>
      <c r="E62" s="130" t="s">
        <v>352</v>
      </c>
      <c r="F62" s="130" t="s">
        <v>590</v>
      </c>
      <c r="G62" s="130">
        <v>0.54791666666666672</v>
      </c>
      <c r="H62" s="130">
        <v>0.37708333333333338</v>
      </c>
      <c r="I62" s="130" t="s">
        <v>557</v>
      </c>
    </row>
    <row r="63" spans="1:11" x14ac:dyDescent="0.3">
      <c r="A63" s="2"/>
      <c r="B63" s="2" t="s">
        <v>386</v>
      </c>
      <c r="C63" s="130">
        <v>0.1673611111111111</v>
      </c>
      <c r="D63" s="130">
        <v>8.4027777777777771E-2</v>
      </c>
      <c r="E63" s="130" t="s">
        <v>158</v>
      </c>
      <c r="F63" s="130">
        <v>8.6111111111111124E-2</v>
      </c>
      <c r="G63" s="130">
        <v>0.33819444444444446</v>
      </c>
      <c r="H63" s="130">
        <v>0.2951388888888889</v>
      </c>
      <c r="I63" s="139" t="s">
        <v>557</v>
      </c>
    </row>
    <row r="64" spans="1:11" x14ac:dyDescent="0.3">
      <c r="A64" s="2"/>
      <c r="B64" s="2" t="s">
        <v>379</v>
      </c>
      <c r="C64" s="130">
        <v>4.3055555555555562E-2</v>
      </c>
      <c r="D64" s="130" t="s">
        <v>355</v>
      </c>
      <c r="E64" s="130">
        <v>0.17083333333333331</v>
      </c>
      <c r="F64" s="130">
        <v>8.5416666666666655E-2</v>
      </c>
      <c r="G64" s="130">
        <v>0.3833333333333333</v>
      </c>
      <c r="H64" s="130">
        <v>9.0277777777777776E-2</v>
      </c>
      <c r="I64" s="130" t="s">
        <v>558</v>
      </c>
    </row>
    <row r="65" spans="1:9" x14ac:dyDescent="0.3">
      <c r="A65" s="2"/>
      <c r="B65" s="2" t="s">
        <v>372</v>
      </c>
      <c r="C65" s="130">
        <v>0.3347222222222222</v>
      </c>
      <c r="D65" s="130">
        <v>0.1673611111111111</v>
      </c>
      <c r="E65" s="130">
        <v>4.3055555555555562E-2</v>
      </c>
      <c r="F65" s="130">
        <v>4.4444444444444446E-2</v>
      </c>
      <c r="G65" s="130">
        <v>0.58958333333333335</v>
      </c>
      <c r="H65" s="130">
        <v>0.25416666666666665</v>
      </c>
      <c r="I65" s="129" t="s">
        <v>557</v>
      </c>
    </row>
    <row r="66" spans="1:9" x14ac:dyDescent="0.3">
      <c r="A66" s="2"/>
      <c r="B66" s="2" t="s">
        <v>458</v>
      </c>
      <c r="C66" s="130">
        <v>2.0833333333333333E-3</v>
      </c>
      <c r="D66" s="130">
        <v>4.1666666666666699E-2</v>
      </c>
      <c r="E66" s="130" t="s">
        <v>691</v>
      </c>
      <c r="F66" s="130" t="s">
        <v>159</v>
      </c>
      <c r="G66" s="130">
        <v>0.25833333333333336</v>
      </c>
      <c r="H66" s="130">
        <v>0.21111111111111111</v>
      </c>
      <c r="I66" s="129" t="s">
        <v>557</v>
      </c>
    </row>
    <row r="67" spans="1:9" x14ac:dyDescent="0.3">
      <c r="A67" s="2"/>
      <c r="B67" s="2" t="s">
        <v>455</v>
      </c>
      <c r="C67" s="130">
        <v>8.7499999999999994E-2</v>
      </c>
      <c r="D67" s="130">
        <v>4.5138888888888888E-2</v>
      </c>
      <c r="E67" s="130">
        <v>0.21111111111111111</v>
      </c>
      <c r="F67" s="130">
        <v>0.17222222222222225</v>
      </c>
      <c r="G67" s="130">
        <v>0.51597222222222217</v>
      </c>
      <c r="H67" s="130">
        <v>0.13125000000000001</v>
      </c>
      <c r="I67" s="129" t="s">
        <v>558</v>
      </c>
    </row>
    <row r="68" spans="1:9" x14ac:dyDescent="0.3">
      <c r="A68" s="2"/>
      <c r="B68" s="2" t="s">
        <v>728</v>
      </c>
      <c r="C68" s="130">
        <v>8.6111111111111124E-2</v>
      </c>
      <c r="D68" s="130">
        <v>0.25069444444444444</v>
      </c>
      <c r="E68" s="130">
        <v>8.4027777777777771E-2</v>
      </c>
      <c r="F68" s="130">
        <v>0.16805555555555554</v>
      </c>
      <c r="G68" s="130">
        <v>0.58888888888888891</v>
      </c>
      <c r="H68" s="130">
        <v>0.37708333333333338</v>
      </c>
      <c r="I68" s="129" t="s">
        <v>557</v>
      </c>
    </row>
    <row r="69" spans="1:9" x14ac:dyDescent="0.3">
      <c r="A69" s="2"/>
      <c r="B69" s="2" t="s">
        <v>449</v>
      </c>
      <c r="C69" s="130" t="s">
        <v>351</v>
      </c>
      <c r="D69" s="130" t="s">
        <v>161</v>
      </c>
      <c r="E69" s="130" t="s">
        <v>590</v>
      </c>
      <c r="F69" s="130">
        <v>0.25208333333333333</v>
      </c>
      <c r="G69" s="130">
        <v>0.67638888888888893</v>
      </c>
      <c r="H69" s="130">
        <v>0.2951388888888889</v>
      </c>
      <c r="I69" s="130" t="s">
        <v>557</v>
      </c>
    </row>
    <row r="70" spans="1:9" x14ac:dyDescent="0.3">
      <c r="A70" s="2"/>
      <c r="B70" s="2"/>
      <c r="C70" s="130"/>
      <c r="D70" s="130"/>
      <c r="E70" s="130"/>
      <c r="F70" s="130"/>
      <c r="G70" s="130"/>
      <c r="H70" s="130"/>
      <c r="I70" s="130"/>
    </row>
    <row r="71" spans="1:9" x14ac:dyDescent="0.3">
      <c r="B71" s="2"/>
      <c r="C71" s="130"/>
      <c r="D71" s="130"/>
      <c r="E71" s="130"/>
      <c r="F71" s="130"/>
      <c r="G71" s="130"/>
      <c r="H71" s="130"/>
      <c r="I71" s="130"/>
    </row>
    <row r="72" spans="1:9" x14ac:dyDescent="0.3">
      <c r="B72" s="2"/>
      <c r="C72" s="130"/>
      <c r="D72" s="130"/>
      <c r="E72" s="130"/>
      <c r="F72" s="130"/>
      <c r="G72" s="130"/>
      <c r="H72" s="130"/>
      <c r="I72" s="130"/>
    </row>
    <row r="73" spans="1:9" x14ac:dyDescent="0.3">
      <c r="B73" s="2"/>
    </row>
    <row r="74" spans="1:9" x14ac:dyDescent="0.3">
      <c r="B74" s="2" t="s">
        <v>729</v>
      </c>
      <c r="C74" s="129" t="s">
        <v>550</v>
      </c>
      <c r="D74" s="129" t="s">
        <v>551</v>
      </c>
      <c r="E74" s="129" t="s">
        <v>730</v>
      </c>
      <c r="F74" s="129" t="s">
        <v>552</v>
      </c>
      <c r="G74" s="129" t="s">
        <v>553</v>
      </c>
      <c r="H74" s="129" t="s">
        <v>731</v>
      </c>
      <c r="I74" s="129" t="s">
        <v>732</v>
      </c>
    </row>
    <row r="75" spans="1:9" x14ac:dyDescent="0.3">
      <c r="B75" s="2" t="s">
        <v>736</v>
      </c>
      <c r="C75" s="130">
        <v>0.16805555555555554</v>
      </c>
      <c r="D75" s="130">
        <v>0.20972222222222223</v>
      </c>
      <c r="E75" s="130"/>
      <c r="F75" s="130">
        <v>2.7777777777777779E-3</v>
      </c>
      <c r="G75" s="130" t="s">
        <v>164</v>
      </c>
      <c r="H75" s="130"/>
      <c r="I75" s="130"/>
    </row>
    <row r="76" spans="1:9" x14ac:dyDescent="0.3">
      <c r="B76" s="2" t="s">
        <v>737</v>
      </c>
      <c r="C76" s="130">
        <v>0.125</v>
      </c>
      <c r="D76" s="130" t="s">
        <v>354</v>
      </c>
      <c r="E76" s="130">
        <v>8.6805555555555566E-2</v>
      </c>
      <c r="F76" s="130">
        <v>4.1666666666666664E-2</v>
      </c>
      <c r="G76" s="130">
        <v>4.3055555555555562E-2</v>
      </c>
      <c r="H76" s="130" t="s">
        <v>355</v>
      </c>
      <c r="I76" s="130">
        <v>0.1277777777777778</v>
      </c>
    </row>
    <row r="79" spans="1:9" x14ac:dyDescent="0.3">
      <c r="B79" s="129" t="s">
        <v>1274</v>
      </c>
      <c r="C79" s="129" t="s">
        <v>550</v>
      </c>
      <c r="D79" s="129" t="s">
        <v>551</v>
      </c>
      <c r="E79" s="129" t="s">
        <v>552</v>
      </c>
      <c r="F79" s="129" t="s">
        <v>553</v>
      </c>
      <c r="G79" s="129" t="s">
        <v>580</v>
      </c>
      <c r="H79" s="129" t="s">
        <v>555</v>
      </c>
      <c r="I79" s="129" t="s">
        <v>556</v>
      </c>
    </row>
    <row r="80" spans="1:9" x14ac:dyDescent="0.3">
      <c r="B80" s="946" t="s">
        <v>5273</v>
      </c>
      <c r="C80" s="130">
        <v>1.3888888888888889E-3</v>
      </c>
      <c r="D80" s="130"/>
      <c r="E80" s="130" t="s">
        <v>352</v>
      </c>
      <c r="F80" s="130">
        <v>0.20902777777777778</v>
      </c>
      <c r="G80" s="130">
        <v>0.33680555555555558</v>
      </c>
      <c r="H80" s="130">
        <v>0.21111111111111111</v>
      </c>
      <c r="I80" s="2" t="s">
        <v>557</v>
      </c>
    </row>
    <row r="81" spans="2:11" x14ac:dyDescent="0.3">
      <c r="B81" s="946" t="s">
        <v>4807</v>
      </c>
      <c r="C81" s="130">
        <v>0.12638888888888888</v>
      </c>
      <c r="D81" s="130" t="s">
        <v>171</v>
      </c>
      <c r="E81" s="130">
        <v>2.0833333333333333E-3</v>
      </c>
      <c r="F81" s="130">
        <v>2.0833333333333333E-3</v>
      </c>
      <c r="G81" s="130">
        <v>0.21597222222222223</v>
      </c>
      <c r="H81" s="130">
        <v>0.17222222222222225</v>
      </c>
      <c r="I81" s="129" t="s">
        <v>558</v>
      </c>
    </row>
    <row r="82" spans="2:11" x14ac:dyDescent="0.3">
      <c r="B82" s="946" t="s">
        <v>4613</v>
      </c>
      <c r="C82" s="130">
        <v>0.1277777777777778</v>
      </c>
      <c r="D82" s="130" t="s">
        <v>352</v>
      </c>
      <c r="E82" s="130">
        <v>8.5416666666666655E-2</v>
      </c>
      <c r="F82" s="637">
        <v>2.0833333333333333E-3</v>
      </c>
      <c r="G82" s="130">
        <v>0.34166666666666662</v>
      </c>
      <c r="H82" s="130">
        <v>9.0277777777777776E-2</v>
      </c>
      <c r="I82" s="129" t="s">
        <v>558</v>
      </c>
    </row>
    <row r="83" spans="2:11" x14ac:dyDescent="0.3">
      <c r="B83" s="946" t="s">
        <v>3606</v>
      </c>
      <c r="C83" s="130">
        <v>8.6111111111111124E-2</v>
      </c>
      <c r="D83" s="130">
        <v>8.5416666666666655E-2</v>
      </c>
      <c r="E83" s="130">
        <v>4.4444444444444446E-2</v>
      </c>
      <c r="F83" s="130">
        <v>4.3750000000000004E-2</v>
      </c>
      <c r="G83" s="130">
        <v>0.25972222222222224</v>
      </c>
      <c r="H83" s="130">
        <v>8.3333333333333332E-3</v>
      </c>
      <c r="I83" s="129" t="s">
        <v>558</v>
      </c>
    </row>
    <row r="84" spans="2:11" x14ac:dyDescent="0.3">
      <c r="B84" s="2" t="s">
        <v>1120</v>
      </c>
      <c r="C84" s="130">
        <v>0.25347222222222221</v>
      </c>
      <c r="D84" s="130">
        <v>8.5416666666666655E-2</v>
      </c>
      <c r="E84" s="130">
        <v>8.7500000000000008E-2</v>
      </c>
      <c r="F84" s="130" t="s">
        <v>162</v>
      </c>
      <c r="G84" s="130">
        <v>0.63750000000000007</v>
      </c>
      <c r="H84" s="130">
        <v>0.21319444444444444</v>
      </c>
      <c r="I84" s="129" t="s">
        <v>558</v>
      </c>
    </row>
    <row r="85" spans="2:11" x14ac:dyDescent="0.3">
      <c r="B85" s="2" t="s">
        <v>259</v>
      </c>
      <c r="C85" s="130">
        <v>8.4027777777777771E-2</v>
      </c>
      <c r="D85" s="130">
        <v>4.3055555555555562E-2</v>
      </c>
      <c r="E85" s="130">
        <v>8.5416666666666655E-2</v>
      </c>
      <c r="F85" s="130">
        <v>4.4444444444444446E-2</v>
      </c>
      <c r="G85" s="130">
        <v>0.25694444444444448</v>
      </c>
      <c r="H85" s="130">
        <v>0.13125000000000001</v>
      </c>
      <c r="I85" s="129" t="s">
        <v>558</v>
      </c>
    </row>
    <row r="86" spans="2:11" x14ac:dyDescent="0.3">
      <c r="B86" s="2" t="s">
        <v>683</v>
      </c>
      <c r="C86" s="130">
        <v>0.125</v>
      </c>
      <c r="D86" s="130">
        <v>0.1277777777777778</v>
      </c>
      <c r="E86" s="130" t="s">
        <v>162</v>
      </c>
      <c r="F86" s="130">
        <v>0.12986111111111112</v>
      </c>
      <c r="G86" s="130">
        <v>0.59375</v>
      </c>
      <c r="H86" s="130">
        <v>0.21319444444444444</v>
      </c>
      <c r="I86" s="129" t="s">
        <v>558</v>
      </c>
      <c r="K86" s="130"/>
    </row>
    <row r="87" spans="2:11" x14ac:dyDescent="0.3">
      <c r="B87" s="2" t="s">
        <v>401</v>
      </c>
      <c r="C87" s="130" t="s">
        <v>352</v>
      </c>
      <c r="D87" s="130" t="s">
        <v>351</v>
      </c>
      <c r="E87" s="130">
        <v>0.125</v>
      </c>
      <c r="F87" s="130">
        <v>4.3750000000000004E-2</v>
      </c>
      <c r="G87" s="130">
        <v>0.42152777777777778</v>
      </c>
      <c r="H87" s="130">
        <v>0.2951388888888889</v>
      </c>
      <c r="I87" s="130" t="s">
        <v>557</v>
      </c>
      <c r="K87" s="130"/>
    </row>
    <row r="88" spans="2:11" x14ac:dyDescent="0.3">
      <c r="B88" s="2" t="s">
        <v>395</v>
      </c>
      <c r="C88" s="130">
        <v>4.5138888888888888E-2</v>
      </c>
      <c r="D88" s="130">
        <v>0.20902777777777778</v>
      </c>
      <c r="E88" s="130">
        <v>0.17083333333333331</v>
      </c>
      <c r="F88" s="130">
        <v>4.5138888888888888E-2</v>
      </c>
      <c r="G88" s="130">
        <v>0.47013888888888888</v>
      </c>
      <c r="H88" s="130">
        <v>0.13125000000000001</v>
      </c>
      <c r="I88" s="130" t="s">
        <v>558</v>
      </c>
      <c r="K88" s="130"/>
    </row>
    <row r="89" spans="2:11" x14ac:dyDescent="0.3">
      <c r="B89" s="2" t="s">
        <v>390</v>
      </c>
      <c r="C89" s="130">
        <v>0.1673611111111111</v>
      </c>
      <c r="D89" s="130">
        <v>0.20972222222222223</v>
      </c>
      <c r="E89" s="130">
        <v>8.4027777777777771E-2</v>
      </c>
      <c r="F89" s="130">
        <v>4.3055555555555562E-2</v>
      </c>
      <c r="G89" s="130">
        <v>0.50416666666666665</v>
      </c>
      <c r="H89" s="130">
        <v>0.37708333333333338</v>
      </c>
      <c r="I89" s="130" t="s">
        <v>557</v>
      </c>
    </row>
    <row r="90" spans="2:11" x14ac:dyDescent="0.3">
      <c r="B90" s="2" t="s">
        <v>386</v>
      </c>
      <c r="C90" s="130" t="s">
        <v>171</v>
      </c>
      <c r="D90" s="130">
        <v>0.12638888888888888</v>
      </c>
      <c r="E90" s="130" t="s">
        <v>352</v>
      </c>
      <c r="F90" s="130">
        <v>8.5416666666666655E-2</v>
      </c>
      <c r="G90" s="130">
        <v>0.4236111111111111</v>
      </c>
      <c r="H90" s="130">
        <v>0.25416666666666665</v>
      </c>
      <c r="I90" s="139" t="s">
        <v>562</v>
      </c>
    </row>
    <row r="91" spans="2:11" x14ac:dyDescent="0.3">
      <c r="B91" s="2"/>
    </row>
    <row r="92" spans="2:11" x14ac:dyDescent="0.3">
      <c r="B92" s="2"/>
    </row>
    <row r="93" spans="2:11" x14ac:dyDescent="0.3">
      <c r="B93" s="2" t="s">
        <v>729</v>
      </c>
      <c r="C93" s="129" t="s">
        <v>550</v>
      </c>
      <c r="D93" s="129" t="s">
        <v>551</v>
      </c>
      <c r="E93" s="129"/>
      <c r="F93" s="129" t="s">
        <v>552</v>
      </c>
      <c r="G93" s="129" t="s">
        <v>553</v>
      </c>
      <c r="H93" s="129" t="s">
        <v>731</v>
      </c>
    </row>
    <row r="94" spans="2:11" x14ac:dyDescent="0.3">
      <c r="B94" s="2" t="s">
        <v>5664</v>
      </c>
      <c r="C94" s="130">
        <v>4.5138888888888888E-2</v>
      </c>
      <c r="F94" s="130">
        <v>1.3888888888888889E-3</v>
      </c>
      <c r="G94" s="130">
        <v>4.3750000000000004E-2</v>
      </c>
      <c r="I94" s="129"/>
    </row>
    <row r="95" spans="2:11" x14ac:dyDescent="0.3">
      <c r="B95" s="2" t="s">
        <v>738</v>
      </c>
      <c r="C95" s="130">
        <v>4.4444444444444446E-2</v>
      </c>
      <c r="D95" s="130">
        <v>4.3055555555555562E-2</v>
      </c>
      <c r="F95" s="130">
        <v>0.12638888888888888</v>
      </c>
      <c r="G95" s="130">
        <v>2.0833333333333333E-3</v>
      </c>
      <c r="H95" s="130">
        <v>0.17152777777777775</v>
      </c>
    </row>
    <row r="99" spans="1:13" x14ac:dyDescent="0.3">
      <c r="A99" s="2"/>
      <c r="B99" s="129" t="s">
        <v>328</v>
      </c>
      <c r="C99" s="129" t="s">
        <v>550</v>
      </c>
      <c r="D99" s="129" t="s">
        <v>551</v>
      </c>
      <c r="E99" s="129" t="s">
        <v>552</v>
      </c>
      <c r="F99" s="129" t="s">
        <v>553</v>
      </c>
      <c r="G99" s="129" t="s">
        <v>580</v>
      </c>
      <c r="H99" s="129" t="s">
        <v>555</v>
      </c>
      <c r="I99" s="129" t="s">
        <v>556</v>
      </c>
    </row>
    <row r="100" spans="1:13" x14ac:dyDescent="0.3">
      <c r="A100" s="2"/>
      <c r="B100" s="946" t="s">
        <v>5273</v>
      </c>
      <c r="C100" s="130">
        <v>0.25208333333333333</v>
      </c>
      <c r="D100" s="130"/>
      <c r="E100" s="130">
        <v>8.7500000000000008E-2</v>
      </c>
      <c r="F100" s="637"/>
      <c r="G100" s="130">
        <v>0.33958333333333335</v>
      </c>
      <c r="H100" s="130">
        <v>0.12708333333333333</v>
      </c>
      <c r="I100" s="2" t="s">
        <v>558</v>
      </c>
    </row>
    <row r="101" spans="1:13" x14ac:dyDescent="0.3">
      <c r="A101" s="2"/>
      <c r="B101" s="946" t="s">
        <v>4807</v>
      </c>
      <c r="C101" s="130">
        <v>8.5416666666666655E-2</v>
      </c>
      <c r="D101" s="130">
        <v>0.21041666666666667</v>
      </c>
      <c r="E101" s="130">
        <v>0.12847222222222224</v>
      </c>
      <c r="F101" s="637" t="s">
        <v>352</v>
      </c>
      <c r="G101" s="130">
        <v>0.55069444444444449</v>
      </c>
      <c r="H101" s="130">
        <v>0.21319444444444444</v>
      </c>
      <c r="I101" s="129" t="s">
        <v>558</v>
      </c>
    </row>
    <row r="102" spans="1:13" x14ac:dyDescent="0.3">
      <c r="A102" s="2"/>
      <c r="B102" s="946" t="s">
        <v>4613</v>
      </c>
      <c r="C102" s="130" t="s">
        <v>354</v>
      </c>
      <c r="D102" s="130">
        <v>0.16805555555555554</v>
      </c>
      <c r="E102" s="130">
        <v>0.1673611111111111</v>
      </c>
      <c r="F102" s="637">
        <v>0.25069444444444444</v>
      </c>
      <c r="G102" s="130">
        <v>0.71388888888888891</v>
      </c>
      <c r="H102" s="130">
        <v>0.41805555555555557</v>
      </c>
      <c r="I102" s="129" t="s">
        <v>557</v>
      </c>
    </row>
    <row r="103" spans="1:13" x14ac:dyDescent="0.3">
      <c r="A103" s="2"/>
      <c r="B103" s="946" t="s">
        <v>3606</v>
      </c>
      <c r="C103" s="130" t="s">
        <v>209</v>
      </c>
      <c r="D103" s="130">
        <v>0.12638888888888888</v>
      </c>
      <c r="E103" s="130">
        <v>8.7500000000000008E-2</v>
      </c>
      <c r="F103" s="130">
        <v>8.5416666666666655E-2</v>
      </c>
      <c r="G103" s="130">
        <v>0.34097222222222223</v>
      </c>
      <c r="H103" s="130">
        <v>0.21319444444444444</v>
      </c>
      <c r="I103" s="129" t="s">
        <v>558</v>
      </c>
    </row>
    <row r="104" spans="1:13" x14ac:dyDescent="0.3">
      <c r="A104" s="2"/>
      <c r="B104" s="2" t="s">
        <v>1120</v>
      </c>
      <c r="C104" s="130">
        <v>0.25138888888888888</v>
      </c>
      <c r="D104" s="130">
        <v>0.16666666666666666</v>
      </c>
      <c r="E104" s="130">
        <v>1.3888888888888889E-3</v>
      </c>
      <c r="F104" s="130">
        <v>0.12847222222222224</v>
      </c>
      <c r="G104" s="130">
        <v>0.54791666666666672</v>
      </c>
      <c r="H104" s="130">
        <v>0.25416666666666665</v>
      </c>
      <c r="I104" s="130" t="s">
        <v>557</v>
      </c>
    </row>
    <row r="105" spans="1:13" x14ac:dyDescent="0.3">
      <c r="A105" s="2"/>
      <c r="B105" s="2" t="s">
        <v>259</v>
      </c>
      <c r="C105" s="130">
        <v>4.1666666666666664E-2</v>
      </c>
      <c r="D105" s="130">
        <v>0.20902777777777778</v>
      </c>
      <c r="E105" s="130">
        <v>0.125</v>
      </c>
      <c r="F105" s="130">
        <v>4.5138888888888888E-2</v>
      </c>
      <c r="G105" s="130">
        <v>0.42083333333333334</v>
      </c>
      <c r="H105" s="130">
        <v>0.37708333333333338</v>
      </c>
      <c r="I105" s="129" t="s">
        <v>557</v>
      </c>
    </row>
    <row r="106" spans="1:13" x14ac:dyDescent="0.3">
      <c r="A106" s="2"/>
      <c r="B106" s="2" t="s">
        <v>683</v>
      </c>
      <c r="C106" s="130" t="s">
        <v>160</v>
      </c>
      <c r="D106" s="130" t="s">
        <v>160</v>
      </c>
      <c r="E106" s="130">
        <v>0.12986111111111112</v>
      </c>
      <c r="F106" s="130">
        <v>0.12916666666666668</v>
      </c>
      <c r="G106" s="130">
        <v>0.42708333333333331</v>
      </c>
      <c r="H106" s="130">
        <v>0.17222222222222225</v>
      </c>
      <c r="I106" s="129" t="s">
        <v>558</v>
      </c>
      <c r="M106" s="130"/>
    </row>
    <row r="107" spans="1:13" x14ac:dyDescent="0.3">
      <c r="A107" s="2"/>
      <c r="B107" s="2" t="s">
        <v>401</v>
      </c>
      <c r="C107" s="130">
        <v>8.3333333333333329E-2</v>
      </c>
      <c r="D107" s="130">
        <v>4.3055555555555562E-2</v>
      </c>
      <c r="E107" s="130">
        <v>4.4444444444444446E-2</v>
      </c>
      <c r="F107" s="130">
        <v>8.4027777777777771E-2</v>
      </c>
      <c r="G107" s="130">
        <v>0.25486111111111109</v>
      </c>
      <c r="H107" s="130">
        <v>0.25416666666666665</v>
      </c>
      <c r="I107" s="130" t="s">
        <v>558</v>
      </c>
      <c r="K107" s="129" t="s">
        <v>232</v>
      </c>
      <c r="L107" s="129" t="s">
        <v>739</v>
      </c>
      <c r="M107" s="130"/>
    </row>
    <row r="108" spans="1:13" x14ac:dyDescent="0.3">
      <c r="A108" s="2"/>
      <c r="B108" s="2" t="s">
        <v>395</v>
      </c>
      <c r="C108" s="130">
        <v>0.12569444444444444</v>
      </c>
      <c r="D108" s="130" t="s">
        <v>160</v>
      </c>
      <c r="E108" s="130">
        <v>6.9444444444444447E-4</v>
      </c>
      <c r="F108" s="130" t="s">
        <v>353</v>
      </c>
      <c r="G108" s="130">
        <v>0.38055555555555554</v>
      </c>
      <c r="H108" s="130">
        <v>0.25416666666666665</v>
      </c>
      <c r="I108" s="130" t="s">
        <v>557</v>
      </c>
      <c r="J108" s="179" t="s">
        <v>142</v>
      </c>
      <c r="K108" s="130" t="s">
        <v>160</v>
      </c>
      <c r="L108" s="130">
        <v>0.16805555555555554</v>
      </c>
      <c r="M108" s="130"/>
    </row>
    <row r="109" spans="1:13" x14ac:dyDescent="0.3">
      <c r="A109" s="2"/>
      <c r="B109" s="2" t="s">
        <v>390</v>
      </c>
      <c r="C109" s="130">
        <v>0.12638888888888888</v>
      </c>
      <c r="D109" s="130">
        <v>0.20902777777777778</v>
      </c>
      <c r="E109" s="130">
        <v>0.12638888888888888</v>
      </c>
      <c r="F109" s="130">
        <v>0.20833333333333334</v>
      </c>
      <c r="G109" s="130">
        <v>0.67013888888888884</v>
      </c>
      <c r="H109" s="130">
        <v>0.5</v>
      </c>
      <c r="I109" s="130" t="s">
        <v>557</v>
      </c>
    </row>
    <row r="110" spans="1:13" x14ac:dyDescent="0.3">
      <c r="A110" s="2"/>
      <c r="B110" s="2" t="s">
        <v>386</v>
      </c>
      <c r="C110" s="130">
        <v>4.4444444444444446E-2</v>
      </c>
      <c r="D110" s="130" t="s">
        <v>208</v>
      </c>
      <c r="E110" s="130" t="s">
        <v>160</v>
      </c>
      <c r="F110" s="130">
        <v>4.3750000000000004E-2</v>
      </c>
      <c r="G110" s="130">
        <v>0.21527777777777779</v>
      </c>
      <c r="H110" s="130">
        <v>0.13125000000000001</v>
      </c>
      <c r="I110" s="139" t="s">
        <v>558</v>
      </c>
    </row>
    <row r="111" spans="1:13" x14ac:dyDescent="0.3">
      <c r="A111" s="2"/>
      <c r="B111" s="2" t="s">
        <v>379</v>
      </c>
      <c r="C111" s="130">
        <v>0.16874999999999998</v>
      </c>
      <c r="D111" s="130">
        <v>8.5416666666666655E-2</v>
      </c>
      <c r="E111" s="130">
        <v>0.21041666666666667</v>
      </c>
      <c r="F111" s="130" t="s">
        <v>163</v>
      </c>
      <c r="G111" s="130">
        <v>0.59236111111111112</v>
      </c>
      <c r="H111" s="130">
        <v>0.2951388888888889</v>
      </c>
      <c r="I111" s="130" t="s">
        <v>557</v>
      </c>
    </row>
    <row r="112" spans="1:13" x14ac:dyDescent="0.3">
      <c r="A112" s="2"/>
      <c r="B112" s="2" t="s">
        <v>372</v>
      </c>
      <c r="C112" s="130">
        <v>0.12638888888888888</v>
      </c>
      <c r="D112" s="130">
        <v>1.3888888888888889E-3</v>
      </c>
      <c r="E112" s="130" t="s">
        <v>208</v>
      </c>
      <c r="F112" s="130">
        <v>0.16805555555555554</v>
      </c>
      <c r="G112" s="130">
        <v>0.33888888888888885</v>
      </c>
      <c r="H112" s="130">
        <v>0.2951388888888889</v>
      </c>
      <c r="I112" s="129" t="s">
        <v>557</v>
      </c>
    </row>
    <row r="113" spans="1:14" x14ac:dyDescent="0.3">
      <c r="A113" s="2"/>
      <c r="B113" s="2" t="s">
        <v>458</v>
      </c>
      <c r="C113" s="130">
        <v>0.16805555555555554</v>
      </c>
      <c r="D113" s="130">
        <v>0.12569444444444444</v>
      </c>
      <c r="E113" s="130">
        <v>8.6111111111111124E-2</v>
      </c>
      <c r="F113" s="130">
        <v>8.6111111111111124E-2</v>
      </c>
      <c r="G113" s="130">
        <v>0.46597222222222223</v>
      </c>
      <c r="H113" s="130">
        <v>0.25416666666666665</v>
      </c>
      <c r="I113" s="129" t="s">
        <v>562</v>
      </c>
    </row>
    <row r="114" spans="1:14" x14ac:dyDescent="0.3">
      <c r="A114" s="2"/>
      <c r="B114" s="2" t="s">
        <v>455</v>
      </c>
      <c r="C114" s="130">
        <v>4.4444444444444446E-2</v>
      </c>
      <c r="D114" s="130" t="s">
        <v>161</v>
      </c>
      <c r="E114" s="130" t="s">
        <v>567</v>
      </c>
      <c r="F114" s="130">
        <v>0.12916666666666668</v>
      </c>
      <c r="G114" s="130">
        <v>0.42777777777777781</v>
      </c>
      <c r="H114" s="130">
        <v>0.13125000000000001</v>
      </c>
      <c r="I114" s="129" t="s">
        <v>558</v>
      </c>
    </row>
    <row r="115" spans="1:14" x14ac:dyDescent="0.3">
      <c r="A115" s="2"/>
      <c r="B115" s="2" t="s">
        <v>728</v>
      </c>
      <c r="C115" s="130">
        <v>0.12638888888888888</v>
      </c>
      <c r="D115" s="129" t="s">
        <v>354</v>
      </c>
      <c r="E115" s="130">
        <v>4.5833333333333337E-2</v>
      </c>
      <c r="F115" s="130">
        <v>0.20972222222222223</v>
      </c>
      <c r="G115" s="131">
        <v>0.50972222222222219</v>
      </c>
      <c r="H115" s="130">
        <v>0.2951388888888889</v>
      </c>
      <c r="I115" s="129" t="s">
        <v>557</v>
      </c>
    </row>
    <row r="116" spans="1:14" x14ac:dyDescent="0.3">
      <c r="A116" s="2"/>
      <c r="B116" s="2" t="s">
        <v>449</v>
      </c>
      <c r="C116" s="130">
        <v>0.20833333333333334</v>
      </c>
      <c r="D116" s="130">
        <v>8.3333333333333329E-2</v>
      </c>
      <c r="E116" s="130" t="s">
        <v>163</v>
      </c>
      <c r="F116" s="130">
        <v>0.1277777777777778</v>
      </c>
      <c r="G116" s="130">
        <v>0.54722222222222217</v>
      </c>
      <c r="H116" s="130">
        <v>0.2951388888888889</v>
      </c>
      <c r="I116" s="130" t="s">
        <v>557</v>
      </c>
    </row>
    <row r="117" spans="1:14" x14ac:dyDescent="0.3">
      <c r="A117" s="2"/>
      <c r="B117" s="2"/>
      <c r="C117" s="130"/>
      <c r="D117" s="130"/>
      <c r="E117" s="130"/>
      <c r="F117" s="130"/>
      <c r="G117" s="130"/>
      <c r="H117" s="130"/>
      <c r="I117" s="130"/>
    </row>
    <row r="118" spans="1:14" x14ac:dyDescent="0.3">
      <c r="B118" s="2"/>
      <c r="C118" s="130"/>
      <c r="D118" s="130"/>
      <c r="E118" s="130"/>
      <c r="F118" s="130"/>
      <c r="G118" s="130"/>
      <c r="H118" s="130"/>
      <c r="I118" s="130"/>
    </row>
    <row r="119" spans="1:14" x14ac:dyDescent="0.3">
      <c r="M119" s="129"/>
      <c r="N119" s="129"/>
    </row>
    <row r="120" spans="1:14" x14ac:dyDescent="0.3">
      <c r="A120" s="2"/>
    </row>
    <row r="121" spans="1:14" x14ac:dyDescent="0.3">
      <c r="A121" s="2"/>
      <c r="B121" s="129" t="s">
        <v>327</v>
      </c>
      <c r="C121" s="129" t="s">
        <v>550</v>
      </c>
      <c r="D121" s="129" t="s">
        <v>551</v>
      </c>
      <c r="E121" s="129" t="s">
        <v>552</v>
      </c>
      <c r="F121" s="129" t="s">
        <v>553</v>
      </c>
      <c r="G121" s="129" t="s">
        <v>580</v>
      </c>
      <c r="H121" s="129" t="s">
        <v>555</v>
      </c>
      <c r="I121" s="129" t="s">
        <v>556</v>
      </c>
    </row>
    <row r="122" spans="1:14" x14ac:dyDescent="0.3">
      <c r="A122" s="2"/>
      <c r="B122" s="946" t="s">
        <v>5273</v>
      </c>
      <c r="C122" s="130">
        <v>0.1673611111111111</v>
      </c>
      <c r="D122" s="130"/>
      <c r="E122" s="130">
        <v>4.5138888888888888E-2</v>
      </c>
      <c r="F122" s="130">
        <v>0.16805555555555554</v>
      </c>
      <c r="G122" s="130">
        <v>0.38055555555555554</v>
      </c>
      <c r="H122" s="130">
        <v>0.25208333333333333</v>
      </c>
      <c r="I122" s="2" t="s">
        <v>557</v>
      </c>
    </row>
    <row r="123" spans="1:14" x14ac:dyDescent="0.3">
      <c r="A123" s="2"/>
      <c r="B123" s="946" t="s">
        <v>4807</v>
      </c>
      <c r="C123" s="130" t="s">
        <v>158</v>
      </c>
      <c r="D123" s="130">
        <v>4.3055555555555562E-2</v>
      </c>
      <c r="E123" s="130">
        <v>6.9444444444444447E-4</v>
      </c>
      <c r="F123" s="130" t="s">
        <v>352</v>
      </c>
      <c r="G123" s="130">
        <v>0.17083333333333331</v>
      </c>
      <c r="H123" s="130">
        <v>0.13125000000000001</v>
      </c>
      <c r="I123" s="129" t="s">
        <v>558</v>
      </c>
    </row>
    <row r="124" spans="1:14" x14ac:dyDescent="0.3">
      <c r="A124" s="2"/>
      <c r="B124" s="946" t="s">
        <v>4613</v>
      </c>
      <c r="C124" s="130">
        <v>0.17152777777777775</v>
      </c>
      <c r="D124" s="130">
        <v>4.5138888888888888E-2</v>
      </c>
      <c r="E124" s="130">
        <v>8.6111111111111124E-2</v>
      </c>
      <c r="F124" s="637" t="s">
        <v>590</v>
      </c>
      <c r="G124" s="130">
        <v>0.51527777777777783</v>
      </c>
      <c r="H124" s="130">
        <v>4.9305555555555554E-2</v>
      </c>
      <c r="I124" s="129" t="s">
        <v>558</v>
      </c>
    </row>
    <row r="125" spans="1:14" x14ac:dyDescent="0.3">
      <c r="A125" s="2"/>
      <c r="B125" s="946" t="s">
        <v>3606</v>
      </c>
      <c r="C125" s="130" t="s">
        <v>208</v>
      </c>
      <c r="D125" s="130">
        <v>0.20833333333333334</v>
      </c>
      <c r="E125" s="60">
        <v>4.3055555555555562E-2</v>
      </c>
      <c r="F125" s="130">
        <v>0.12569444444444444</v>
      </c>
      <c r="G125" s="130">
        <v>0.4201388888888889</v>
      </c>
      <c r="H125" s="130">
        <v>0.2951388888888889</v>
      </c>
      <c r="I125" s="129" t="s">
        <v>557</v>
      </c>
    </row>
    <row r="126" spans="1:14" x14ac:dyDescent="0.3">
      <c r="A126" s="2"/>
      <c r="B126" s="2" t="s">
        <v>1120</v>
      </c>
      <c r="C126" s="130">
        <v>4.3055555555555562E-2</v>
      </c>
      <c r="D126" s="130" t="s">
        <v>159</v>
      </c>
      <c r="E126" s="60">
        <v>0.16874999999999998</v>
      </c>
      <c r="F126" s="130">
        <v>8.4027777777777771E-2</v>
      </c>
      <c r="G126" s="130">
        <v>0.46458333333333335</v>
      </c>
      <c r="H126" s="130">
        <v>0.33611111111111108</v>
      </c>
      <c r="I126" s="129" t="s">
        <v>557</v>
      </c>
      <c r="J126" s="129"/>
      <c r="K126" s="129"/>
      <c r="L126" s="129"/>
    </row>
    <row r="127" spans="1:14" x14ac:dyDescent="0.3">
      <c r="A127" s="2"/>
      <c r="B127" s="2" t="s">
        <v>259</v>
      </c>
      <c r="C127" s="130">
        <v>0.1277777777777778</v>
      </c>
      <c r="D127" s="130">
        <v>8.4027777777777771E-2</v>
      </c>
      <c r="E127" s="130">
        <v>0.25138888888888888</v>
      </c>
      <c r="F127" s="130">
        <v>0.12638888888888888</v>
      </c>
      <c r="G127" s="130">
        <v>0.58958333333333335</v>
      </c>
      <c r="H127" s="130">
        <v>0.37708333333333338</v>
      </c>
      <c r="I127" s="129" t="s">
        <v>557</v>
      </c>
      <c r="J127" s="179" t="s">
        <v>142</v>
      </c>
      <c r="K127" s="130">
        <v>0.25208333333333333</v>
      </c>
      <c r="L127" s="130">
        <v>0.20972222222222223</v>
      </c>
    </row>
    <row r="128" spans="1:14" x14ac:dyDescent="0.3">
      <c r="A128" s="2"/>
      <c r="B128" s="2" t="s">
        <v>683</v>
      </c>
      <c r="C128" s="130" t="s">
        <v>158</v>
      </c>
      <c r="D128" s="130">
        <v>4.3055555555555562E-2</v>
      </c>
      <c r="E128" s="130">
        <v>3.472222222222222E-3</v>
      </c>
      <c r="F128" s="130">
        <v>4.3055555555555562E-2</v>
      </c>
      <c r="G128" s="130">
        <v>9.0277777777777776E-2</v>
      </c>
      <c r="H128" s="130">
        <v>4.9305555555555554E-2</v>
      </c>
      <c r="I128" s="129" t="s">
        <v>558</v>
      </c>
      <c r="K128" s="129"/>
      <c r="L128" s="129"/>
      <c r="M128" s="130"/>
    </row>
    <row r="129" spans="1:13" x14ac:dyDescent="0.3">
      <c r="A129" s="2"/>
      <c r="B129" s="2" t="s">
        <v>401</v>
      </c>
      <c r="C129" s="130">
        <v>8.3333333333333329E-2</v>
      </c>
      <c r="D129" s="130" t="s">
        <v>601</v>
      </c>
      <c r="E129" s="130">
        <v>0.12638888888888888</v>
      </c>
      <c r="F129" s="130" t="s">
        <v>163</v>
      </c>
      <c r="G129" s="130">
        <v>0.54861111111111105</v>
      </c>
      <c r="H129" s="130">
        <v>0.37708333333333338</v>
      </c>
      <c r="I129" s="130" t="s">
        <v>557</v>
      </c>
      <c r="K129" s="129" t="s">
        <v>232</v>
      </c>
      <c r="L129" s="129" t="s">
        <v>739</v>
      </c>
      <c r="M129" s="130"/>
    </row>
    <row r="130" spans="1:13" x14ac:dyDescent="0.3">
      <c r="A130" s="2"/>
      <c r="B130" s="2" t="s">
        <v>395</v>
      </c>
      <c r="C130" s="130">
        <v>4.3055555555555562E-2</v>
      </c>
      <c r="D130" s="130" t="s">
        <v>352</v>
      </c>
      <c r="E130" s="130" t="s">
        <v>159</v>
      </c>
      <c r="F130" s="130">
        <v>4.3055555555555562E-2</v>
      </c>
      <c r="G130" s="130">
        <v>0.38125000000000003</v>
      </c>
      <c r="H130" s="130">
        <v>0.17222222222222225</v>
      </c>
      <c r="I130" s="130" t="s">
        <v>558</v>
      </c>
      <c r="J130" s="179" t="s">
        <v>142</v>
      </c>
      <c r="K130" s="130">
        <v>0.25069444444444444</v>
      </c>
      <c r="L130" s="129" t="s">
        <v>354</v>
      </c>
      <c r="M130" s="130"/>
    </row>
    <row r="131" spans="1:13" x14ac:dyDescent="0.3">
      <c r="A131" s="2"/>
      <c r="B131" s="2" t="s">
        <v>390</v>
      </c>
      <c r="C131" s="130">
        <v>8.6111111111111124E-2</v>
      </c>
      <c r="D131" s="130">
        <v>0.25138888888888888</v>
      </c>
      <c r="E131" s="130">
        <v>0.17083333333333331</v>
      </c>
      <c r="F131" s="130">
        <v>8.3333333333333329E-2</v>
      </c>
      <c r="G131" s="130">
        <v>0.59166666666666667</v>
      </c>
      <c r="H131" s="130">
        <v>0.25416666666666665</v>
      </c>
      <c r="I131" s="130" t="s">
        <v>557</v>
      </c>
      <c r="K131" s="130"/>
    </row>
    <row r="132" spans="1:13" x14ac:dyDescent="0.3">
      <c r="A132" s="2"/>
      <c r="B132" s="2" t="s">
        <v>386</v>
      </c>
      <c r="C132" s="130">
        <v>0.20902777777777778</v>
      </c>
      <c r="D132" s="130">
        <v>8.4027777777777771E-2</v>
      </c>
      <c r="E132" s="130">
        <v>3.472222222222222E-3</v>
      </c>
      <c r="F132" s="130">
        <v>8.5416666666666655E-2</v>
      </c>
      <c r="G132" s="130">
        <v>0.38194444444444442</v>
      </c>
      <c r="H132" s="130">
        <v>0.25416666666666665</v>
      </c>
      <c r="I132" s="139" t="s">
        <v>558</v>
      </c>
    </row>
    <row r="133" spans="1:13" x14ac:dyDescent="0.3">
      <c r="A133" s="2"/>
      <c r="B133" s="2" t="s">
        <v>379</v>
      </c>
      <c r="C133" s="130">
        <v>0.25208333333333333</v>
      </c>
      <c r="D133" s="130" t="s">
        <v>352</v>
      </c>
      <c r="E133" s="130" t="s">
        <v>159</v>
      </c>
      <c r="F133" s="130">
        <v>8.6111111111111124E-2</v>
      </c>
      <c r="G133" s="130">
        <v>0.6333333333333333</v>
      </c>
      <c r="H133" s="130">
        <v>0.2951388888888889</v>
      </c>
      <c r="I133" s="130" t="s">
        <v>557</v>
      </c>
    </row>
    <row r="134" spans="1:13" x14ac:dyDescent="0.3">
      <c r="A134" s="2"/>
      <c r="B134" s="2" t="s">
        <v>372</v>
      </c>
      <c r="C134" s="130" t="s">
        <v>352</v>
      </c>
      <c r="D134" s="130" t="s">
        <v>159</v>
      </c>
      <c r="E134" s="130">
        <v>4.5138888888888888E-2</v>
      </c>
      <c r="F134" s="130">
        <v>8.8888888888888892E-2</v>
      </c>
      <c r="G134" s="130">
        <v>0.4291666666666667</v>
      </c>
      <c r="H134" s="130">
        <v>0.17222222222222225</v>
      </c>
      <c r="I134" s="129" t="s">
        <v>558</v>
      </c>
    </row>
    <row r="135" spans="1:13" x14ac:dyDescent="0.3">
      <c r="A135" s="2"/>
      <c r="B135" s="2" t="s">
        <v>458</v>
      </c>
      <c r="C135" s="130">
        <v>0.12569444444444444</v>
      </c>
      <c r="D135" s="130">
        <v>0.12569444444444444</v>
      </c>
      <c r="E135" s="130" t="s">
        <v>163</v>
      </c>
      <c r="F135" s="130">
        <v>8.6111111111111124E-2</v>
      </c>
      <c r="G135" s="130">
        <v>0.46527777777777773</v>
      </c>
      <c r="H135" s="130">
        <v>0.2951388888888889</v>
      </c>
      <c r="I135" s="129" t="s">
        <v>557</v>
      </c>
    </row>
    <row r="136" spans="1:13" x14ac:dyDescent="0.3">
      <c r="A136" s="2"/>
      <c r="B136" s="2" t="s">
        <v>455</v>
      </c>
      <c r="C136" s="130">
        <v>0.25277777777777777</v>
      </c>
      <c r="D136" s="130">
        <v>8.6111111111111124E-2</v>
      </c>
      <c r="E136" s="130">
        <v>0.13125000000000001</v>
      </c>
      <c r="F136" s="130">
        <v>0.16875000000000001</v>
      </c>
      <c r="G136" s="130">
        <v>0.63888888888888895</v>
      </c>
      <c r="H136" s="130">
        <v>0.25416666666666665</v>
      </c>
      <c r="I136" s="129" t="s">
        <v>558</v>
      </c>
    </row>
    <row r="137" spans="1:13" x14ac:dyDescent="0.3">
      <c r="A137" s="2"/>
      <c r="B137" s="2" t="s">
        <v>728</v>
      </c>
      <c r="C137" s="130">
        <v>0.12916666666666668</v>
      </c>
      <c r="D137" s="129" t="s">
        <v>161</v>
      </c>
      <c r="E137" s="130">
        <v>0.125</v>
      </c>
      <c r="F137" s="129" t="s">
        <v>352</v>
      </c>
      <c r="G137" s="131">
        <v>0.46597222222222223</v>
      </c>
      <c r="H137" s="130">
        <v>0.25416666666666665</v>
      </c>
      <c r="I137" s="129" t="s">
        <v>562</v>
      </c>
    </row>
    <row r="138" spans="1:13" x14ac:dyDescent="0.3">
      <c r="A138" s="2"/>
      <c r="B138" s="2" t="s">
        <v>449</v>
      </c>
      <c r="C138" s="130" t="s">
        <v>208</v>
      </c>
      <c r="D138" s="130">
        <v>0.125</v>
      </c>
      <c r="E138" s="130">
        <v>2.0833333333333333E-3</v>
      </c>
      <c r="F138" s="130">
        <v>8.4027777777777771E-2</v>
      </c>
      <c r="G138" s="130">
        <v>0.25416666666666665</v>
      </c>
      <c r="H138" s="130">
        <v>0.2951388888888889</v>
      </c>
      <c r="I138" s="130" t="s">
        <v>557</v>
      </c>
    </row>
    <row r="139" spans="1:13" x14ac:dyDescent="0.3">
      <c r="A139" s="2"/>
      <c r="B139" s="2"/>
      <c r="C139" s="130"/>
      <c r="D139" s="130"/>
      <c r="E139" s="130"/>
      <c r="F139" s="130"/>
      <c r="G139" s="130"/>
      <c r="H139" s="130"/>
      <c r="I139" s="130"/>
    </row>
    <row r="140" spans="1:13" x14ac:dyDescent="0.3">
      <c r="B140" s="2"/>
      <c r="C140" s="130"/>
      <c r="D140" s="130"/>
      <c r="E140" s="130"/>
      <c r="F140" s="130"/>
      <c r="G140" s="130"/>
      <c r="H140" s="130"/>
      <c r="I140" s="130"/>
    </row>
    <row r="141" spans="1:13" x14ac:dyDescent="0.3">
      <c r="B141" s="2"/>
      <c r="C141" s="130"/>
      <c r="D141" s="130"/>
      <c r="E141" s="130"/>
      <c r="F141" s="130"/>
      <c r="G141" s="130"/>
      <c r="H141" s="130"/>
      <c r="I141" s="130"/>
    </row>
    <row r="143" spans="1:13" x14ac:dyDescent="0.3">
      <c r="B143" s="2" t="s">
        <v>729</v>
      </c>
      <c r="C143" s="129" t="s">
        <v>550</v>
      </c>
      <c r="D143" s="129" t="s">
        <v>551</v>
      </c>
      <c r="E143" s="129" t="s">
        <v>730</v>
      </c>
      <c r="F143" s="129" t="s">
        <v>552</v>
      </c>
      <c r="G143" s="129" t="s">
        <v>553</v>
      </c>
      <c r="H143" s="129"/>
      <c r="I143" s="129"/>
    </row>
    <row r="144" spans="1:13" x14ac:dyDescent="0.3">
      <c r="B144" s="2" t="s">
        <v>740</v>
      </c>
      <c r="C144" s="130">
        <v>0.16666666666666666</v>
      </c>
      <c r="D144" s="130">
        <v>0.1673611111111111</v>
      </c>
      <c r="E144" s="130" t="s">
        <v>160</v>
      </c>
      <c r="F144" s="130">
        <v>0.12569444444444444</v>
      </c>
      <c r="G144" s="129" t="s">
        <v>161</v>
      </c>
    </row>
    <row r="146" spans="2:12" x14ac:dyDescent="0.3">
      <c r="B146" s="129" t="s">
        <v>610</v>
      </c>
      <c r="C146" s="129" t="s">
        <v>550</v>
      </c>
      <c r="D146" s="129" t="s">
        <v>551</v>
      </c>
      <c r="E146" s="129" t="s">
        <v>552</v>
      </c>
      <c r="F146" s="129" t="s">
        <v>553</v>
      </c>
      <c r="G146" s="129" t="s">
        <v>580</v>
      </c>
      <c r="H146" s="129" t="s">
        <v>555</v>
      </c>
      <c r="I146" s="129" t="s">
        <v>556</v>
      </c>
    </row>
    <row r="147" spans="2:12" x14ac:dyDescent="0.3">
      <c r="B147" s="946" t="s">
        <v>5273</v>
      </c>
      <c r="C147" s="130">
        <v>0.1673611111111111</v>
      </c>
      <c r="D147" s="130">
        <v>0.25208333333333333</v>
      </c>
      <c r="E147" s="130">
        <v>8.6805555555555566E-2</v>
      </c>
      <c r="F147" s="637"/>
      <c r="G147" s="130">
        <v>0.50624999999999998</v>
      </c>
      <c r="H147" s="130">
        <v>0.25208333333333333</v>
      </c>
      <c r="I147" s="2" t="s">
        <v>557</v>
      </c>
    </row>
    <row r="148" spans="2:12" x14ac:dyDescent="0.3">
      <c r="B148" s="946" t="s">
        <v>4807</v>
      </c>
      <c r="C148" s="130" t="s">
        <v>161</v>
      </c>
      <c r="D148" s="130" t="s">
        <v>352</v>
      </c>
      <c r="E148" s="130" t="s">
        <v>351</v>
      </c>
      <c r="F148" s="637">
        <v>4.5138888888888888E-2</v>
      </c>
      <c r="G148" s="130">
        <v>0.3833333333333333</v>
      </c>
      <c r="H148" s="130">
        <v>0.21319444444444444</v>
      </c>
      <c r="I148" s="129" t="s">
        <v>558</v>
      </c>
    </row>
    <row r="149" spans="2:12" x14ac:dyDescent="0.3">
      <c r="B149" s="946" t="s">
        <v>4613</v>
      </c>
      <c r="C149" s="130" t="s">
        <v>352</v>
      </c>
      <c r="D149" s="130">
        <v>8.3333333333333329E-2</v>
      </c>
      <c r="E149" s="130">
        <v>2.0833333333333333E-3</v>
      </c>
      <c r="F149" s="130">
        <v>0.12638888888888888</v>
      </c>
      <c r="G149" s="130">
        <v>0.33819444444444446</v>
      </c>
      <c r="H149" s="130">
        <v>0.33611111111111108</v>
      </c>
      <c r="I149" s="129" t="s">
        <v>557</v>
      </c>
    </row>
    <row r="150" spans="2:12" x14ac:dyDescent="0.3">
      <c r="B150" s="946" t="s">
        <v>3606</v>
      </c>
      <c r="C150" s="130">
        <v>4.5833333333333337E-2</v>
      </c>
      <c r="D150" s="130" t="s">
        <v>3795</v>
      </c>
      <c r="E150" s="130" t="s">
        <v>355</v>
      </c>
      <c r="F150" s="130">
        <v>0.12916666666666668</v>
      </c>
      <c r="G150" s="130">
        <v>0.30208333333333331</v>
      </c>
      <c r="H150" s="130">
        <v>0.13125000000000001</v>
      </c>
      <c r="I150" s="129" t="s">
        <v>558</v>
      </c>
    </row>
    <row r="151" spans="2:12" x14ac:dyDescent="0.3">
      <c r="B151" s="2" t="s">
        <v>1120</v>
      </c>
      <c r="C151" s="130">
        <v>0.17013888888888887</v>
      </c>
      <c r="D151" s="130">
        <v>0.1277777777777778</v>
      </c>
      <c r="E151" s="130">
        <v>4.5833333333333337E-2</v>
      </c>
      <c r="F151" s="130" t="s">
        <v>359</v>
      </c>
      <c r="G151" s="130">
        <v>0.51388888888888895</v>
      </c>
      <c r="H151" s="130">
        <v>4.9305555555555554E-2</v>
      </c>
      <c r="I151" s="129" t="s">
        <v>558</v>
      </c>
    </row>
    <row r="152" spans="2:12" x14ac:dyDescent="0.3">
      <c r="B152" s="2" t="s">
        <v>259</v>
      </c>
      <c r="C152" s="130">
        <v>0.25138888888888888</v>
      </c>
      <c r="D152" s="130">
        <v>0.25208333333333333</v>
      </c>
      <c r="E152" s="130">
        <v>3.472222222222222E-3</v>
      </c>
      <c r="F152" s="130">
        <v>0.12638888888888888</v>
      </c>
      <c r="G152" s="130">
        <v>0.6333333333333333</v>
      </c>
      <c r="H152" s="130">
        <v>0.37708333333333338</v>
      </c>
      <c r="I152" s="129" t="s">
        <v>557</v>
      </c>
    </row>
    <row r="153" spans="2:12" x14ac:dyDescent="0.3">
      <c r="B153" s="2" t="s">
        <v>683</v>
      </c>
      <c r="C153" s="130">
        <v>8.3333333333333329E-2</v>
      </c>
      <c r="D153" s="129" t="s">
        <v>161</v>
      </c>
      <c r="E153" s="130" t="s">
        <v>163</v>
      </c>
      <c r="F153" s="130">
        <v>4.5138888888888888E-2</v>
      </c>
      <c r="G153" s="130">
        <v>0.34166666666666662</v>
      </c>
      <c r="H153" s="130">
        <v>0.21319444444444444</v>
      </c>
      <c r="I153" s="129" t="s">
        <v>558</v>
      </c>
      <c r="J153" s="130"/>
      <c r="L153" s="130"/>
    </row>
    <row r="154" spans="2:12" x14ac:dyDescent="0.3">
      <c r="B154" s="2" t="s">
        <v>401</v>
      </c>
      <c r="C154" s="130" t="s">
        <v>351</v>
      </c>
      <c r="D154" s="129" t="s">
        <v>355</v>
      </c>
      <c r="E154" s="130">
        <v>8.4027777777777771E-2</v>
      </c>
      <c r="F154" s="130">
        <v>4.3055555555555562E-2</v>
      </c>
      <c r="G154" s="130">
        <v>0.33749999999999997</v>
      </c>
      <c r="H154" s="130">
        <v>0.2951388888888889</v>
      </c>
      <c r="I154" s="130" t="s">
        <v>557</v>
      </c>
      <c r="J154" s="130"/>
      <c r="L154" s="130"/>
    </row>
    <row r="155" spans="2:12" x14ac:dyDescent="0.3">
      <c r="B155" s="2" t="s">
        <v>395</v>
      </c>
      <c r="C155" s="130">
        <v>8.6805555555555566E-2</v>
      </c>
      <c r="D155" s="129" t="s">
        <v>161</v>
      </c>
      <c r="E155" s="130">
        <v>4.4444444444444446E-2</v>
      </c>
      <c r="F155" s="130">
        <v>6.9444444444444447E-4</v>
      </c>
      <c r="G155" s="130">
        <v>0.21736111111111112</v>
      </c>
      <c r="H155" s="130">
        <v>4.9305555555555554E-2</v>
      </c>
      <c r="I155" s="130" t="s">
        <v>558</v>
      </c>
      <c r="J155" s="130"/>
      <c r="L155" s="130"/>
    </row>
    <row r="156" spans="2:12" x14ac:dyDescent="0.3">
      <c r="B156" s="2" t="s">
        <v>390</v>
      </c>
      <c r="C156" s="130">
        <v>4.4444444444444446E-2</v>
      </c>
      <c r="D156" s="130" t="s">
        <v>351</v>
      </c>
      <c r="E156" s="130" t="s">
        <v>354</v>
      </c>
      <c r="F156" s="130">
        <v>8.3333333333333329E-2</v>
      </c>
      <c r="G156" s="130">
        <v>0.38194444444444442</v>
      </c>
      <c r="H156" s="130">
        <v>0.25416666666666665</v>
      </c>
      <c r="I156" s="130" t="s">
        <v>558</v>
      </c>
    </row>
    <row r="157" spans="2:12" x14ac:dyDescent="0.3">
      <c r="B157" s="2" t="s">
        <v>386</v>
      </c>
      <c r="C157" s="130" t="s">
        <v>352</v>
      </c>
      <c r="D157" s="130">
        <v>0.3354166666666667</v>
      </c>
      <c r="E157" s="130" t="s">
        <v>589</v>
      </c>
      <c r="F157" s="130" t="s">
        <v>171</v>
      </c>
      <c r="G157" s="130">
        <v>0.59027777777777779</v>
      </c>
      <c r="H157" s="130">
        <v>0.2951388888888889</v>
      </c>
      <c r="I157" s="139" t="s">
        <v>557</v>
      </c>
    </row>
    <row r="158" spans="2:12" x14ac:dyDescent="0.3">
      <c r="B158" s="2" t="s">
        <v>379</v>
      </c>
      <c r="C158" s="130" t="s">
        <v>352</v>
      </c>
      <c r="D158" s="130">
        <v>0.20972222222222223</v>
      </c>
      <c r="E158" s="130">
        <v>0.16874999999999998</v>
      </c>
      <c r="F158" s="130">
        <v>0.12847222222222224</v>
      </c>
      <c r="G158" s="130">
        <v>0.6333333333333333</v>
      </c>
      <c r="H158" s="130">
        <v>0.33611111111111108</v>
      </c>
      <c r="I158" s="130" t="s">
        <v>557</v>
      </c>
    </row>
    <row r="159" spans="2:12" x14ac:dyDescent="0.3">
      <c r="B159" s="2" t="s">
        <v>372</v>
      </c>
      <c r="C159" s="130">
        <v>0.12916666666666668</v>
      </c>
      <c r="D159" s="130">
        <v>1.3888888888888889E-3</v>
      </c>
      <c r="E159" s="130">
        <v>4.4444444444444446E-2</v>
      </c>
      <c r="F159" s="130" t="s">
        <v>162</v>
      </c>
      <c r="G159" s="130">
        <v>0.38611111111111113</v>
      </c>
      <c r="H159" s="130">
        <v>9.0277777777777776E-2</v>
      </c>
      <c r="I159" s="129" t="s">
        <v>558</v>
      </c>
    </row>
    <row r="160" spans="2:12" x14ac:dyDescent="0.3">
      <c r="B160" s="2" t="s">
        <v>458</v>
      </c>
      <c r="C160" s="130">
        <v>6.9444444444444447E-4</v>
      </c>
      <c r="D160" s="130">
        <v>0.16874999999999998</v>
      </c>
      <c r="E160" s="130" t="s">
        <v>171</v>
      </c>
      <c r="F160" s="130">
        <v>0.12916666666666668</v>
      </c>
      <c r="G160" s="130">
        <v>0.3840277777777778</v>
      </c>
      <c r="H160" s="130">
        <v>0.17222222222222225</v>
      </c>
      <c r="I160" s="129" t="s">
        <v>558</v>
      </c>
    </row>
    <row r="161" spans="2:11" x14ac:dyDescent="0.3">
      <c r="B161" s="2" t="s">
        <v>455</v>
      </c>
      <c r="C161" s="130">
        <v>0.21041666666666667</v>
      </c>
      <c r="D161" s="130">
        <v>4.3055555555555562E-2</v>
      </c>
      <c r="E161" s="130">
        <v>4.3749999999999997E-2</v>
      </c>
      <c r="F161" s="130">
        <v>0.1673611111111111</v>
      </c>
      <c r="G161" s="130">
        <v>0.46458333333333335</v>
      </c>
      <c r="H161" s="130">
        <v>0.25416666666666665</v>
      </c>
      <c r="I161" s="129" t="s">
        <v>557</v>
      </c>
    </row>
    <row r="162" spans="2:11" x14ac:dyDescent="0.3">
      <c r="B162" s="2" t="s">
        <v>728</v>
      </c>
      <c r="C162" s="130">
        <v>4.3055555555555562E-2</v>
      </c>
      <c r="D162" s="130">
        <v>0.16666666666666666</v>
      </c>
      <c r="E162" s="129" t="s">
        <v>568</v>
      </c>
      <c r="F162" s="130">
        <v>0.1277777777777778</v>
      </c>
      <c r="G162" s="131">
        <v>0.59097222222222223</v>
      </c>
      <c r="H162" s="130">
        <v>0.21319444444444444</v>
      </c>
      <c r="I162" s="129" t="s">
        <v>558</v>
      </c>
    </row>
    <row r="163" spans="2:11" x14ac:dyDescent="0.3">
      <c r="B163" s="2" t="s">
        <v>449</v>
      </c>
      <c r="C163" s="130">
        <v>8.4027777777777771E-2</v>
      </c>
      <c r="D163" s="130" t="s">
        <v>351</v>
      </c>
      <c r="E163" s="130">
        <v>8.6805555555555566E-2</v>
      </c>
      <c r="F163" s="130">
        <v>4.3055555555555562E-2</v>
      </c>
      <c r="G163" s="130">
        <v>0.34027777777777773</v>
      </c>
      <c r="H163" s="130">
        <v>0.21319444444444444</v>
      </c>
      <c r="I163" s="130" t="s">
        <v>558</v>
      </c>
    </row>
    <row r="164" spans="2:11" x14ac:dyDescent="0.3">
      <c r="B164" s="2"/>
      <c r="C164" s="130"/>
      <c r="D164" s="130"/>
      <c r="E164" s="130"/>
      <c r="F164" s="130"/>
      <c r="G164" s="130"/>
      <c r="H164" s="130"/>
      <c r="I164" s="130"/>
    </row>
    <row r="165" spans="2:11" x14ac:dyDescent="0.3">
      <c r="B165" s="2"/>
      <c r="C165" s="130"/>
      <c r="D165" s="130"/>
      <c r="E165" s="130"/>
      <c r="F165" s="130"/>
      <c r="G165" s="130"/>
      <c r="H165" s="130"/>
      <c r="I165" s="130"/>
    </row>
    <row r="168" spans="2:11" x14ac:dyDescent="0.3">
      <c r="B168" s="129" t="s">
        <v>325</v>
      </c>
      <c r="C168" s="129" t="s">
        <v>550</v>
      </c>
      <c r="D168" s="129" t="s">
        <v>551</v>
      </c>
      <c r="E168" s="129" t="s">
        <v>552</v>
      </c>
      <c r="F168" s="129" t="s">
        <v>553</v>
      </c>
      <c r="G168" s="129" t="s">
        <v>580</v>
      </c>
      <c r="H168" s="129" t="s">
        <v>555</v>
      </c>
      <c r="I168" s="129" t="s">
        <v>556</v>
      </c>
    </row>
    <row r="169" spans="2:11" x14ac:dyDescent="0.3">
      <c r="B169" s="946" t="s">
        <v>5273</v>
      </c>
      <c r="C169" s="130">
        <v>0.16805555555555554</v>
      </c>
      <c r="D169" s="130"/>
      <c r="E169" s="130">
        <v>4.3750000000000004E-2</v>
      </c>
      <c r="F169" s="637">
        <v>0.12916666666666668</v>
      </c>
      <c r="G169" s="130">
        <v>0.34097222222222223</v>
      </c>
      <c r="H169" s="130">
        <v>0.12916666666666668</v>
      </c>
      <c r="I169" s="2" t="s">
        <v>558</v>
      </c>
    </row>
    <row r="170" spans="2:11" x14ac:dyDescent="0.3">
      <c r="B170" s="946" t="s">
        <v>4807</v>
      </c>
      <c r="C170" s="130">
        <v>0.16666666666666666</v>
      </c>
      <c r="D170" s="130">
        <v>0.20972222222222223</v>
      </c>
      <c r="E170" s="130">
        <v>2.0833333333333333E-3</v>
      </c>
      <c r="F170" s="637">
        <v>8.5416666666666655E-2</v>
      </c>
      <c r="G170" s="130">
        <v>0.46388888888888885</v>
      </c>
      <c r="H170" s="130">
        <v>0.25416666666666665</v>
      </c>
      <c r="I170" s="129" t="s">
        <v>557</v>
      </c>
    </row>
    <row r="171" spans="2:11" x14ac:dyDescent="0.3">
      <c r="B171" s="946" t="s">
        <v>4613</v>
      </c>
      <c r="C171" s="130">
        <v>0.12638888888888888</v>
      </c>
      <c r="D171" s="130">
        <v>3.472222222222222E-3</v>
      </c>
      <c r="E171" s="130">
        <v>0.17083333333333331</v>
      </c>
      <c r="F171" s="637">
        <v>4.3750000000000004E-2</v>
      </c>
      <c r="G171" s="130">
        <v>0.3444444444444445</v>
      </c>
      <c r="H171" s="130">
        <v>0.13125000000000001</v>
      </c>
      <c r="I171" s="129" t="s">
        <v>558</v>
      </c>
    </row>
    <row r="172" spans="2:11" x14ac:dyDescent="0.3">
      <c r="B172" s="946" t="s">
        <v>3606</v>
      </c>
      <c r="C172" s="130">
        <v>4.3750000000000004E-2</v>
      </c>
      <c r="D172" s="130">
        <v>0.12847222222222224</v>
      </c>
      <c r="E172" s="130" t="s">
        <v>352</v>
      </c>
      <c r="F172" s="60">
        <v>0.16805555555555554</v>
      </c>
      <c r="G172" s="130">
        <v>0.46666666666666662</v>
      </c>
      <c r="H172" s="130">
        <v>0.21319444444444444</v>
      </c>
      <c r="I172" s="129" t="s">
        <v>558</v>
      </c>
    </row>
    <row r="173" spans="2:11" x14ac:dyDescent="0.3">
      <c r="B173" s="2" t="s">
        <v>1120</v>
      </c>
      <c r="C173" s="130" t="s">
        <v>163</v>
      </c>
      <c r="D173" s="130">
        <v>8.5416666666666655E-2</v>
      </c>
      <c r="E173" s="130" t="s">
        <v>359</v>
      </c>
      <c r="F173" s="60">
        <v>0.17222222222222225</v>
      </c>
      <c r="G173" s="130">
        <v>0.55555555555555558</v>
      </c>
      <c r="H173" s="130">
        <v>9.0277777777777776E-2</v>
      </c>
      <c r="I173" s="129" t="s">
        <v>558</v>
      </c>
    </row>
    <row r="174" spans="2:11" x14ac:dyDescent="0.3">
      <c r="B174" s="2" t="s">
        <v>259</v>
      </c>
      <c r="C174" s="130">
        <v>1.3888888888888889E-3</v>
      </c>
      <c r="D174" s="130">
        <v>4.4444444444444446E-2</v>
      </c>
      <c r="E174" s="130">
        <v>8.4027777777777771E-2</v>
      </c>
      <c r="F174" s="130">
        <v>0.12847222222222224</v>
      </c>
      <c r="G174" s="130">
        <v>0.25833333333333336</v>
      </c>
      <c r="H174" s="130">
        <v>0.13125000000000001</v>
      </c>
      <c r="I174" s="129" t="s">
        <v>558</v>
      </c>
    </row>
    <row r="175" spans="2:11" x14ac:dyDescent="0.3">
      <c r="B175" s="2" t="s">
        <v>683</v>
      </c>
      <c r="C175" s="130">
        <v>0.16874999999999998</v>
      </c>
      <c r="D175" s="130">
        <v>4.4444444444444446E-2</v>
      </c>
      <c r="E175" s="130">
        <v>0.25208333333333333</v>
      </c>
      <c r="F175" s="130">
        <v>4.3750000000000004E-2</v>
      </c>
      <c r="G175" s="130">
        <v>0.50902777777777775</v>
      </c>
      <c r="H175" s="130">
        <v>0.25416666666666665</v>
      </c>
      <c r="I175" s="129" t="s">
        <v>558</v>
      </c>
      <c r="J175" s="130"/>
      <c r="K175" s="130"/>
    </row>
    <row r="176" spans="2:11" x14ac:dyDescent="0.3">
      <c r="B176" s="2" t="s">
        <v>401</v>
      </c>
      <c r="C176" s="130">
        <v>0.20902777777777778</v>
      </c>
      <c r="D176" s="130">
        <v>0.12638888888888888</v>
      </c>
      <c r="E176" s="130">
        <v>2.0833333333333333E-3</v>
      </c>
      <c r="F176" s="130">
        <v>4.3750000000000004E-2</v>
      </c>
      <c r="G176" s="130">
        <v>0.38125000000000003</v>
      </c>
      <c r="H176" s="130">
        <v>0.25416666666666665</v>
      </c>
      <c r="I176" s="130" t="s">
        <v>562</v>
      </c>
      <c r="J176" s="130"/>
      <c r="K176" s="130"/>
    </row>
    <row r="177" spans="2:11" x14ac:dyDescent="0.3">
      <c r="B177" s="2" t="s">
        <v>395</v>
      </c>
      <c r="C177" s="130" t="s">
        <v>352</v>
      </c>
      <c r="D177" s="130">
        <v>0.12569444444444444</v>
      </c>
      <c r="E177" s="130" t="s">
        <v>352</v>
      </c>
      <c r="F177" s="130">
        <v>3.472222222222222E-3</v>
      </c>
      <c r="G177" s="130">
        <v>0.38194444444444442</v>
      </c>
      <c r="H177" s="130">
        <v>0.2951388888888889</v>
      </c>
      <c r="I177" s="130" t="s">
        <v>557</v>
      </c>
      <c r="J177" s="130"/>
      <c r="K177" s="130"/>
    </row>
    <row r="178" spans="2:11" x14ac:dyDescent="0.3">
      <c r="B178" s="2" t="s">
        <v>390</v>
      </c>
      <c r="C178" s="130">
        <v>0.25208333333333333</v>
      </c>
      <c r="D178" s="130">
        <v>0.21041666666666667</v>
      </c>
      <c r="E178" s="130">
        <v>4.1666666666666664E-2</v>
      </c>
      <c r="F178" s="130">
        <v>4.6527777777777779E-2</v>
      </c>
      <c r="G178" s="130">
        <v>0.55069444444444449</v>
      </c>
      <c r="H178" s="130">
        <v>0.37708333333333338</v>
      </c>
      <c r="I178" s="130" t="s">
        <v>557</v>
      </c>
    </row>
    <row r="179" spans="2:11" x14ac:dyDescent="0.3">
      <c r="B179" s="2" t="s">
        <v>386</v>
      </c>
      <c r="C179" s="130">
        <v>8.5416666666666655E-2</v>
      </c>
      <c r="D179" s="130" t="s">
        <v>352</v>
      </c>
      <c r="E179" s="130">
        <v>4.8611111111111112E-3</v>
      </c>
      <c r="F179" s="130">
        <v>4.5138888888888888E-2</v>
      </c>
      <c r="G179" s="130">
        <v>0.26180555555555557</v>
      </c>
      <c r="H179" s="130">
        <v>9.0277777777777776E-2</v>
      </c>
      <c r="I179" s="139" t="s">
        <v>558</v>
      </c>
    </row>
    <row r="180" spans="2:11" x14ac:dyDescent="0.3">
      <c r="B180" s="2" t="s">
        <v>379</v>
      </c>
      <c r="C180" s="130" t="s">
        <v>171</v>
      </c>
      <c r="D180" s="130">
        <v>0.1673611111111111</v>
      </c>
      <c r="E180" s="130">
        <v>0.21111111111111111</v>
      </c>
      <c r="F180" s="130">
        <v>0.12916666666666668</v>
      </c>
      <c r="G180" s="130">
        <v>0.59305555555555556</v>
      </c>
      <c r="H180" s="130">
        <v>0.2951388888888889</v>
      </c>
      <c r="I180" s="130" t="s">
        <v>557</v>
      </c>
    </row>
    <row r="181" spans="2:11" x14ac:dyDescent="0.3">
      <c r="B181" s="2" t="s">
        <v>372</v>
      </c>
      <c r="C181" s="130">
        <v>4.3055555555555562E-2</v>
      </c>
      <c r="D181" s="130">
        <v>4.5833333333333337E-2</v>
      </c>
      <c r="E181" s="130">
        <v>4.5138888888888888E-2</v>
      </c>
      <c r="F181" s="130">
        <v>8.5416666666666655E-2</v>
      </c>
      <c r="G181" s="130">
        <v>0.21944444444444444</v>
      </c>
      <c r="H181" s="130">
        <v>8.3333333333333332E-3</v>
      </c>
      <c r="I181" s="129" t="s">
        <v>558</v>
      </c>
    </row>
    <row r="182" spans="2:11" x14ac:dyDescent="0.3">
      <c r="B182" s="2" t="s">
        <v>458</v>
      </c>
      <c r="C182" s="130">
        <v>8.4027777777777771E-2</v>
      </c>
      <c r="D182" s="130">
        <v>8.4027777777777771E-2</v>
      </c>
      <c r="E182" s="130">
        <v>0.1673611111111111</v>
      </c>
      <c r="F182" s="130">
        <v>0.12569444444444444</v>
      </c>
      <c r="G182" s="130">
        <v>0.46111111111111108</v>
      </c>
      <c r="H182" s="130">
        <v>0.5</v>
      </c>
      <c r="I182" s="129" t="s">
        <v>557</v>
      </c>
    </row>
    <row r="183" spans="2:11" x14ac:dyDescent="0.3">
      <c r="B183" s="2" t="s">
        <v>455</v>
      </c>
      <c r="C183" s="130" t="s">
        <v>574</v>
      </c>
      <c r="D183" s="130">
        <v>8.4027777777777771E-2</v>
      </c>
      <c r="E183" s="130">
        <v>0.12847222222222224</v>
      </c>
      <c r="F183" s="130">
        <v>0.16875000000000001</v>
      </c>
      <c r="G183" s="130">
        <v>0.63472222222222219</v>
      </c>
      <c r="H183" s="130">
        <v>0.33611111111111108</v>
      </c>
      <c r="I183" s="129" t="s">
        <v>557</v>
      </c>
    </row>
    <row r="184" spans="2:11" x14ac:dyDescent="0.3">
      <c r="B184" s="2" t="s">
        <v>728</v>
      </c>
      <c r="C184" s="130">
        <v>0.12847222222222224</v>
      </c>
      <c r="D184" s="130">
        <v>0.1673611111111111</v>
      </c>
      <c r="E184" s="130">
        <v>0.21041666666666667</v>
      </c>
      <c r="F184" s="130">
        <v>0.17013888888888887</v>
      </c>
      <c r="G184" s="131">
        <v>0.67638888888888893</v>
      </c>
      <c r="H184" s="130">
        <v>0.25416666666666665</v>
      </c>
      <c r="I184" s="129" t="s">
        <v>557</v>
      </c>
    </row>
    <row r="185" spans="2:11" x14ac:dyDescent="0.3">
      <c r="B185" s="2" t="s">
        <v>449</v>
      </c>
      <c r="C185" s="130" t="s">
        <v>162</v>
      </c>
      <c r="D185" s="130">
        <v>0.16666666666666666</v>
      </c>
      <c r="E185" s="130">
        <v>8.6111111111111124E-2</v>
      </c>
      <c r="F185" s="130">
        <v>4.3749999999999997E-2</v>
      </c>
      <c r="G185" s="130">
        <v>0.50763888888888886</v>
      </c>
      <c r="H185" s="130">
        <v>0.21319444444444444</v>
      </c>
      <c r="I185" s="130" t="s">
        <v>558</v>
      </c>
    </row>
    <row r="186" spans="2:11" x14ac:dyDescent="0.3">
      <c r="B186" s="2"/>
      <c r="C186" s="130"/>
      <c r="D186" s="130"/>
      <c r="E186" s="130"/>
      <c r="F186" s="130"/>
      <c r="G186" s="130"/>
      <c r="H186" s="130"/>
      <c r="I186" s="130"/>
    </row>
    <row r="187" spans="2:11" x14ac:dyDescent="0.3">
      <c r="B187" s="2"/>
      <c r="C187" s="130"/>
      <c r="D187" s="130"/>
      <c r="E187" s="130"/>
      <c r="F187" s="130"/>
      <c r="G187" s="130"/>
      <c r="H187" s="130"/>
      <c r="I187" s="130"/>
    </row>
    <row r="190" spans="2:11" x14ac:dyDescent="0.3">
      <c r="B190" s="129" t="s">
        <v>626</v>
      </c>
      <c r="C190" s="129" t="s">
        <v>550</v>
      </c>
      <c r="D190" s="129" t="s">
        <v>551</v>
      </c>
      <c r="E190" s="129" t="s">
        <v>552</v>
      </c>
      <c r="F190" s="129" t="s">
        <v>553</v>
      </c>
      <c r="G190" s="129" t="s">
        <v>580</v>
      </c>
      <c r="H190" s="129" t="s">
        <v>555</v>
      </c>
      <c r="I190" s="129" t="s">
        <v>556</v>
      </c>
    </row>
    <row r="191" spans="2:11" x14ac:dyDescent="0.3">
      <c r="B191" s="946" t="s">
        <v>5273</v>
      </c>
      <c r="C191" s="130" t="s">
        <v>589</v>
      </c>
      <c r="D191" s="130"/>
      <c r="E191" s="130">
        <v>4.3055555555555562E-2</v>
      </c>
      <c r="F191" s="637"/>
      <c r="G191" s="130">
        <v>8.6111111111111124E-2</v>
      </c>
      <c r="H191" s="130">
        <v>4.5138888888888888E-2</v>
      </c>
      <c r="I191" s="2" t="s">
        <v>558</v>
      </c>
    </row>
    <row r="192" spans="2:11" x14ac:dyDescent="0.3">
      <c r="B192" s="946" t="s">
        <v>4807</v>
      </c>
      <c r="C192" s="130">
        <v>0.21041666666666667</v>
      </c>
      <c r="D192" s="130">
        <v>0.20902777777777778</v>
      </c>
      <c r="E192" s="130">
        <v>0.12847222222222224</v>
      </c>
      <c r="F192" s="637">
        <v>0.33402777777777781</v>
      </c>
      <c r="G192" s="130">
        <v>0.88194444444444453</v>
      </c>
      <c r="H192" s="130">
        <v>0.37708333333333338</v>
      </c>
      <c r="I192" s="129" t="s">
        <v>557</v>
      </c>
    </row>
    <row r="193" spans="2:14" x14ac:dyDescent="0.3">
      <c r="B193" s="946" t="s">
        <v>4613</v>
      </c>
      <c r="C193" s="130">
        <v>0.1277777777777778</v>
      </c>
      <c r="D193" s="130">
        <v>8.5416666666666655E-2</v>
      </c>
      <c r="E193" s="130">
        <v>6.9444444444444447E-4</v>
      </c>
      <c r="F193" s="637">
        <v>4.4444444444444446E-2</v>
      </c>
      <c r="G193" s="130">
        <v>0.25833333333333336</v>
      </c>
      <c r="H193" s="130">
        <v>8.3333333333333332E-3</v>
      </c>
      <c r="I193" s="129" t="s">
        <v>558</v>
      </c>
    </row>
    <row r="194" spans="2:14" x14ac:dyDescent="0.3">
      <c r="B194" s="946" t="s">
        <v>3606</v>
      </c>
      <c r="C194" s="130" t="s">
        <v>159</v>
      </c>
      <c r="D194" s="130" t="s">
        <v>160</v>
      </c>
      <c r="E194" s="130">
        <v>0.1277777777777778</v>
      </c>
      <c r="F194" s="130">
        <v>8.4027777777777771E-2</v>
      </c>
      <c r="G194" s="130">
        <v>0.46458333333333335</v>
      </c>
      <c r="H194" s="130">
        <v>0.2951388888888889</v>
      </c>
      <c r="I194" s="129" t="s">
        <v>557</v>
      </c>
    </row>
    <row r="195" spans="2:14" x14ac:dyDescent="0.3">
      <c r="B195" s="2" t="s">
        <v>1120</v>
      </c>
      <c r="C195" s="130">
        <v>0.1277777777777778</v>
      </c>
      <c r="D195" s="130">
        <v>4.3750000000000004E-2</v>
      </c>
      <c r="E195" s="130">
        <v>4.3750000000000004E-2</v>
      </c>
      <c r="F195" s="130">
        <v>4.3750000000000004E-2</v>
      </c>
      <c r="G195" s="130">
        <v>0.2590277777777778</v>
      </c>
      <c r="H195" s="130">
        <v>8.3333333333333332E-3</v>
      </c>
      <c r="I195" s="129" t="s">
        <v>558</v>
      </c>
    </row>
    <row r="196" spans="2:14" x14ac:dyDescent="0.3">
      <c r="B196" s="2" t="s">
        <v>259</v>
      </c>
      <c r="C196" s="130">
        <v>8.4027777777777771E-2</v>
      </c>
      <c r="D196" s="130">
        <v>4.4444444444444446E-2</v>
      </c>
      <c r="E196" s="130">
        <v>4.3750000000000004E-2</v>
      </c>
      <c r="F196" s="130" t="s">
        <v>601</v>
      </c>
      <c r="G196" s="130">
        <v>0.3833333333333333</v>
      </c>
      <c r="H196" s="130">
        <v>0.21319444444444444</v>
      </c>
      <c r="I196" s="129" t="s">
        <v>558</v>
      </c>
    </row>
    <row r="197" spans="2:14" x14ac:dyDescent="0.3">
      <c r="B197" s="2" t="s">
        <v>683</v>
      </c>
      <c r="C197" s="130">
        <v>2.0833333333333333E-3</v>
      </c>
      <c r="D197" s="130" t="s">
        <v>161</v>
      </c>
      <c r="E197" s="130">
        <v>0.12569444444444444</v>
      </c>
      <c r="F197" s="130">
        <v>8.6111111111111124E-2</v>
      </c>
      <c r="G197" s="130">
        <v>0.29930555555555555</v>
      </c>
      <c r="H197" s="130">
        <v>0.17222222222222225</v>
      </c>
      <c r="I197" s="129" t="s">
        <v>558</v>
      </c>
    </row>
    <row r="198" spans="2:14" x14ac:dyDescent="0.3">
      <c r="B198" s="2" t="s">
        <v>401</v>
      </c>
      <c r="C198" s="130" t="s">
        <v>352</v>
      </c>
      <c r="D198" s="130">
        <v>2.0833333333333333E-3</v>
      </c>
      <c r="E198" s="130">
        <v>0.12569444444444444</v>
      </c>
      <c r="F198" s="130">
        <v>4.6527777777777779E-2</v>
      </c>
      <c r="G198" s="130">
        <v>0.30069444444444443</v>
      </c>
      <c r="H198" s="130">
        <v>0.21319444444444444</v>
      </c>
      <c r="I198" s="130" t="s">
        <v>558</v>
      </c>
    </row>
    <row r="199" spans="2:14" x14ac:dyDescent="0.3">
      <c r="B199" s="2" t="s">
        <v>395</v>
      </c>
      <c r="C199" s="130" t="s">
        <v>352</v>
      </c>
      <c r="D199" s="130">
        <v>4.3055555555555562E-2</v>
      </c>
      <c r="E199" s="130">
        <v>2.0833333333333333E-3</v>
      </c>
      <c r="F199" s="130">
        <v>4.4444444444444446E-2</v>
      </c>
      <c r="G199" s="130">
        <v>0.21597222222222223</v>
      </c>
      <c r="H199" s="130">
        <v>9.0277777777777776E-2</v>
      </c>
      <c r="I199" s="130" t="s">
        <v>558</v>
      </c>
    </row>
    <row r="200" spans="2:14" x14ac:dyDescent="0.3">
      <c r="B200" s="2" t="s">
        <v>390</v>
      </c>
      <c r="C200" s="130">
        <v>0.12569444444444444</v>
      </c>
      <c r="D200" s="130">
        <v>0.16805555555555554</v>
      </c>
      <c r="E200" s="130">
        <v>0.21111111111111111</v>
      </c>
      <c r="F200" s="130">
        <v>0.16805555555555554</v>
      </c>
      <c r="G200" s="130">
        <v>0.67291666666666661</v>
      </c>
      <c r="H200" s="130">
        <v>0.5</v>
      </c>
      <c r="I200" s="130" t="s">
        <v>557</v>
      </c>
    </row>
    <row r="201" spans="2:14" x14ac:dyDescent="0.3">
      <c r="B201" s="2"/>
    </row>
    <row r="202" spans="2:14" x14ac:dyDescent="0.3">
      <c r="B202" s="2"/>
    </row>
    <row r="205" spans="2:14" x14ac:dyDescent="0.3">
      <c r="B205" s="129" t="s">
        <v>6086</v>
      </c>
      <c r="C205" s="129" t="s">
        <v>550</v>
      </c>
      <c r="D205" s="129" t="s">
        <v>551</v>
      </c>
      <c r="E205" s="129" t="s">
        <v>552</v>
      </c>
      <c r="F205" s="129" t="s">
        <v>553</v>
      </c>
      <c r="G205" s="129" t="s">
        <v>580</v>
      </c>
      <c r="H205" s="129" t="s">
        <v>555</v>
      </c>
      <c r="I205" s="129" t="s">
        <v>556</v>
      </c>
      <c r="J205" s="179" t="s">
        <v>142</v>
      </c>
      <c r="K205" s="129" t="s">
        <v>550</v>
      </c>
      <c r="L205" s="129" t="s">
        <v>551</v>
      </c>
      <c r="M205" s="129" t="s">
        <v>552</v>
      </c>
      <c r="N205" s="129" t="s">
        <v>553</v>
      </c>
    </row>
    <row r="206" spans="2:14" x14ac:dyDescent="0.3">
      <c r="B206" s="946" t="s">
        <v>5273</v>
      </c>
      <c r="C206" s="130">
        <v>0.20972222222222223</v>
      </c>
      <c r="D206" s="130">
        <v>0.25069444444444444</v>
      </c>
      <c r="E206" s="130">
        <v>3.472222222222222E-3</v>
      </c>
      <c r="F206" s="637"/>
      <c r="G206" s="130">
        <v>0.46388888888888885</v>
      </c>
      <c r="H206" s="130">
        <v>0.25208333333333333</v>
      </c>
      <c r="I206" s="2" t="s">
        <v>557</v>
      </c>
      <c r="K206" s="129"/>
      <c r="L206" s="129"/>
      <c r="M206" s="129"/>
      <c r="N206" s="129"/>
    </row>
    <row r="207" spans="2:14" x14ac:dyDescent="0.3">
      <c r="B207" s="946" t="s">
        <v>4807</v>
      </c>
      <c r="C207" s="130">
        <v>0.1277777777777778</v>
      </c>
      <c r="D207" s="130">
        <v>0.16874999999999998</v>
      </c>
      <c r="E207" s="130">
        <v>0.17083333333333331</v>
      </c>
      <c r="F207" s="637">
        <v>8.4027777777777771E-2</v>
      </c>
      <c r="G207" s="130">
        <v>0.55138888888888882</v>
      </c>
      <c r="H207" s="130">
        <v>0.25416666666666665</v>
      </c>
      <c r="I207" s="129" t="s">
        <v>558</v>
      </c>
      <c r="K207" s="129"/>
      <c r="L207" s="129"/>
      <c r="M207" s="129"/>
      <c r="N207" s="129"/>
    </row>
    <row r="208" spans="2:14" x14ac:dyDescent="0.3">
      <c r="B208" s="946" t="s">
        <v>4613</v>
      </c>
      <c r="C208" s="130">
        <v>0.20833333333333334</v>
      </c>
      <c r="D208" s="130">
        <v>0.12569444444444444</v>
      </c>
      <c r="E208" s="130" t="s">
        <v>161</v>
      </c>
      <c r="F208" s="637">
        <v>0.1277777777777778</v>
      </c>
      <c r="G208" s="130">
        <v>0.54722222222222217</v>
      </c>
      <c r="H208" s="130">
        <v>0.2951388888888889</v>
      </c>
      <c r="I208" s="129" t="s">
        <v>557</v>
      </c>
      <c r="K208" s="129"/>
      <c r="L208" s="129"/>
      <c r="M208" s="129"/>
      <c r="N208" s="129"/>
    </row>
    <row r="209" spans="2:14" x14ac:dyDescent="0.3">
      <c r="B209" s="946" t="s">
        <v>3606</v>
      </c>
      <c r="C209" s="130">
        <v>8.6111111111111124E-2</v>
      </c>
      <c r="D209" s="130">
        <v>0.25208333333333333</v>
      </c>
      <c r="E209" s="130">
        <v>0.12638888888888888</v>
      </c>
      <c r="F209" s="130" t="s">
        <v>161</v>
      </c>
      <c r="G209" s="130">
        <v>0.54999999999999993</v>
      </c>
      <c r="H209" s="130">
        <v>0.2951388888888889</v>
      </c>
      <c r="I209" s="129" t="s">
        <v>557</v>
      </c>
      <c r="K209" s="129"/>
      <c r="L209" s="129"/>
      <c r="M209" s="129"/>
      <c r="N209" s="129"/>
    </row>
    <row r="210" spans="2:14" x14ac:dyDescent="0.3">
      <c r="B210" s="2" t="s">
        <v>1120</v>
      </c>
      <c r="C210" s="130">
        <v>8.6805555555555566E-2</v>
      </c>
      <c r="D210" s="130" t="s">
        <v>161</v>
      </c>
      <c r="E210" s="130">
        <v>4.5138888888888888E-2</v>
      </c>
      <c r="F210" s="130">
        <v>0.25277777777777777</v>
      </c>
      <c r="G210" s="130">
        <v>0.47013888888888888</v>
      </c>
      <c r="H210" s="130">
        <v>0.17222222222222225</v>
      </c>
      <c r="I210" s="129" t="s">
        <v>558</v>
      </c>
      <c r="J210" s="393"/>
      <c r="K210" s="129"/>
      <c r="L210" s="129"/>
      <c r="M210" s="129"/>
      <c r="N210" s="129"/>
    </row>
    <row r="211" spans="2:14" x14ac:dyDescent="0.3">
      <c r="B211" s="2" t="s">
        <v>259</v>
      </c>
      <c r="C211" s="130">
        <v>2.0833333333333333E-3</v>
      </c>
      <c r="D211" s="130">
        <v>2.7777777777777779E-3</v>
      </c>
      <c r="E211" s="130">
        <v>0.16874999999999998</v>
      </c>
      <c r="F211" s="130">
        <v>8.6805555555555566E-2</v>
      </c>
      <c r="G211" s="130">
        <v>0.26041666666666669</v>
      </c>
      <c r="H211" s="130">
        <v>0.13125000000000001</v>
      </c>
      <c r="I211" s="129" t="s">
        <v>558</v>
      </c>
      <c r="J211" s="393"/>
      <c r="K211" s="129"/>
      <c r="L211" s="129"/>
      <c r="M211" s="129"/>
      <c r="N211" s="129"/>
    </row>
    <row r="212" spans="2:14" x14ac:dyDescent="0.3">
      <c r="B212" s="2" t="s">
        <v>683</v>
      </c>
      <c r="C212" s="130">
        <v>0.25208333333333333</v>
      </c>
      <c r="D212" s="130" t="s">
        <v>164</v>
      </c>
      <c r="E212" s="130">
        <v>1.3888888888888889E-3</v>
      </c>
      <c r="F212" s="130">
        <v>8.3333333333333329E-2</v>
      </c>
      <c r="G212" s="130">
        <v>0.50555555555555554</v>
      </c>
      <c r="H212" s="130">
        <v>0.33611111111111108</v>
      </c>
      <c r="I212" s="129" t="s">
        <v>557</v>
      </c>
      <c r="K212" s="129" t="s">
        <v>171</v>
      </c>
      <c r="M212" s="130">
        <v>8.6805555555555566E-2</v>
      </c>
    </row>
    <row r="213" spans="2:14" x14ac:dyDescent="0.3">
      <c r="B213" s="2" t="s">
        <v>401</v>
      </c>
      <c r="C213" s="130">
        <v>0.12638888888888888</v>
      </c>
      <c r="D213" s="130" t="s">
        <v>601</v>
      </c>
      <c r="E213" s="130" t="s">
        <v>164</v>
      </c>
      <c r="F213" s="130">
        <v>0.25208333333333333</v>
      </c>
      <c r="G213" s="130">
        <v>0.7583333333333333</v>
      </c>
      <c r="H213" s="130">
        <v>0.41805555555555557</v>
      </c>
      <c r="I213" s="130" t="s">
        <v>557</v>
      </c>
    </row>
    <row r="214" spans="2:14" x14ac:dyDescent="0.3">
      <c r="B214" s="2" t="s">
        <v>395</v>
      </c>
      <c r="C214" s="130" t="s">
        <v>352</v>
      </c>
      <c r="D214" s="130" t="s">
        <v>359</v>
      </c>
      <c r="E214" s="130">
        <v>0.12847222222222224</v>
      </c>
      <c r="F214" s="130">
        <v>1.3888888888888889E-3</v>
      </c>
      <c r="G214" s="130">
        <v>0.42638888888888887</v>
      </c>
      <c r="H214" s="130">
        <v>0.13125000000000001</v>
      </c>
      <c r="I214" s="130" t="s">
        <v>558</v>
      </c>
    </row>
    <row r="215" spans="2:14" x14ac:dyDescent="0.3">
      <c r="B215" s="2" t="s">
        <v>390</v>
      </c>
      <c r="C215" s="130">
        <v>0.12569444444444444</v>
      </c>
      <c r="D215" s="130">
        <v>0.12569444444444444</v>
      </c>
      <c r="E215" s="130">
        <v>0.16874999999999998</v>
      </c>
      <c r="F215" s="130" t="s">
        <v>352</v>
      </c>
      <c r="G215" s="130">
        <v>0.54652777777777783</v>
      </c>
      <c r="H215" s="130">
        <v>0.45902777777777781</v>
      </c>
      <c r="I215" s="130" t="s">
        <v>557</v>
      </c>
    </row>
    <row r="216" spans="2:14" x14ac:dyDescent="0.3">
      <c r="B216" s="2" t="s">
        <v>386</v>
      </c>
      <c r="C216" s="129"/>
      <c r="D216" s="129"/>
      <c r="E216" s="129"/>
      <c r="F216" s="129"/>
      <c r="G216" s="129"/>
      <c r="H216" s="129"/>
      <c r="I216" s="129"/>
    </row>
    <row r="217" spans="2:14" x14ac:dyDescent="0.3">
      <c r="B217" s="2" t="s">
        <v>379</v>
      </c>
      <c r="C217" s="129"/>
      <c r="D217" s="129"/>
      <c r="E217" s="129"/>
      <c r="F217" s="129"/>
      <c r="G217" s="129"/>
      <c r="H217" s="129"/>
      <c r="I217" s="129"/>
    </row>
    <row r="218" spans="2:14" x14ac:dyDescent="0.3">
      <c r="B218" s="2" t="s">
        <v>372</v>
      </c>
      <c r="C218" s="130">
        <v>0.16874999999999998</v>
      </c>
      <c r="D218" s="130" t="s">
        <v>161</v>
      </c>
      <c r="E218" s="130">
        <v>4.3055555555555562E-2</v>
      </c>
      <c r="F218" s="130" t="s">
        <v>162</v>
      </c>
      <c r="G218" s="130">
        <v>0.5083333333333333</v>
      </c>
      <c r="H218" s="130">
        <v>0.25416666666666665</v>
      </c>
      <c r="I218" s="129" t="s">
        <v>562</v>
      </c>
      <c r="K218" s="130">
        <v>0.21111111111111111</v>
      </c>
      <c r="L218" s="129" t="s">
        <v>160</v>
      </c>
      <c r="M218" s="130">
        <v>0.1277777777777778</v>
      </c>
      <c r="N218" s="130">
        <v>0.12569444444444444</v>
      </c>
    </row>
    <row r="219" spans="2:14" x14ac:dyDescent="0.3">
      <c r="B219" s="2" t="s">
        <v>458</v>
      </c>
      <c r="C219" s="130">
        <v>0.1673611111111111</v>
      </c>
      <c r="D219" s="130">
        <v>0.12847222222222224</v>
      </c>
      <c r="E219" s="130" t="s">
        <v>355</v>
      </c>
      <c r="F219" s="130" t="s">
        <v>161</v>
      </c>
      <c r="G219" s="130">
        <v>0.46527777777777773</v>
      </c>
      <c r="H219" s="130">
        <v>0.25416666666666665</v>
      </c>
      <c r="I219" s="129" t="s">
        <v>557</v>
      </c>
    </row>
    <row r="220" spans="2:14" x14ac:dyDescent="0.3">
      <c r="B220" s="2" t="s">
        <v>455</v>
      </c>
      <c r="C220" s="130" t="s">
        <v>571</v>
      </c>
      <c r="D220" s="130">
        <v>0.12638888888888888</v>
      </c>
      <c r="E220" s="130">
        <v>0.21041666666666667</v>
      </c>
      <c r="F220" s="130" t="s">
        <v>354</v>
      </c>
      <c r="G220" s="130">
        <v>0.50763888888888886</v>
      </c>
      <c r="H220" s="130">
        <v>0.33611111111111108</v>
      </c>
      <c r="I220" s="129" t="s">
        <v>557</v>
      </c>
    </row>
    <row r="221" spans="2:14" x14ac:dyDescent="0.3">
      <c r="B221" s="2" t="s">
        <v>728</v>
      </c>
      <c r="C221" s="130">
        <v>0.16805555555555554</v>
      </c>
      <c r="D221" s="129" t="s">
        <v>159</v>
      </c>
      <c r="E221" s="129" t="s">
        <v>160</v>
      </c>
      <c r="F221" s="130">
        <v>0.16805555555555554</v>
      </c>
      <c r="G221" s="131">
        <v>0.58888888888888891</v>
      </c>
      <c r="H221" s="130">
        <v>0.41805555555555557</v>
      </c>
      <c r="I221" s="129" t="s">
        <v>557</v>
      </c>
    </row>
    <row r="222" spans="2:14" x14ac:dyDescent="0.3">
      <c r="B222" s="2"/>
    </row>
    <row r="225" spans="2:22" x14ac:dyDescent="0.3">
      <c r="B225" s="129" t="s">
        <v>6076</v>
      </c>
      <c r="C225" s="129" t="s">
        <v>550</v>
      </c>
      <c r="D225" s="129" t="s">
        <v>551</v>
      </c>
      <c r="E225" s="129" t="s">
        <v>552</v>
      </c>
      <c r="F225" s="129" t="s">
        <v>553</v>
      </c>
      <c r="G225" s="129" t="s">
        <v>580</v>
      </c>
      <c r="H225" s="129" t="s">
        <v>555</v>
      </c>
      <c r="I225" s="129" t="s">
        <v>556</v>
      </c>
      <c r="J225" s="179" t="s">
        <v>142</v>
      </c>
      <c r="K225" s="129" t="s">
        <v>550</v>
      </c>
      <c r="L225" s="129" t="s">
        <v>551</v>
      </c>
      <c r="M225" s="129" t="s">
        <v>552</v>
      </c>
      <c r="N225" s="129" t="s">
        <v>553</v>
      </c>
      <c r="O225" s="161" t="s">
        <v>211</v>
      </c>
      <c r="P225" s="129" t="s">
        <v>550</v>
      </c>
      <c r="Q225" s="129" t="s">
        <v>551</v>
      </c>
      <c r="R225" s="129" t="s">
        <v>552</v>
      </c>
      <c r="S225" s="129" t="s">
        <v>553</v>
      </c>
      <c r="T225" s="129" t="s">
        <v>3258</v>
      </c>
      <c r="U225" s="129" t="s">
        <v>580</v>
      </c>
      <c r="V225" s="129" t="s">
        <v>556</v>
      </c>
    </row>
    <row r="226" spans="2:22" x14ac:dyDescent="0.3">
      <c r="B226" s="946" t="s">
        <v>5273</v>
      </c>
      <c r="C226" s="130">
        <v>0.25277777777777777</v>
      </c>
      <c r="D226" s="130">
        <v>4.5833333333333337E-2</v>
      </c>
      <c r="E226" s="130">
        <v>0.1673611111111111</v>
      </c>
      <c r="F226" s="637" t="s">
        <v>589</v>
      </c>
      <c r="G226" s="130">
        <v>0.50902777777777775</v>
      </c>
      <c r="H226" s="130">
        <v>0.2951388888888889</v>
      </c>
      <c r="I226" s="129" t="s">
        <v>557</v>
      </c>
      <c r="P226" s="129"/>
      <c r="Q226" s="129"/>
      <c r="R226" s="129"/>
      <c r="S226" s="129"/>
      <c r="T226" s="129"/>
      <c r="U226" s="129"/>
      <c r="V226" s="129"/>
    </row>
    <row r="227" spans="2:22" x14ac:dyDescent="0.3">
      <c r="B227" s="946" t="s">
        <v>4807</v>
      </c>
      <c r="C227" s="130">
        <v>0.21041666666666667</v>
      </c>
      <c r="D227" s="130" t="s">
        <v>589</v>
      </c>
      <c r="E227" s="130">
        <v>0.1673611111111111</v>
      </c>
      <c r="F227" s="637">
        <v>2.0833333333333333E-3</v>
      </c>
      <c r="G227" s="130">
        <v>0.42291666666666666</v>
      </c>
      <c r="H227" s="130">
        <v>0.2951388888888889</v>
      </c>
      <c r="I227" s="129" t="s">
        <v>557</v>
      </c>
      <c r="P227" s="129"/>
      <c r="Q227" s="129"/>
      <c r="R227" s="129"/>
      <c r="S227" s="129"/>
      <c r="T227" s="129"/>
      <c r="U227" s="129"/>
      <c r="V227" s="129"/>
    </row>
    <row r="228" spans="2:22" x14ac:dyDescent="0.3">
      <c r="B228" s="946" t="s">
        <v>4613</v>
      </c>
      <c r="C228" s="130">
        <v>0.16874999999999998</v>
      </c>
      <c r="D228" s="130" t="s">
        <v>164</v>
      </c>
      <c r="E228" s="130">
        <v>0.12638888888888888</v>
      </c>
      <c r="F228" s="637">
        <v>4.3750000000000004E-2</v>
      </c>
      <c r="G228" s="130">
        <v>0.50763888888888886</v>
      </c>
      <c r="H228" s="130">
        <v>0.33611111111111108</v>
      </c>
      <c r="I228" s="129" t="s">
        <v>557</v>
      </c>
      <c r="P228" s="129"/>
      <c r="Q228" s="129"/>
      <c r="R228" s="129"/>
      <c r="S228" s="129"/>
      <c r="T228" s="129"/>
      <c r="U228" s="129"/>
      <c r="V228" s="129"/>
    </row>
    <row r="229" spans="2:22" x14ac:dyDescent="0.3">
      <c r="B229" s="946" t="s">
        <v>3606</v>
      </c>
      <c r="C229" s="130">
        <v>4.3055555555555562E-2</v>
      </c>
      <c r="D229" s="130" t="s">
        <v>351</v>
      </c>
      <c r="E229" s="130" t="s">
        <v>351</v>
      </c>
      <c r="F229" s="130">
        <v>0.25208333333333333</v>
      </c>
      <c r="G229" s="130">
        <v>0.54791666666666672</v>
      </c>
      <c r="H229" s="130">
        <v>0.2951388888888889</v>
      </c>
      <c r="I229" s="129" t="s">
        <v>557</v>
      </c>
      <c r="P229" s="129"/>
      <c r="Q229" s="129"/>
      <c r="R229" s="129"/>
      <c r="S229" s="129"/>
      <c r="T229" s="129"/>
      <c r="U229" s="129"/>
      <c r="V229" s="129"/>
    </row>
    <row r="230" spans="2:22" x14ac:dyDescent="0.3">
      <c r="B230" s="2" t="s">
        <v>1120</v>
      </c>
      <c r="C230" s="130">
        <v>8.4027777777777771E-2</v>
      </c>
      <c r="D230" s="130">
        <v>0.25277777777777777</v>
      </c>
      <c r="E230" s="130" t="s">
        <v>163</v>
      </c>
      <c r="F230" s="130" t="s">
        <v>171</v>
      </c>
      <c r="G230" s="130">
        <v>0.54999999999999993</v>
      </c>
      <c r="H230" s="130">
        <v>0.33611111111111108</v>
      </c>
      <c r="I230" s="129" t="s">
        <v>557</v>
      </c>
      <c r="J230" s="393"/>
      <c r="K230" s="129"/>
      <c r="L230" s="129"/>
      <c r="M230" s="129"/>
      <c r="N230" s="129"/>
      <c r="O230" s="393"/>
      <c r="P230" s="129"/>
      <c r="Q230" s="129"/>
      <c r="R230" s="129"/>
      <c r="S230" s="129"/>
      <c r="T230" s="129"/>
      <c r="U230" s="129"/>
      <c r="V230" s="129"/>
    </row>
    <row r="231" spans="2:22" x14ac:dyDescent="0.3">
      <c r="B231" s="2" t="s">
        <v>259</v>
      </c>
      <c r="C231" s="130">
        <v>0.29305555555555557</v>
      </c>
      <c r="D231" s="130" t="s">
        <v>601</v>
      </c>
      <c r="E231" s="130" t="s">
        <v>164</v>
      </c>
      <c r="F231" s="130">
        <v>0.12638888888888888</v>
      </c>
      <c r="G231" s="130">
        <v>0.7993055555555556</v>
      </c>
      <c r="H231" s="130">
        <v>0.41805555555555557</v>
      </c>
      <c r="I231" s="129" t="s">
        <v>557</v>
      </c>
      <c r="J231" s="129"/>
      <c r="K231" s="130">
        <v>0.12916666666666668</v>
      </c>
      <c r="L231" s="130" t="s">
        <v>601</v>
      </c>
      <c r="M231" s="129"/>
      <c r="N231" s="129"/>
      <c r="O231" s="393"/>
      <c r="P231" s="129"/>
      <c r="Q231" s="129"/>
      <c r="R231" s="129"/>
      <c r="S231" s="129"/>
      <c r="T231" s="129"/>
      <c r="U231" s="129"/>
      <c r="V231" s="129"/>
    </row>
    <row r="232" spans="2:22" x14ac:dyDescent="0.3">
      <c r="B232" s="2" t="s">
        <v>683</v>
      </c>
      <c r="P232" s="130">
        <v>0.12569444444444444</v>
      </c>
      <c r="Q232" s="130">
        <v>4.5138888888888888E-2</v>
      </c>
      <c r="R232" s="130" t="s">
        <v>164</v>
      </c>
      <c r="S232" s="130" t="s">
        <v>209</v>
      </c>
      <c r="T232" s="130">
        <v>0.2951388888888889</v>
      </c>
      <c r="U232" s="130">
        <v>0.38125000000000003</v>
      </c>
      <c r="V232" s="130" t="s">
        <v>557</v>
      </c>
    </row>
    <row r="233" spans="2:22" x14ac:dyDescent="0.3">
      <c r="B233" s="2" t="s">
        <v>401</v>
      </c>
      <c r="C233" s="130" t="s">
        <v>160</v>
      </c>
      <c r="D233" s="130" t="s">
        <v>351</v>
      </c>
      <c r="E233" s="130">
        <v>0.12569444444444444</v>
      </c>
      <c r="F233" s="130">
        <v>0.12638888888888888</v>
      </c>
      <c r="G233" s="130">
        <v>0.46249999999999997</v>
      </c>
      <c r="H233" s="130">
        <v>0.41805555555555557</v>
      </c>
      <c r="I233" s="130" t="s">
        <v>557</v>
      </c>
    </row>
    <row r="234" spans="2:22" x14ac:dyDescent="0.3">
      <c r="B234" s="2" t="s">
        <v>395</v>
      </c>
      <c r="C234" s="130">
        <v>4.4444444444444446E-2</v>
      </c>
      <c r="D234" s="130">
        <v>0.12569444444444444</v>
      </c>
      <c r="E234" s="130">
        <v>0.12638888888888888</v>
      </c>
      <c r="F234" s="130">
        <v>0.1277777777777778</v>
      </c>
      <c r="G234" s="130">
        <v>0.42430555555555555</v>
      </c>
      <c r="H234" s="130">
        <v>0.25416666666666665</v>
      </c>
      <c r="I234" s="130" t="s">
        <v>558</v>
      </c>
      <c r="K234" s="130" t="s">
        <v>160</v>
      </c>
      <c r="M234" s="130">
        <v>0.12638888888888888</v>
      </c>
      <c r="P234" s="130">
        <v>0.21041666666666667</v>
      </c>
      <c r="Q234" s="130">
        <v>0.12638888888888888</v>
      </c>
      <c r="R234" s="130">
        <v>8.5416666666666655E-2</v>
      </c>
      <c r="S234" s="130">
        <v>0.12847222222222224</v>
      </c>
      <c r="T234" s="130">
        <v>0.25416666666666665</v>
      </c>
      <c r="U234" s="130">
        <v>0.55069444444444449</v>
      </c>
      <c r="V234" s="130" t="s">
        <v>562</v>
      </c>
    </row>
    <row r="235" spans="2:22" x14ac:dyDescent="0.3">
      <c r="B235" s="2" t="s">
        <v>390</v>
      </c>
      <c r="C235" s="130">
        <v>0.20833333333333334</v>
      </c>
      <c r="D235" s="130">
        <v>0.16805555555555554</v>
      </c>
      <c r="E235" s="130">
        <v>4.3055555555555562E-2</v>
      </c>
      <c r="F235" s="130">
        <v>8.3333333333333329E-2</v>
      </c>
      <c r="G235" s="130">
        <v>0.50277777777777777</v>
      </c>
      <c r="H235" s="130">
        <v>0.37708333333333338</v>
      </c>
      <c r="I235" s="130" t="s">
        <v>557</v>
      </c>
    </row>
    <row r="236" spans="2:22" x14ac:dyDescent="0.3">
      <c r="B236" s="2" t="s">
        <v>386</v>
      </c>
      <c r="C236" s="130">
        <v>8.4027777777777771E-2</v>
      </c>
      <c r="D236" s="130">
        <v>8.4027777777777771E-2</v>
      </c>
      <c r="E236" s="130">
        <v>4.3750000000000004E-2</v>
      </c>
      <c r="F236" s="130">
        <v>4.3055555555555562E-2</v>
      </c>
      <c r="G236" s="130">
        <v>0.25486111111111109</v>
      </c>
      <c r="H236" s="130">
        <v>0.25416666666666665</v>
      </c>
      <c r="I236" s="139" t="s">
        <v>558</v>
      </c>
      <c r="K236" s="130">
        <v>0.20902777777777778</v>
      </c>
      <c r="M236" s="130">
        <v>0.125</v>
      </c>
    </row>
    <row r="237" spans="2:22" x14ac:dyDescent="0.3">
      <c r="B237" s="2" t="s">
        <v>379</v>
      </c>
      <c r="C237" s="130">
        <v>0.20972222222222223</v>
      </c>
      <c r="D237" s="130">
        <v>0.1673611111111111</v>
      </c>
      <c r="E237" s="130">
        <v>8.6111111111111124E-2</v>
      </c>
      <c r="F237" s="130">
        <v>0.12638888888888888</v>
      </c>
      <c r="G237" s="130">
        <v>0.58958333333333335</v>
      </c>
      <c r="H237" s="130">
        <v>0.37708333333333338</v>
      </c>
      <c r="I237" s="130" t="s">
        <v>557</v>
      </c>
    </row>
    <row r="238" spans="2:22" x14ac:dyDescent="0.3">
      <c r="B238" s="2" t="s">
        <v>372</v>
      </c>
      <c r="C238" s="130" t="s">
        <v>164</v>
      </c>
      <c r="D238" s="130">
        <v>0.1673611111111111</v>
      </c>
      <c r="E238" s="130">
        <v>8.7500000000000008E-2</v>
      </c>
      <c r="F238" s="130">
        <v>0.20972222222222223</v>
      </c>
      <c r="G238" s="130">
        <v>0.6333333333333333</v>
      </c>
      <c r="H238" s="130">
        <v>0.33611111111111108</v>
      </c>
      <c r="I238" s="129" t="s">
        <v>557</v>
      </c>
      <c r="K238" s="130">
        <v>0.1277777777777778</v>
      </c>
      <c r="L238" s="130">
        <v>0.25208333333333333</v>
      </c>
      <c r="M238" s="130">
        <v>8.7500000000000008E-2</v>
      </c>
      <c r="N238" s="130">
        <v>4.4444444444444446E-2</v>
      </c>
    </row>
    <row r="239" spans="2:22" x14ac:dyDescent="0.3">
      <c r="B239" s="2" t="s">
        <v>458</v>
      </c>
      <c r="C239" s="130">
        <v>1.3888888888888889E-3</v>
      </c>
      <c r="D239" s="130">
        <v>8.5416666666666655E-2</v>
      </c>
      <c r="E239" s="130">
        <v>0.12916666666666668</v>
      </c>
      <c r="F239" s="130">
        <v>4.4444444444444446E-2</v>
      </c>
      <c r="G239" s="130">
        <v>0.26041666666666669</v>
      </c>
      <c r="H239" s="130">
        <v>8.3333333333333332E-3</v>
      </c>
      <c r="I239" s="129" t="s">
        <v>558</v>
      </c>
    </row>
    <row r="240" spans="2:22" x14ac:dyDescent="0.3">
      <c r="B240" s="2" t="s">
        <v>455</v>
      </c>
      <c r="C240" s="130">
        <v>0.21249999999999999</v>
      </c>
      <c r="D240" s="130">
        <v>0.16875000000000001</v>
      </c>
      <c r="E240" s="130">
        <v>0.12638888888888888</v>
      </c>
      <c r="F240" s="130">
        <v>8.7499999999999994E-2</v>
      </c>
      <c r="G240" s="130">
        <v>0.59513888888888888</v>
      </c>
      <c r="H240" s="130">
        <v>0.25416666666666665</v>
      </c>
      <c r="I240" s="129" t="s">
        <v>558</v>
      </c>
    </row>
    <row r="241" spans="2:14" x14ac:dyDescent="0.3">
      <c r="B241" s="2" t="s">
        <v>728</v>
      </c>
      <c r="C241" s="130">
        <v>0.16805555555555554</v>
      </c>
      <c r="D241" s="130">
        <v>0.21111111111111111</v>
      </c>
      <c r="E241" s="130">
        <v>8.4027777777777771E-2</v>
      </c>
      <c r="F241" s="130">
        <v>4.5138888888888888E-2</v>
      </c>
      <c r="G241" s="131">
        <v>0.5083333333333333</v>
      </c>
      <c r="H241" s="130">
        <v>0.37708333333333338</v>
      </c>
      <c r="I241" s="129" t="s">
        <v>557</v>
      </c>
    </row>
    <row r="242" spans="2:14" x14ac:dyDescent="0.3">
      <c r="B242" s="2" t="s">
        <v>449</v>
      </c>
      <c r="C242" s="130">
        <v>0.25138888888888888</v>
      </c>
      <c r="D242" s="130" t="s">
        <v>209</v>
      </c>
      <c r="E242" s="130">
        <v>4.3749999999999997E-2</v>
      </c>
      <c r="F242" s="130">
        <v>0.21041666666666667</v>
      </c>
      <c r="G242" s="130">
        <v>0.54722222222222217</v>
      </c>
      <c r="H242" s="130">
        <v>0.33611111111111108</v>
      </c>
      <c r="I242" s="130" t="s">
        <v>557</v>
      </c>
    </row>
    <row r="244" spans="2:14" x14ac:dyDescent="0.3">
      <c r="B244" s="2" t="s">
        <v>729</v>
      </c>
      <c r="C244" s="129" t="s">
        <v>550</v>
      </c>
      <c r="D244" s="129" t="s">
        <v>551</v>
      </c>
      <c r="E244" s="129" t="s">
        <v>552</v>
      </c>
      <c r="F244" s="129" t="s">
        <v>553</v>
      </c>
      <c r="G244" s="129" t="s">
        <v>731</v>
      </c>
      <c r="I244" s="129"/>
    </row>
    <row r="245" spans="2:14" x14ac:dyDescent="0.3">
      <c r="B245" s="2" t="s">
        <v>741</v>
      </c>
      <c r="C245" s="130" t="s">
        <v>352</v>
      </c>
      <c r="D245" s="130">
        <v>8.5416666666666655E-2</v>
      </c>
      <c r="E245" s="130">
        <v>8.7500000000000008E-2</v>
      </c>
      <c r="F245" s="130">
        <v>8.5416666666666655E-2</v>
      </c>
      <c r="G245" s="130">
        <v>8.5416666666666655E-2</v>
      </c>
    </row>
    <row r="246" spans="2:14" x14ac:dyDescent="0.3">
      <c r="B246" s="2" t="s">
        <v>742</v>
      </c>
      <c r="C246" s="130" t="s">
        <v>161</v>
      </c>
      <c r="D246" s="130" t="s">
        <v>208</v>
      </c>
      <c r="E246" s="130">
        <v>4.3750000000000004E-2</v>
      </c>
      <c r="F246" s="130">
        <v>8.6111111111111124E-2</v>
      </c>
    </row>
    <row r="250" spans="2:14" x14ac:dyDescent="0.3">
      <c r="B250" s="129" t="s">
        <v>332</v>
      </c>
      <c r="C250" s="129" t="s">
        <v>550</v>
      </c>
      <c r="D250" s="129" t="s">
        <v>551</v>
      </c>
      <c r="E250" s="129" t="s">
        <v>552</v>
      </c>
      <c r="F250" s="129" t="s">
        <v>553</v>
      </c>
      <c r="G250" s="129" t="s">
        <v>580</v>
      </c>
      <c r="H250" s="129" t="s">
        <v>555</v>
      </c>
      <c r="I250" s="129" t="s">
        <v>556</v>
      </c>
    </row>
    <row r="251" spans="2:14" x14ac:dyDescent="0.3">
      <c r="B251" s="946" t="s">
        <v>5273</v>
      </c>
      <c r="C251" s="130" t="s">
        <v>601</v>
      </c>
      <c r="D251" s="130"/>
      <c r="E251" s="130">
        <v>2.0833333333333333E-3</v>
      </c>
      <c r="F251" s="637"/>
      <c r="G251" s="130">
        <v>0.21319444444444444</v>
      </c>
      <c r="H251" s="130">
        <v>8.6111111111111124E-2</v>
      </c>
      <c r="I251" s="2" t="s">
        <v>558</v>
      </c>
    </row>
    <row r="252" spans="2:14" x14ac:dyDescent="0.3">
      <c r="B252" s="946" t="s">
        <v>4807</v>
      </c>
      <c r="C252" s="130" t="s">
        <v>589</v>
      </c>
      <c r="D252" s="130">
        <v>8.5416666666666655E-2</v>
      </c>
      <c r="E252" s="130" t="s">
        <v>171</v>
      </c>
      <c r="F252" s="637">
        <v>8.6805555555555566E-2</v>
      </c>
      <c r="G252" s="130">
        <v>0.30069444444444443</v>
      </c>
      <c r="H252" s="130">
        <v>9.0277777777777776E-2</v>
      </c>
      <c r="I252" s="129" t="s">
        <v>558</v>
      </c>
    </row>
    <row r="253" spans="2:14" x14ac:dyDescent="0.3">
      <c r="B253" s="946" t="s">
        <v>4613</v>
      </c>
      <c r="C253" s="130">
        <v>0.16874999999999998</v>
      </c>
      <c r="D253" s="130">
        <v>8.6805555555555566E-2</v>
      </c>
      <c r="E253" s="130">
        <v>8.5416666666666655E-2</v>
      </c>
      <c r="F253" s="637" t="s">
        <v>171</v>
      </c>
      <c r="G253" s="130">
        <v>0.42638888888888887</v>
      </c>
      <c r="H253" s="130">
        <v>0.17222222222222225</v>
      </c>
      <c r="I253" s="129" t="s">
        <v>558</v>
      </c>
      <c r="M253" s="129"/>
      <c r="N253" s="129"/>
    </row>
    <row r="254" spans="2:14" x14ac:dyDescent="0.3">
      <c r="B254" s="946" t="s">
        <v>3606</v>
      </c>
      <c r="M254" s="129"/>
      <c r="N254" s="129"/>
    </row>
    <row r="255" spans="2:14" x14ac:dyDescent="0.3">
      <c r="B255" s="2" t="s">
        <v>1120</v>
      </c>
      <c r="C255" s="130">
        <v>0.1673611111111111</v>
      </c>
      <c r="D255" s="130">
        <v>0.25138888888888888</v>
      </c>
      <c r="E255" s="130" t="s">
        <v>351</v>
      </c>
      <c r="F255" s="130">
        <v>0.21041666666666667</v>
      </c>
      <c r="G255" s="130">
        <v>0.75555555555555554</v>
      </c>
      <c r="H255" s="130">
        <v>0.45902777777777781</v>
      </c>
      <c r="I255" s="129" t="s">
        <v>557</v>
      </c>
      <c r="M255" s="129"/>
      <c r="N255" s="129"/>
    </row>
    <row r="257" spans="2:12" x14ac:dyDescent="0.3">
      <c r="B257" s="129" t="s">
        <v>386</v>
      </c>
      <c r="C257" s="130">
        <v>0.20972222222222223</v>
      </c>
      <c r="D257" s="130">
        <v>8.5416666666666655E-2</v>
      </c>
      <c r="E257" s="130">
        <v>8.5416666666666655E-2</v>
      </c>
      <c r="F257" s="130">
        <v>1.3888888888888889E-3</v>
      </c>
      <c r="G257" s="130">
        <v>0.38194444444444442</v>
      </c>
      <c r="H257" s="130">
        <v>0.13125000000000001</v>
      </c>
      <c r="I257" s="139" t="s">
        <v>558</v>
      </c>
      <c r="J257" s="129" t="s">
        <v>621</v>
      </c>
      <c r="K257" s="130">
        <v>0.16874999999999998</v>
      </c>
      <c r="L257" s="130">
        <v>0.16805555555555554</v>
      </c>
    </row>
    <row r="258" spans="2:12" x14ac:dyDescent="0.3">
      <c r="B258" s="129" t="s">
        <v>379</v>
      </c>
      <c r="C258" s="130">
        <v>0.21041666666666667</v>
      </c>
      <c r="D258" s="130" t="s">
        <v>355</v>
      </c>
      <c r="E258" s="130">
        <v>4.3055555555555562E-2</v>
      </c>
      <c r="F258" s="130">
        <v>8.5416666666666655E-2</v>
      </c>
      <c r="G258" s="130">
        <v>0.42291666666666666</v>
      </c>
      <c r="H258" s="130">
        <v>0.21319444444444444</v>
      </c>
      <c r="I258" s="130" t="s">
        <v>558</v>
      </c>
    </row>
    <row r="259" spans="2:12" x14ac:dyDescent="0.3">
      <c r="B259" s="129" t="s">
        <v>372</v>
      </c>
      <c r="C259" s="130" t="s">
        <v>601</v>
      </c>
      <c r="D259" s="130" t="s">
        <v>568</v>
      </c>
      <c r="E259" s="130">
        <v>4.4444444444444446E-2</v>
      </c>
      <c r="F259" s="130">
        <v>3.472222222222222E-3</v>
      </c>
      <c r="G259" s="130">
        <v>0.51250000000000007</v>
      </c>
      <c r="H259" s="130">
        <v>0.17222222222222225</v>
      </c>
      <c r="I259" s="129" t="s">
        <v>558</v>
      </c>
    </row>
    <row r="260" spans="2:12" x14ac:dyDescent="0.3">
      <c r="B260" s="129" t="s">
        <v>458</v>
      </c>
      <c r="C260" s="130">
        <v>0.1673611111111111</v>
      </c>
      <c r="D260" s="130">
        <v>0.12569444444444444</v>
      </c>
      <c r="E260" s="130">
        <v>0.20902777777777778</v>
      </c>
      <c r="F260" s="130">
        <v>0.21041666666666667</v>
      </c>
      <c r="G260" s="130">
        <v>0.71250000000000002</v>
      </c>
      <c r="H260" s="130">
        <v>0.5</v>
      </c>
      <c r="I260" s="129" t="s">
        <v>557</v>
      </c>
    </row>
    <row r="261" spans="2:12" x14ac:dyDescent="0.3">
      <c r="B261" s="129" t="s">
        <v>455</v>
      </c>
      <c r="C261" s="130">
        <v>4.5833333333333337E-2</v>
      </c>
      <c r="D261" s="130">
        <v>8.6111111111111124E-2</v>
      </c>
      <c r="E261" s="130">
        <v>8.7499999999999994E-2</v>
      </c>
      <c r="F261" s="130">
        <v>4.6527777777777779E-2</v>
      </c>
      <c r="G261" s="130">
        <v>0.26597222222222222</v>
      </c>
      <c r="H261" s="130">
        <v>8.3333333333333332E-3</v>
      </c>
      <c r="I261" s="129" t="s">
        <v>558</v>
      </c>
    </row>
    <row r="262" spans="2:12" x14ac:dyDescent="0.3">
      <c r="B262" s="129" t="s">
        <v>452</v>
      </c>
      <c r="C262" s="130">
        <v>0.16666666666666666</v>
      </c>
      <c r="D262" s="129" t="s">
        <v>160</v>
      </c>
      <c r="E262" s="129" t="s">
        <v>160</v>
      </c>
      <c r="F262" s="130">
        <v>2.0833333333333333E-3</v>
      </c>
      <c r="G262" s="130">
        <v>0.33680555555555558</v>
      </c>
      <c r="H262" s="130">
        <v>0.2951388888888889</v>
      </c>
      <c r="I262" s="129" t="s">
        <v>557</v>
      </c>
    </row>
    <row r="263" spans="2:12" x14ac:dyDescent="0.3">
      <c r="B263" s="130" t="s">
        <v>449</v>
      </c>
      <c r="C263" s="130">
        <v>0.25138888888888888</v>
      </c>
      <c r="D263" s="130">
        <v>4.4444444444444446E-2</v>
      </c>
      <c r="E263" s="130">
        <v>0.12847222222222224</v>
      </c>
      <c r="F263" s="130">
        <v>4.5138888888888888E-2</v>
      </c>
      <c r="G263" s="130">
        <v>0.4694444444444445</v>
      </c>
      <c r="H263" s="130">
        <v>0.13125000000000001</v>
      </c>
      <c r="I263" s="130" t="s">
        <v>558</v>
      </c>
    </row>
    <row r="266" spans="2:12" x14ac:dyDescent="0.3">
      <c r="B266" s="129" t="s">
        <v>6091</v>
      </c>
      <c r="C266" s="129" t="s">
        <v>550</v>
      </c>
      <c r="D266" s="129" t="s">
        <v>551</v>
      </c>
      <c r="E266" s="129" t="s">
        <v>552</v>
      </c>
      <c r="F266" s="129" t="s">
        <v>553</v>
      </c>
      <c r="G266" s="129" t="s">
        <v>580</v>
      </c>
      <c r="H266" s="129" t="s">
        <v>555</v>
      </c>
      <c r="I266" s="129" t="s">
        <v>556</v>
      </c>
    </row>
    <row r="267" spans="2:12" x14ac:dyDescent="0.3">
      <c r="B267" s="946" t="s">
        <v>5273</v>
      </c>
      <c r="C267" s="130">
        <v>0.16874999999999998</v>
      </c>
      <c r="D267" s="130" t="s">
        <v>164</v>
      </c>
      <c r="E267" s="130">
        <v>6.9444444444444447E-4</v>
      </c>
      <c r="F267" s="130"/>
      <c r="G267" s="130">
        <v>0.33819444444444446</v>
      </c>
      <c r="H267" s="130">
        <v>0.21111111111111111</v>
      </c>
      <c r="I267" s="2" t="s">
        <v>557</v>
      </c>
    </row>
    <row r="268" spans="2:12" x14ac:dyDescent="0.3">
      <c r="B268" s="946" t="s">
        <v>4807</v>
      </c>
      <c r="C268" s="130">
        <v>0.25277777777777777</v>
      </c>
      <c r="D268" s="130" t="s">
        <v>619</v>
      </c>
      <c r="E268" s="130">
        <v>0.12916666666666668</v>
      </c>
      <c r="F268" s="130">
        <v>0.20972222222222223</v>
      </c>
      <c r="G268" s="130">
        <v>0.6333333333333333</v>
      </c>
      <c r="H268" s="130">
        <v>0.33611111111111108</v>
      </c>
      <c r="I268" s="129" t="s">
        <v>557</v>
      </c>
    </row>
    <row r="269" spans="2:12" x14ac:dyDescent="0.3">
      <c r="B269" s="946" t="s">
        <v>4613</v>
      </c>
      <c r="C269" s="130">
        <v>0.12638888888888888</v>
      </c>
      <c r="D269" s="130">
        <v>0.1277777777777778</v>
      </c>
      <c r="E269" s="130">
        <v>0.125</v>
      </c>
      <c r="F269" s="637">
        <v>0.25069444444444444</v>
      </c>
      <c r="G269" s="130">
        <v>0.62986111111111109</v>
      </c>
      <c r="H269" s="130">
        <v>0.37708333333333338</v>
      </c>
      <c r="I269" s="129" t="s">
        <v>557</v>
      </c>
    </row>
    <row r="270" spans="2:12" x14ac:dyDescent="0.3">
      <c r="B270" s="946" t="s">
        <v>3606</v>
      </c>
      <c r="C270" s="130">
        <v>0.12638888888888888</v>
      </c>
      <c r="D270" s="130">
        <v>0.29375000000000001</v>
      </c>
      <c r="E270" s="130">
        <v>0.1277777777777778</v>
      </c>
      <c r="F270" s="130">
        <v>0.16874999999999998</v>
      </c>
      <c r="G270" s="130">
        <v>0.71666666666666667</v>
      </c>
      <c r="H270" s="130">
        <v>0.37708333333333338</v>
      </c>
      <c r="I270" s="129" t="s">
        <v>557</v>
      </c>
    </row>
    <row r="272" spans="2:12" x14ac:dyDescent="0.3">
      <c r="B272" s="129" t="s">
        <v>379</v>
      </c>
      <c r="C272" s="130">
        <v>0.12569444444444444</v>
      </c>
      <c r="D272" s="130">
        <v>4.4444444444444446E-2</v>
      </c>
      <c r="E272" s="130">
        <v>0.125</v>
      </c>
      <c r="F272" s="130">
        <v>4.3750000000000004E-2</v>
      </c>
      <c r="G272" s="130">
        <v>0.33888888888888885</v>
      </c>
      <c r="H272" s="130">
        <v>0.25416666666666665</v>
      </c>
      <c r="I272" s="130" t="s">
        <v>562</v>
      </c>
    </row>
    <row r="273" spans="2:9" x14ac:dyDescent="0.3">
      <c r="B273" s="129" t="s">
        <v>372</v>
      </c>
      <c r="C273" s="130">
        <v>0.12638888888888888</v>
      </c>
      <c r="D273" s="130" t="s">
        <v>161</v>
      </c>
      <c r="E273" s="130">
        <v>0.125</v>
      </c>
      <c r="F273" s="130">
        <v>8.5416666666666655E-2</v>
      </c>
      <c r="G273" s="130">
        <v>0.42222222222222222</v>
      </c>
      <c r="H273" s="130">
        <v>0.2951388888888889</v>
      </c>
      <c r="I273" s="129" t="s">
        <v>557</v>
      </c>
    </row>
    <row r="274" spans="2:9" x14ac:dyDescent="0.3">
      <c r="B274" s="129" t="s">
        <v>458</v>
      </c>
      <c r="C274" s="130">
        <v>0.12569444444444444</v>
      </c>
      <c r="D274" s="130">
        <v>0.16874999999999998</v>
      </c>
      <c r="E274" s="130">
        <v>0.25277777777777777</v>
      </c>
      <c r="F274" s="130">
        <v>8.6805555555555566E-2</v>
      </c>
      <c r="G274" s="130">
        <v>0.63402777777777775</v>
      </c>
      <c r="H274" s="130">
        <v>0.37708333333333338</v>
      </c>
      <c r="I274" s="129" t="s">
        <v>557</v>
      </c>
    </row>
    <row r="275" spans="2:9" x14ac:dyDescent="0.3">
      <c r="B275" s="129" t="s">
        <v>455</v>
      </c>
      <c r="C275" s="130">
        <v>0.20972222222222223</v>
      </c>
      <c r="D275" s="130" t="s">
        <v>354</v>
      </c>
      <c r="E275" s="130">
        <v>4.4444444444444446E-2</v>
      </c>
      <c r="F275" s="130">
        <v>2.0833333333333333E-3</v>
      </c>
      <c r="G275" s="130">
        <v>0.3840277777777778</v>
      </c>
      <c r="H275" s="130">
        <v>0.17222222222222225</v>
      </c>
      <c r="I275" s="129" t="s">
        <v>558</v>
      </c>
    </row>
    <row r="276" spans="2:9" x14ac:dyDescent="0.3">
      <c r="B276" s="129" t="s">
        <v>452</v>
      </c>
      <c r="C276" s="130">
        <v>0.20902777777777778</v>
      </c>
      <c r="D276" s="130">
        <v>4.3749999999999997E-2</v>
      </c>
      <c r="E276" s="129" t="s">
        <v>159</v>
      </c>
      <c r="F276" s="130">
        <v>4.5138888888888888E-2</v>
      </c>
      <c r="G276" s="131">
        <v>0.46666666666666662</v>
      </c>
      <c r="H276" s="130">
        <v>0.21319444444444444</v>
      </c>
      <c r="I276" s="129" t="s">
        <v>558</v>
      </c>
    </row>
    <row r="277" spans="2:9" x14ac:dyDescent="0.3">
      <c r="B277" s="130" t="s">
        <v>449</v>
      </c>
      <c r="C277" s="130">
        <v>0.21041666666666667</v>
      </c>
      <c r="D277" s="130">
        <v>0.12916666666666668</v>
      </c>
      <c r="E277" s="130">
        <v>0.1277777777777778</v>
      </c>
      <c r="F277" s="130">
        <v>1.3888888888888889E-3</v>
      </c>
      <c r="G277" s="130">
        <v>0.46875</v>
      </c>
      <c r="H277" s="130">
        <v>0.13125000000000001</v>
      </c>
      <c r="I277" s="130" t="s">
        <v>558</v>
      </c>
    </row>
    <row r="289" spans="2:12" x14ac:dyDescent="0.3">
      <c r="B289" s="129" t="s">
        <v>612</v>
      </c>
      <c r="C289" s="129" t="s">
        <v>550</v>
      </c>
      <c r="D289" s="129" t="s">
        <v>551</v>
      </c>
      <c r="E289" s="129" t="s">
        <v>552</v>
      </c>
      <c r="F289" s="129" t="s">
        <v>553</v>
      </c>
      <c r="G289" s="129" t="s">
        <v>580</v>
      </c>
      <c r="H289" s="129" t="s">
        <v>555</v>
      </c>
      <c r="I289" s="129" t="s">
        <v>556</v>
      </c>
      <c r="J289" s="179" t="s">
        <v>142</v>
      </c>
      <c r="K289" s="129" t="s">
        <v>232</v>
      </c>
      <c r="L289" s="129" t="s">
        <v>739</v>
      </c>
    </row>
    <row r="290" spans="2:12" x14ac:dyDescent="0.3">
      <c r="B290" s="2" t="s">
        <v>1120</v>
      </c>
      <c r="C290" s="129"/>
      <c r="D290" s="129"/>
      <c r="E290" s="129"/>
      <c r="F290" s="129"/>
      <c r="G290" s="129"/>
      <c r="H290" s="129"/>
      <c r="I290" s="129"/>
      <c r="J290" s="393"/>
      <c r="K290" s="129"/>
      <c r="L290" s="129"/>
    </row>
    <row r="291" spans="2:12" x14ac:dyDescent="0.3">
      <c r="B291" s="2" t="s">
        <v>259</v>
      </c>
      <c r="C291" s="130">
        <v>0.1673611111111111</v>
      </c>
      <c r="D291" s="130">
        <v>6.9444444444444447E-4</v>
      </c>
      <c r="E291" s="130" t="s">
        <v>160</v>
      </c>
      <c r="F291" s="130">
        <v>4.4444444444444446E-2</v>
      </c>
      <c r="G291" s="130">
        <v>0.29652777777777778</v>
      </c>
      <c r="H291" s="130">
        <v>0.21319444444444444</v>
      </c>
      <c r="I291" s="129" t="s">
        <v>558</v>
      </c>
      <c r="J291" s="129" t="s">
        <v>621</v>
      </c>
      <c r="K291" s="130">
        <v>0.16805555555555554</v>
      </c>
      <c r="L291" s="130">
        <v>0.16805555555555554</v>
      </c>
    </row>
    <row r="292" spans="2:12" x14ac:dyDescent="0.3">
      <c r="B292" s="2" t="s">
        <v>683</v>
      </c>
      <c r="C292" s="130">
        <v>8.5416666666666655E-2</v>
      </c>
      <c r="D292" s="130" t="s">
        <v>161</v>
      </c>
      <c r="E292" s="130">
        <v>0.12569444444444444</v>
      </c>
      <c r="F292" s="130" t="s">
        <v>159</v>
      </c>
      <c r="G292" s="130">
        <v>0.46527777777777773</v>
      </c>
      <c r="H292" s="130">
        <v>0.25416666666666665</v>
      </c>
      <c r="I292" s="129" t="s">
        <v>557</v>
      </c>
      <c r="K292" s="130">
        <v>4.3750000000000004E-2</v>
      </c>
      <c r="L292" s="130" t="s">
        <v>164</v>
      </c>
    </row>
    <row r="293" spans="2:12" x14ac:dyDescent="0.3">
      <c r="B293" s="2" t="s">
        <v>401</v>
      </c>
      <c r="C293" s="130">
        <v>8.6111111111111124E-2</v>
      </c>
      <c r="D293" s="130" t="s">
        <v>351</v>
      </c>
      <c r="E293" s="130">
        <v>0.16805555555555554</v>
      </c>
      <c r="F293" s="130">
        <v>8.4027777777777771E-2</v>
      </c>
      <c r="G293" s="130">
        <v>0.46458333333333335</v>
      </c>
      <c r="H293" s="130">
        <v>0.33611111111111108</v>
      </c>
      <c r="I293" s="130" t="s">
        <v>557</v>
      </c>
    </row>
    <row r="294" spans="2:12" x14ac:dyDescent="0.3">
      <c r="B294" s="2" t="s">
        <v>395</v>
      </c>
      <c r="C294" s="130" t="s">
        <v>352</v>
      </c>
      <c r="D294" s="130">
        <v>8.5416666666666655E-2</v>
      </c>
      <c r="E294" s="130">
        <v>6.9444444444444447E-4</v>
      </c>
      <c r="F294" s="130" t="s">
        <v>351</v>
      </c>
      <c r="G294" s="130">
        <v>0.33888888888888885</v>
      </c>
      <c r="H294" s="130">
        <v>0.17222222222222225</v>
      </c>
      <c r="I294" s="130" t="s">
        <v>558</v>
      </c>
    </row>
    <row r="295" spans="2:12" x14ac:dyDescent="0.3">
      <c r="B295" s="2" t="s">
        <v>390</v>
      </c>
      <c r="C295" s="129"/>
      <c r="D295" s="129"/>
      <c r="E295" s="129"/>
      <c r="F295" s="129"/>
      <c r="G295" s="129"/>
      <c r="H295" s="129"/>
      <c r="I295" s="129"/>
    </row>
    <row r="296" spans="2:12" x14ac:dyDescent="0.3">
      <c r="B296" s="2" t="s">
        <v>386</v>
      </c>
      <c r="C296" s="130">
        <v>8.4027777777777771E-2</v>
      </c>
      <c r="D296" s="130" t="s">
        <v>355</v>
      </c>
      <c r="E296" s="130" t="s">
        <v>352</v>
      </c>
      <c r="F296" s="130">
        <v>0.16666666666666666</v>
      </c>
      <c r="G296" s="130">
        <v>0.46111111111111108</v>
      </c>
      <c r="H296" s="130">
        <v>0.41805555555555557</v>
      </c>
      <c r="I296" s="139" t="s">
        <v>557</v>
      </c>
      <c r="K296" s="130">
        <v>0.12638888888888888</v>
      </c>
      <c r="L296" s="130">
        <v>0.12569444444444444</v>
      </c>
    </row>
    <row r="297" spans="2:12" x14ac:dyDescent="0.3">
      <c r="B297" s="2" t="s">
        <v>379</v>
      </c>
      <c r="C297" s="130" t="s">
        <v>163</v>
      </c>
      <c r="D297" s="130">
        <v>0.25138888888888888</v>
      </c>
      <c r="E297" s="130">
        <v>8.4027777777777771E-2</v>
      </c>
      <c r="F297" s="130">
        <v>8.6805555555555566E-2</v>
      </c>
      <c r="G297" s="130">
        <v>0.54999999999999993</v>
      </c>
      <c r="H297" s="130">
        <v>0.2951388888888889</v>
      </c>
      <c r="I297" s="130" t="s">
        <v>557</v>
      </c>
    </row>
    <row r="300" spans="2:12" x14ac:dyDescent="0.3">
      <c r="B300" s="129" t="s">
        <v>326</v>
      </c>
      <c r="C300" s="129" t="s">
        <v>550</v>
      </c>
      <c r="D300" s="129" t="s">
        <v>551</v>
      </c>
      <c r="E300" s="129" t="s">
        <v>552</v>
      </c>
      <c r="F300" s="129" t="s">
        <v>553</v>
      </c>
      <c r="G300" s="129" t="s">
        <v>580</v>
      </c>
      <c r="H300" s="129" t="s">
        <v>555</v>
      </c>
      <c r="I300" s="129" t="s">
        <v>556</v>
      </c>
    </row>
    <row r="301" spans="2:12" x14ac:dyDescent="0.3">
      <c r="B301" s="946" t="s">
        <v>4613</v>
      </c>
      <c r="C301" s="130">
        <v>8.4027777777777771E-2</v>
      </c>
      <c r="D301" s="130" t="s">
        <v>163</v>
      </c>
      <c r="E301" s="130">
        <v>0.16805555555555554</v>
      </c>
      <c r="F301" s="637">
        <v>4.4444444444444446E-2</v>
      </c>
      <c r="G301" s="130">
        <v>0.42430555555555555</v>
      </c>
      <c r="H301" s="130">
        <v>0.2951388888888889</v>
      </c>
      <c r="I301" s="129" t="s">
        <v>557</v>
      </c>
    </row>
    <row r="302" spans="2:12" x14ac:dyDescent="0.3">
      <c r="B302" s="946" t="s">
        <v>3606</v>
      </c>
      <c r="C302" s="130">
        <v>4.1666666666666664E-2</v>
      </c>
      <c r="D302" s="130">
        <v>0.12638888888888888</v>
      </c>
      <c r="E302" s="130">
        <v>8.3333333333333329E-2</v>
      </c>
      <c r="F302" s="130">
        <v>2.0833333333333333E-3</v>
      </c>
      <c r="G302" s="130">
        <v>0.25347222222222221</v>
      </c>
      <c r="H302" s="130">
        <v>0.37708333333333338</v>
      </c>
      <c r="I302" s="129" t="s">
        <v>557</v>
      </c>
    </row>
    <row r="303" spans="2:12" x14ac:dyDescent="0.3">
      <c r="B303" s="2" t="s">
        <v>1120</v>
      </c>
      <c r="C303" s="130">
        <v>0.20902777777777778</v>
      </c>
      <c r="D303" s="130">
        <v>8.7500000000000008E-2</v>
      </c>
      <c r="E303" s="130">
        <v>4.3750000000000004E-2</v>
      </c>
      <c r="F303" s="130" t="s">
        <v>163</v>
      </c>
      <c r="G303" s="130">
        <v>0.4680555555555555</v>
      </c>
      <c r="H303" s="130">
        <v>0.17222222222222225</v>
      </c>
      <c r="I303" s="129" t="s">
        <v>558</v>
      </c>
    </row>
    <row r="304" spans="2:12" x14ac:dyDescent="0.3">
      <c r="B304" s="2" t="s">
        <v>259</v>
      </c>
      <c r="C304" s="130">
        <v>0.20972222222222223</v>
      </c>
      <c r="D304" s="130">
        <v>0.21041666666666667</v>
      </c>
      <c r="E304" s="130">
        <v>8.6805555555555566E-2</v>
      </c>
      <c r="F304" s="130" t="s">
        <v>355</v>
      </c>
      <c r="G304" s="130">
        <v>0.59097222222222223</v>
      </c>
      <c r="H304" s="130">
        <v>0.33611111111111108</v>
      </c>
      <c r="I304" s="129" t="s">
        <v>557</v>
      </c>
    </row>
    <row r="305" spans="2:9" x14ac:dyDescent="0.3">
      <c r="B305" s="2" t="s">
        <v>683</v>
      </c>
      <c r="C305" s="130">
        <v>4.3750000000000004E-2</v>
      </c>
      <c r="D305" s="130" t="s">
        <v>163</v>
      </c>
      <c r="E305" s="130">
        <v>8.5416666666666655E-2</v>
      </c>
      <c r="F305" s="130">
        <v>0.16805555555555554</v>
      </c>
      <c r="G305" s="130">
        <v>0.42499999999999999</v>
      </c>
      <c r="H305" s="130">
        <v>0.17222222222222225</v>
      </c>
      <c r="I305" s="129" t="s">
        <v>558</v>
      </c>
    </row>
    <row r="306" spans="2:9" x14ac:dyDescent="0.3">
      <c r="B306" s="2" t="s">
        <v>401</v>
      </c>
      <c r="C306" s="130">
        <v>0.12916666666666668</v>
      </c>
      <c r="D306" s="130">
        <v>8.4027777777777771E-2</v>
      </c>
      <c r="E306" s="130">
        <v>4.4444444444444446E-2</v>
      </c>
      <c r="F306" s="130">
        <v>4.3750000000000004E-2</v>
      </c>
      <c r="G306" s="130">
        <v>0.30138888888888887</v>
      </c>
      <c r="H306" s="130">
        <v>0.13125000000000001</v>
      </c>
      <c r="I306" s="130" t="s">
        <v>558</v>
      </c>
    </row>
    <row r="307" spans="2:9" x14ac:dyDescent="0.3">
      <c r="B307" s="2" t="s">
        <v>395</v>
      </c>
      <c r="C307" s="130">
        <v>0.16666666666666666</v>
      </c>
      <c r="D307" s="130" t="s">
        <v>351</v>
      </c>
      <c r="E307" s="130" t="s">
        <v>161</v>
      </c>
      <c r="F307" s="130">
        <v>4.4444444444444446E-2</v>
      </c>
      <c r="G307" s="130">
        <v>0.42291666666666666</v>
      </c>
      <c r="H307" s="130">
        <v>0.25416666666666665</v>
      </c>
      <c r="I307" s="130" t="s">
        <v>557</v>
      </c>
    </row>
    <row r="308" spans="2:9" x14ac:dyDescent="0.3">
      <c r="B308" s="2" t="s">
        <v>390</v>
      </c>
      <c r="C308" s="130">
        <v>0.20902777777777778</v>
      </c>
      <c r="D308" s="130" t="s">
        <v>159</v>
      </c>
      <c r="E308" s="130" t="s">
        <v>590</v>
      </c>
      <c r="F308" s="130">
        <v>8.6111111111111124E-2</v>
      </c>
      <c r="G308" s="130">
        <v>0.67638888888888893</v>
      </c>
      <c r="H308" s="130">
        <v>0.25416666666666665</v>
      </c>
      <c r="I308" s="130" t="s">
        <v>557</v>
      </c>
    </row>
    <row r="309" spans="2:9" x14ac:dyDescent="0.3">
      <c r="B309" s="2" t="s">
        <v>386</v>
      </c>
      <c r="C309" s="130" t="s">
        <v>161</v>
      </c>
      <c r="D309" s="130" t="s">
        <v>619</v>
      </c>
      <c r="E309" s="130">
        <v>4.4444444444444446E-2</v>
      </c>
      <c r="F309" s="130">
        <v>4.3055555555555562E-2</v>
      </c>
      <c r="G309" s="130">
        <v>0.21458333333333335</v>
      </c>
      <c r="H309" s="130">
        <v>0.13125000000000001</v>
      </c>
      <c r="I309" s="139" t="s">
        <v>558</v>
      </c>
    </row>
    <row r="310" spans="2:9" x14ac:dyDescent="0.3">
      <c r="B310" s="2" t="s">
        <v>379</v>
      </c>
      <c r="C310" s="130">
        <v>4.3055555555555562E-2</v>
      </c>
      <c r="D310" s="130">
        <v>4.4444444444444446E-2</v>
      </c>
      <c r="E310" s="130">
        <v>4.5138888888888888E-2</v>
      </c>
      <c r="F310" s="130" t="s">
        <v>589</v>
      </c>
      <c r="G310" s="130">
        <v>0.17569444444444446</v>
      </c>
      <c r="H310" s="130">
        <v>4.9305555555555554E-2</v>
      </c>
      <c r="I310" s="130" t="s">
        <v>558</v>
      </c>
    </row>
    <row r="311" spans="2:9" x14ac:dyDescent="0.3">
      <c r="B311" s="2" t="s">
        <v>372</v>
      </c>
      <c r="C311" s="130" t="s">
        <v>208</v>
      </c>
      <c r="D311" s="130">
        <v>4.3750000000000004E-2</v>
      </c>
      <c r="E311" s="130">
        <v>8.5416666666666655E-2</v>
      </c>
      <c r="F311" s="130">
        <v>2.0833333333333333E-3</v>
      </c>
      <c r="G311" s="130">
        <v>0.17430555555555557</v>
      </c>
      <c r="H311" s="130">
        <v>4.9305555555555554E-2</v>
      </c>
      <c r="I311" s="129" t="s">
        <v>558</v>
      </c>
    </row>
    <row r="312" spans="2:9" x14ac:dyDescent="0.3">
      <c r="B312" s="2" t="s">
        <v>458</v>
      </c>
      <c r="C312" s="130">
        <v>8.6111111111111124E-2</v>
      </c>
      <c r="D312" s="130">
        <v>0.12569444444444444</v>
      </c>
      <c r="E312" s="130">
        <v>9.0277777777777776E-2</v>
      </c>
      <c r="F312" s="130">
        <v>8.819444444444445E-2</v>
      </c>
      <c r="G312" s="130">
        <v>0.39027777777777778</v>
      </c>
      <c r="H312" s="130">
        <v>0.13125000000000001</v>
      </c>
      <c r="I312" s="129" t="s">
        <v>558</v>
      </c>
    </row>
    <row r="313" spans="2:9" x14ac:dyDescent="0.3">
      <c r="B313" s="2" t="s">
        <v>455</v>
      </c>
      <c r="C313" s="130">
        <v>4.3055555555555562E-2</v>
      </c>
      <c r="D313" s="130">
        <v>8.6111111111111124E-2</v>
      </c>
      <c r="E313" s="130" t="s">
        <v>564</v>
      </c>
      <c r="F313" s="130">
        <v>8.4027777777777771E-2</v>
      </c>
      <c r="G313" s="130">
        <v>0.42430555555555555</v>
      </c>
      <c r="H313" s="130">
        <v>0.21319444444444444</v>
      </c>
      <c r="I313" s="129" t="s">
        <v>558</v>
      </c>
    </row>
    <row r="314" spans="2:9" x14ac:dyDescent="0.3">
      <c r="B314" s="2" t="s">
        <v>728</v>
      </c>
      <c r="C314" s="130">
        <v>0.12569444444444444</v>
      </c>
      <c r="D314" s="129" t="s">
        <v>161</v>
      </c>
      <c r="E314" s="130">
        <v>8.5416666666666655E-2</v>
      </c>
      <c r="F314" s="130">
        <v>8.6111111111111124E-2</v>
      </c>
      <c r="G314" s="131">
        <v>0.38263888888888892</v>
      </c>
      <c r="H314" s="130">
        <v>0.17222222222222225</v>
      </c>
      <c r="I314" s="129" t="s">
        <v>558</v>
      </c>
    </row>
    <row r="315" spans="2:9" x14ac:dyDescent="0.3">
      <c r="B315" s="2" t="s">
        <v>449</v>
      </c>
      <c r="C315" s="130">
        <v>0.16805555555555554</v>
      </c>
      <c r="D315" s="130">
        <v>0.21041666666666667</v>
      </c>
      <c r="E315" s="130">
        <v>0.12916666666666668</v>
      </c>
      <c r="F315" s="130">
        <v>4.3749999999999997E-2</v>
      </c>
      <c r="G315" s="130">
        <v>0.55138888888888882</v>
      </c>
      <c r="H315" s="130">
        <v>0.25416666666666665</v>
      </c>
      <c r="I315" s="130" t="s">
        <v>558</v>
      </c>
    </row>
  </sheetData>
  <mergeCells count="1">
    <mergeCell ref="A1:C1"/>
  </mergeCells>
  <pageMargins left="0.7" right="0.7" top="0.78740157499999996" bottom="0.78740157499999996" header="0.3" footer="0.3"/>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C2:Q115"/>
  <sheetViews>
    <sheetView topLeftCell="C1" workbookViewId="0">
      <pane ySplit="2" topLeftCell="A93" activePane="bottomLeft" state="frozen"/>
      <selection activeCell="L12" sqref="L12"/>
      <selection pane="bottomLeft" activeCell="L12" sqref="L12"/>
    </sheetView>
  </sheetViews>
  <sheetFormatPr defaultRowHeight="14.4" x14ac:dyDescent="0.3"/>
  <cols>
    <col min="4" max="4" width="18.109375" style="2" customWidth="1"/>
    <col min="5" max="5" width="17" customWidth="1"/>
    <col min="7" max="7" width="15" customWidth="1"/>
    <col min="8" max="8" width="41.33203125" customWidth="1"/>
    <col min="9" max="9" width="28.33203125" customWidth="1"/>
    <col min="10" max="10" width="15.44140625" customWidth="1"/>
    <col min="11" max="11" width="18.33203125" customWidth="1"/>
  </cols>
  <sheetData>
    <row r="2" spans="3:13" x14ac:dyDescent="0.3">
      <c r="D2" s="2" t="s">
        <v>822</v>
      </c>
      <c r="E2" s="2" t="s">
        <v>53</v>
      </c>
      <c r="F2" s="2" t="s">
        <v>823</v>
      </c>
      <c r="G2" s="2" t="s">
        <v>824</v>
      </c>
      <c r="H2" s="2" t="s">
        <v>3697</v>
      </c>
      <c r="I2" s="3" t="s">
        <v>4642</v>
      </c>
      <c r="J2" s="3"/>
      <c r="K2" s="8"/>
      <c r="L2" s="8"/>
    </row>
    <row r="3" spans="3:13" x14ac:dyDescent="0.3">
      <c r="C3" s="2">
        <v>1</v>
      </c>
      <c r="D3" s="2" t="s">
        <v>45</v>
      </c>
      <c r="E3" s="4">
        <v>34999</v>
      </c>
      <c r="F3" s="120">
        <f ca="1">(TODAY()-E3)/365</f>
        <v>30.326027397260273</v>
      </c>
      <c r="G3" s="2">
        <v>2018</v>
      </c>
      <c r="H3" s="3" t="s">
        <v>3742</v>
      </c>
      <c r="I3" s="3" t="s">
        <v>3738</v>
      </c>
      <c r="J3" s="3"/>
      <c r="K3" s="8"/>
      <c r="L3" s="8"/>
    </row>
    <row r="4" spans="3:13" x14ac:dyDescent="0.3">
      <c r="C4" s="2">
        <v>2</v>
      </c>
      <c r="D4" s="2" t="s">
        <v>49</v>
      </c>
      <c r="E4" s="4">
        <v>34732</v>
      </c>
      <c r="F4" s="120">
        <v>24.156164383561645</v>
      </c>
      <c r="G4" s="2">
        <v>2019</v>
      </c>
      <c r="H4" s="3" t="s">
        <v>3738</v>
      </c>
      <c r="I4" s="3" t="s">
        <v>3738</v>
      </c>
      <c r="J4" s="3"/>
      <c r="K4" s="438"/>
      <c r="L4" s="438"/>
    </row>
    <row r="5" spans="3:13" x14ac:dyDescent="0.3">
      <c r="C5" s="2">
        <v>3</v>
      </c>
      <c r="D5" s="2" t="s">
        <v>47</v>
      </c>
      <c r="E5" s="4">
        <v>34522</v>
      </c>
      <c r="F5" s="120">
        <f ca="1">(TODAY()-E5)/365</f>
        <v>31.632876712328766</v>
      </c>
      <c r="G5" s="2">
        <v>2019</v>
      </c>
      <c r="H5" s="3" t="s">
        <v>3738</v>
      </c>
      <c r="I5" s="3" t="s">
        <v>3738</v>
      </c>
      <c r="J5" s="3"/>
      <c r="K5" s="438"/>
      <c r="L5" s="438"/>
      <c r="M5" s="2"/>
    </row>
    <row r="6" spans="3:13" x14ac:dyDescent="0.3">
      <c r="C6" s="2">
        <v>4</v>
      </c>
      <c r="D6" s="2" t="s">
        <v>71</v>
      </c>
      <c r="E6" s="4">
        <v>33675</v>
      </c>
      <c r="F6" s="120">
        <f ca="1">(TODAY()-E6)/365</f>
        <v>33.953424657534249</v>
      </c>
      <c r="G6" s="2">
        <v>2018</v>
      </c>
      <c r="H6" s="3" t="s">
        <v>3738</v>
      </c>
      <c r="I6" s="3" t="s">
        <v>3738</v>
      </c>
      <c r="J6" s="3"/>
      <c r="K6" s="438"/>
      <c r="L6" s="438"/>
      <c r="M6" s="2"/>
    </row>
    <row r="7" spans="3:13" x14ac:dyDescent="0.3">
      <c r="C7" s="2">
        <v>5</v>
      </c>
      <c r="D7" s="2" t="s">
        <v>1014</v>
      </c>
      <c r="E7" s="4">
        <v>32399</v>
      </c>
      <c r="F7" s="120">
        <v>30.547945205479451</v>
      </c>
      <c r="G7" s="2">
        <v>2019</v>
      </c>
      <c r="H7" s="4" t="s">
        <v>3730</v>
      </c>
      <c r="I7" s="4" t="s">
        <v>3730</v>
      </c>
      <c r="J7" s="3"/>
      <c r="K7" s="438"/>
      <c r="L7" s="438"/>
      <c r="M7" s="2"/>
    </row>
    <row r="8" spans="3:13" x14ac:dyDescent="0.3">
      <c r="C8" s="2">
        <v>6</v>
      </c>
      <c r="D8" s="2" t="s">
        <v>984</v>
      </c>
      <c r="E8" s="4">
        <v>32177</v>
      </c>
      <c r="F8" s="120">
        <v>31.156164383561645</v>
      </c>
      <c r="G8" s="2">
        <v>2019</v>
      </c>
      <c r="H8" s="2" t="s">
        <v>3698</v>
      </c>
      <c r="I8" s="4" t="s">
        <v>3733</v>
      </c>
      <c r="J8" s="3"/>
      <c r="K8" s="438"/>
      <c r="L8" s="438"/>
      <c r="M8" s="2"/>
    </row>
    <row r="9" spans="3:13" x14ac:dyDescent="0.3">
      <c r="C9" s="2">
        <v>7</v>
      </c>
      <c r="D9" s="2" t="s">
        <v>810</v>
      </c>
      <c r="E9" s="4">
        <v>31002</v>
      </c>
      <c r="F9" s="120">
        <f t="shared" ref="F9:F28" ca="1" si="0">(TODAY()-E9)/365</f>
        <v>41.276712328767125</v>
      </c>
      <c r="G9" s="2">
        <v>2019</v>
      </c>
      <c r="H9" s="3" t="s">
        <v>3761</v>
      </c>
      <c r="I9" s="3" t="s">
        <v>3723</v>
      </c>
      <c r="J9" s="3"/>
      <c r="K9" s="438"/>
      <c r="L9" s="438"/>
      <c r="M9" s="2"/>
    </row>
    <row r="10" spans="3:13" x14ac:dyDescent="0.3">
      <c r="C10" s="2">
        <v>8</v>
      </c>
      <c r="D10" s="439" t="s">
        <v>3692</v>
      </c>
      <c r="E10" s="386">
        <v>33805</v>
      </c>
      <c r="F10" s="440">
        <f t="shared" ca="1" si="0"/>
        <v>33.597260273972601</v>
      </c>
      <c r="G10" s="385">
        <v>2017</v>
      </c>
      <c r="H10" s="439" t="s">
        <v>3752</v>
      </c>
      <c r="I10" s="439" t="s">
        <v>3752</v>
      </c>
      <c r="J10" s="3"/>
      <c r="K10" s="438"/>
      <c r="L10" s="438"/>
      <c r="M10" s="2"/>
    </row>
    <row r="11" spans="3:13" x14ac:dyDescent="0.3">
      <c r="C11" s="2">
        <v>9</v>
      </c>
      <c r="D11" s="2" t="s">
        <v>786</v>
      </c>
      <c r="E11" s="4">
        <v>35685</v>
      </c>
      <c r="F11" s="120">
        <f t="shared" ca="1" si="0"/>
        <v>28.446575342465753</v>
      </c>
      <c r="G11" s="2">
        <v>2018</v>
      </c>
      <c r="H11" s="2" t="s">
        <v>3725</v>
      </c>
      <c r="I11" s="3" t="s">
        <v>3721</v>
      </c>
      <c r="J11" s="3"/>
      <c r="K11" s="438"/>
      <c r="L11" s="438"/>
      <c r="M11" s="2"/>
    </row>
    <row r="12" spans="3:13" x14ac:dyDescent="0.3">
      <c r="C12" s="2">
        <v>10</v>
      </c>
      <c r="D12" s="2" t="s">
        <v>36</v>
      </c>
      <c r="E12" s="4">
        <v>33467</v>
      </c>
      <c r="F12" s="120">
        <f t="shared" ca="1" si="0"/>
        <v>34.523287671232879</v>
      </c>
      <c r="G12" s="2">
        <v>2018</v>
      </c>
      <c r="H12" s="2" t="s">
        <v>3699</v>
      </c>
      <c r="I12" s="3" t="s">
        <v>3698</v>
      </c>
      <c r="J12" s="3"/>
      <c r="K12" s="438"/>
      <c r="L12" s="438"/>
    </row>
    <row r="13" spans="3:13" x14ac:dyDescent="0.3">
      <c r="C13" s="2">
        <v>11</v>
      </c>
      <c r="D13" s="2" t="s">
        <v>3286</v>
      </c>
      <c r="E13" s="4">
        <v>34118</v>
      </c>
      <c r="F13" s="120">
        <f t="shared" ca="1" si="0"/>
        <v>32.739726027397261</v>
      </c>
      <c r="G13" s="2">
        <v>2020</v>
      </c>
      <c r="H13" s="2" t="s">
        <v>3740</v>
      </c>
      <c r="I13" s="2" t="s">
        <v>3740</v>
      </c>
      <c r="J13" s="3"/>
      <c r="K13" s="438"/>
      <c r="L13" s="438"/>
      <c r="M13" s="2"/>
    </row>
    <row r="14" spans="3:13" x14ac:dyDescent="0.3">
      <c r="C14" s="2">
        <v>12</v>
      </c>
      <c r="D14" s="2" t="s">
        <v>59</v>
      </c>
      <c r="E14" s="4">
        <v>35481</v>
      </c>
      <c r="F14" s="120">
        <f t="shared" ca="1" si="0"/>
        <v>29.005479452054793</v>
      </c>
      <c r="G14" s="2">
        <v>2018</v>
      </c>
      <c r="H14" s="2" t="s">
        <v>3720</v>
      </c>
      <c r="I14" s="3" t="s">
        <v>3719</v>
      </c>
      <c r="K14" s="438"/>
      <c r="L14" s="438"/>
      <c r="M14" s="2"/>
    </row>
    <row r="15" spans="3:13" x14ac:dyDescent="0.3">
      <c r="C15" s="2">
        <v>13</v>
      </c>
      <c r="D15" s="2" t="s">
        <v>3478</v>
      </c>
      <c r="E15" s="4">
        <v>34675</v>
      </c>
      <c r="F15" s="120">
        <f t="shared" ca="1" si="0"/>
        <v>31.213698630136985</v>
      </c>
      <c r="G15" s="2">
        <v>2020</v>
      </c>
      <c r="H15" s="2" t="s">
        <v>3748</v>
      </c>
      <c r="I15" s="2" t="s">
        <v>3748</v>
      </c>
      <c r="K15" s="438"/>
      <c r="L15" s="438"/>
      <c r="M15" s="2"/>
    </row>
    <row r="16" spans="3:13" x14ac:dyDescent="0.3">
      <c r="C16" s="2">
        <v>14</v>
      </c>
      <c r="D16" s="2" t="s">
        <v>874</v>
      </c>
      <c r="E16" s="4">
        <v>31313</v>
      </c>
      <c r="F16" s="120">
        <f t="shared" ca="1" si="0"/>
        <v>40.424657534246577</v>
      </c>
      <c r="G16" s="2">
        <v>2020</v>
      </c>
      <c r="H16" s="2" t="s">
        <v>3699</v>
      </c>
      <c r="I16" s="3" t="s">
        <v>3734</v>
      </c>
      <c r="K16" s="438"/>
      <c r="L16" s="438"/>
      <c r="M16" s="2"/>
    </row>
    <row r="17" spans="3:13" x14ac:dyDescent="0.3">
      <c r="C17" s="2">
        <v>15</v>
      </c>
      <c r="D17" s="439" t="s">
        <v>3686</v>
      </c>
      <c r="E17" s="386">
        <v>34247</v>
      </c>
      <c r="F17" s="440">
        <f t="shared" ca="1" si="0"/>
        <v>32.386301369863013</v>
      </c>
      <c r="G17" s="385">
        <v>2016</v>
      </c>
      <c r="H17" s="439" t="s">
        <v>3734</v>
      </c>
      <c r="I17" s="439" t="s">
        <v>3734</v>
      </c>
      <c r="K17" s="438"/>
      <c r="L17" s="438"/>
      <c r="M17" s="241"/>
    </row>
    <row r="18" spans="3:13" x14ac:dyDescent="0.3">
      <c r="C18" s="2">
        <v>16</v>
      </c>
      <c r="D18" s="2" t="s">
        <v>70</v>
      </c>
      <c r="E18" s="4">
        <v>30894</v>
      </c>
      <c r="F18" s="120">
        <f t="shared" ca="1" si="0"/>
        <v>41.57260273972603</v>
      </c>
      <c r="G18" s="2">
        <v>2019</v>
      </c>
      <c r="H18" s="3" t="s">
        <v>3727</v>
      </c>
      <c r="I18" s="3" t="s">
        <v>3734</v>
      </c>
      <c r="K18" s="438"/>
      <c r="L18" s="438"/>
      <c r="M18" s="2"/>
    </row>
    <row r="19" spans="3:13" x14ac:dyDescent="0.3">
      <c r="C19" s="2">
        <v>17</v>
      </c>
      <c r="D19" s="2" t="s">
        <v>75</v>
      </c>
      <c r="E19" s="4">
        <v>34799</v>
      </c>
      <c r="F19" s="120">
        <f t="shared" ca="1" si="0"/>
        <v>30.873972602739727</v>
      </c>
      <c r="G19" s="2">
        <v>2018</v>
      </c>
      <c r="H19" s="2" t="s">
        <v>3714</v>
      </c>
      <c r="I19" s="3" t="s">
        <v>3713</v>
      </c>
      <c r="J19" s="3"/>
      <c r="K19" s="438"/>
      <c r="L19" s="438"/>
      <c r="M19" s="8"/>
    </row>
    <row r="20" spans="3:13" x14ac:dyDescent="0.3">
      <c r="C20" s="2">
        <v>18</v>
      </c>
      <c r="D20" s="439" t="s">
        <v>3693</v>
      </c>
      <c r="E20" s="386">
        <v>30234</v>
      </c>
      <c r="F20" s="440">
        <f t="shared" ca="1" si="0"/>
        <v>43.38082191780822</v>
      </c>
      <c r="G20" s="385">
        <v>2017</v>
      </c>
      <c r="H20" s="439" t="s">
        <v>3756</v>
      </c>
      <c r="I20" s="439" t="s">
        <v>3756</v>
      </c>
      <c r="J20" s="4"/>
      <c r="K20" s="438"/>
      <c r="L20" s="438"/>
      <c r="M20" s="8"/>
    </row>
    <row r="21" spans="3:13" x14ac:dyDescent="0.3">
      <c r="C21" s="2">
        <v>19</v>
      </c>
      <c r="D21" s="2" t="s">
        <v>50</v>
      </c>
      <c r="E21" s="4">
        <v>34281</v>
      </c>
      <c r="F21" s="120">
        <f t="shared" ca="1" si="0"/>
        <v>32.293150684931504</v>
      </c>
      <c r="G21" s="2">
        <v>2019</v>
      </c>
      <c r="H21" s="3" t="s">
        <v>3702</v>
      </c>
      <c r="I21" s="3" t="s">
        <v>3745</v>
      </c>
      <c r="J21" s="3"/>
      <c r="K21" s="438"/>
      <c r="L21" s="438"/>
    </row>
    <row r="22" spans="3:13" x14ac:dyDescent="0.3">
      <c r="C22" s="2">
        <v>20</v>
      </c>
      <c r="D22" s="2" t="s">
        <v>727</v>
      </c>
      <c r="E22" s="4">
        <v>30937</v>
      </c>
      <c r="F22" s="120">
        <f t="shared" ca="1" si="0"/>
        <v>41.454794520547942</v>
      </c>
      <c r="G22" s="2">
        <v>2018</v>
      </c>
      <c r="H22" s="2" t="s">
        <v>3700</v>
      </c>
      <c r="I22" s="3" t="s">
        <v>3701</v>
      </c>
      <c r="K22" s="438"/>
      <c r="L22" s="438"/>
    </row>
    <row r="23" spans="3:13" x14ac:dyDescent="0.3">
      <c r="C23" s="2">
        <v>21</v>
      </c>
      <c r="D23" s="2" t="s">
        <v>54</v>
      </c>
      <c r="E23" s="4">
        <v>31170</v>
      </c>
      <c r="F23" s="120">
        <f t="shared" ca="1" si="0"/>
        <v>40.816438356164383</v>
      </c>
      <c r="G23" s="2">
        <v>2020</v>
      </c>
      <c r="H23" s="3" t="s">
        <v>3726</v>
      </c>
      <c r="I23" s="3" t="s">
        <v>3702</v>
      </c>
      <c r="K23" s="438"/>
    </row>
    <row r="24" spans="3:13" x14ac:dyDescent="0.3">
      <c r="C24" s="2">
        <v>22</v>
      </c>
      <c r="D24" s="2" t="s">
        <v>876</v>
      </c>
      <c r="E24" s="4">
        <v>33667</v>
      </c>
      <c r="F24" s="120">
        <f t="shared" ca="1" si="0"/>
        <v>33.975342465753428</v>
      </c>
      <c r="G24" s="2">
        <v>2019</v>
      </c>
      <c r="H24" s="2" t="s">
        <v>3728</v>
      </c>
      <c r="I24" s="3" t="s">
        <v>3729</v>
      </c>
      <c r="J24" s="3"/>
      <c r="K24" s="438"/>
      <c r="L24" s="438"/>
    </row>
    <row r="25" spans="3:13" x14ac:dyDescent="0.3">
      <c r="C25" s="2">
        <v>23</v>
      </c>
      <c r="D25" s="2" t="s">
        <v>3483</v>
      </c>
      <c r="E25" s="4">
        <v>35840</v>
      </c>
      <c r="F25" s="120">
        <f t="shared" ca="1" si="0"/>
        <v>28.021917808219179</v>
      </c>
      <c r="G25" s="2">
        <v>2020</v>
      </c>
      <c r="H25" s="2" t="s">
        <v>3724</v>
      </c>
      <c r="I25" s="3" t="s">
        <v>3729</v>
      </c>
      <c r="J25" s="3"/>
      <c r="K25" s="438"/>
      <c r="L25" s="438"/>
    </row>
    <row r="26" spans="3:13" x14ac:dyDescent="0.3">
      <c r="C26" s="2">
        <v>24</v>
      </c>
      <c r="D26" s="2" t="s">
        <v>52</v>
      </c>
      <c r="E26" s="4">
        <v>31236</v>
      </c>
      <c r="F26" s="120">
        <f t="shared" ca="1" si="0"/>
        <v>40.635616438356166</v>
      </c>
      <c r="G26" s="2">
        <v>2017</v>
      </c>
      <c r="H26" s="2" t="s">
        <v>3709</v>
      </c>
      <c r="I26" s="2" t="s">
        <v>3709</v>
      </c>
      <c r="J26" s="4"/>
      <c r="K26" s="438"/>
      <c r="L26" s="438"/>
      <c r="M26" s="8"/>
    </row>
    <row r="27" spans="3:13" x14ac:dyDescent="0.3">
      <c r="C27" s="2">
        <v>25</v>
      </c>
      <c r="D27" s="2" t="s">
        <v>224</v>
      </c>
      <c r="E27" s="4">
        <v>33362</v>
      </c>
      <c r="F27" s="120">
        <f t="shared" ca="1" si="0"/>
        <v>34.81095890410959</v>
      </c>
      <c r="G27" s="2">
        <v>2019</v>
      </c>
      <c r="H27" s="2" t="s">
        <v>3727</v>
      </c>
      <c r="I27" s="3" t="s">
        <v>3732</v>
      </c>
      <c r="K27" s="438"/>
      <c r="L27" s="438"/>
      <c r="M27" s="2"/>
    </row>
    <row r="28" spans="3:13" x14ac:dyDescent="0.3">
      <c r="C28" s="2">
        <v>26</v>
      </c>
      <c r="D28" s="2" t="s">
        <v>8</v>
      </c>
      <c r="E28" s="4">
        <v>29294</v>
      </c>
      <c r="F28" s="120">
        <f t="shared" ca="1" si="0"/>
        <v>45.956164383561642</v>
      </c>
      <c r="G28" s="2">
        <v>2020</v>
      </c>
      <c r="H28" s="2" t="s">
        <v>3741</v>
      </c>
      <c r="I28" s="2" t="s">
        <v>3741</v>
      </c>
      <c r="K28" s="438"/>
      <c r="L28" s="438"/>
    </row>
    <row r="29" spans="3:13" x14ac:dyDescent="0.3">
      <c r="C29" s="2">
        <v>27</v>
      </c>
      <c r="D29" s="2" t="s">
        <v>875</v>
      </c>
      <c r="E29" s="4">
        <v>31843</v>
      </c>
      <c r="F29" s="120">
        <f ca="1">(TODAY()-E29)/365</f>
        <v>38.972602739726028</v>
      </c>
      <c r="G29" s="2">
        <v>2019</v>
      </c>
      <c r="H29" s="2" t="s">
        <v>3728</v>
      </c>
      <c r="I29" s="3" t="s">
        <v>3727</v>
      </c>
      <c r="K29" s="438"/>
      <c r="L29" s="438"/>
    </row>
    <row r="30" spans="3:13" x14ac:dyDescent="0.3">
      <c r="C30" s="2">
        <v>28</v>
      </c>
      <c r="D30" s="2" t="s">
        <v>985</v>
      </c>
      <c r="E30" s="4">
        <v>33840</v>
      </c>
      <c r="F30" s="120">
        <f ca="1">(TODAY()-E30)/365</f>
        <v>33.5013698630137</v>
      </c>
      <c r="G30" s="2">
        <v>2019</v>
      </c>
      <c r="H30" s="2" t="s">
        <v>3721</v>
      </c>
      <c r="I30" s="3" t="s">
        <v>3731</v>
      </c>
      <c r="K30" s="438"/>
      <c r="L30" s="438"/>
    </row>
    <row r="31" spans="3:13" x14ac:dyDescent="0.3">
      <c r="C31" s="2">
        <v>29</v>
      </c>
      <c r="D31" s="439" t="s">
        <v>3694</v>
      </c>
      <c r="E31" s="386">
        <v>32518</v>
      </c>
      <c r="F31" s="440">
        <f t="shared" ref="F31:F69" ca="1" si="1">(TODAY()-E31)/365</f>
        <v>37.123287671232873</v>
      </c>
      <c r="G31" s="385">
        <v>2017</v>
      </c>
      <c r="H31" s="439" t="s">
        <v>3755</v>
      </c>
      <c r="I31" s="2" t="s">
        <v>3754</v>
      </c>
      <c r="K31" s="438"/>
      <c r="L31" s="438"/>
    </row>
    <row r="32" spans="3:13" x14ac:dyDescent="0.3">
      <c r="C32" s="2">
        <v>30</v>
      </c>
      <c r="D32" s="2" t="s">
        <v>76</v>
      </c>
      <c r="E32" s="4">
        <v>32935</v>
      </c>
      <c r="F32" s="120">
        <f t="shared" ca="1" si="1"/>
        <v>35.980821917808221</v>
      </c>
      <c r="G32" s="2">
        <v>2018</v>
      </c>
      <c r="H32" s="2" t="s">
        <v>3724</v>
      </c>
      <c r="I32" s="3" t="s">
        <v>3715</v>
      </c>
      <c r="J32" s="3"/>
      <c r="K32" s="438"/>
      <c r="L32" s="438"/>
    </row>
    <row r="33" spans="3:17" x14ac:dyDescent="0.3">
      <c r="C33" s="2">
        <v>31</v>
      </c>
      <c r="D33" s="439" t="s">
        <v>3695</v>
      </c>
      <c r="E33" s="386">
        <v>35957</v>
      </c>
      <c r="F33" s="440">
        <f t="shared" ca="1" si="1"/>
        <v>27.701369863013699</v>
      </c>
      <c r="G33" s="385">
        <v>2017</v>
      </c>
      <c r="H33" s="439" t="s">
        <v>3763</v>
      </c>
      <c r="I33" s="2" t="s">
        <v>3764</v>
      </c>
      <c r="J33" s="3"/>
      <c r="K33" s="438"/>
      <c r="L33" s="438"/>
    </row>
    <row r="34" spans="3:17" x14ac:dyDescent="0.3">
      <c r="C34" s="2">
        <v>32</v>
      </c>
      <c r="D34" s="2" t="s">
        <v>73</v>
      </c>
      <c r="E34" s="4">
        <v>29981</v>
      </c>
      <c r="F34" s="120">
        <f t="shared" ca="1" si="1"/>
        <v>44.073972602739723</v>
      </c>
      <c r="G34" s="2">
        <v>2018</v>
      </c>
      <c r="H34" s="2" t="s">
        <v>3726</v>
      </c>
      <c r="I34" s="3" t="s">
        <v>3703</v>
      </c>
      <c r="J34" s="2"/>
      <c r="K34" s="438"/>
      <c r="L34" s="438"/>
    </row>
    <row r="35" spans="3:17" x14ac:dyDescent="0.3">
      <c r="C35" s="2">
        <v>33</v>
      </c>
      <c r="D35" s="439" t="s">
        <v>3759</v>
      </c>
      <c r="E35" s="386">
        <v>34369</v>
      </c>
      <c r="F35" s="440">
        <f t="shared" ca="1" si="1"/>
        <v>32.052054794520551</v>
      </c>
      <c r="G35" s="385">
        <v>2016</v>
      </c>
      <c r="H35" s="439" t="s">
        <v>3760</v>
      </c>
      <c r="I35" s="2" t="s">
        <v>3703</v>
      </c>
      <c r="J35" s="3"/>
      <c r="K35" s="438"/>
      <c r="L35" s="438"/>
    </row>
    <row r="36" spans="3:17" x14ac:dyDescent="0.3">
      <c r="C36" s="2">
        <v>34</v>
      </c>
      <c r="D36" s="439" t="s">
        <v>153</v>
      </c>
      <c r="E36" s="386">
        <v>29977</v>
      </c>
      <c r="F36" s="440">
        <f t="shared" ca="1" si="1"/>
        <v>44.084931506849315</v>
      </c>
      <c r="G36" s="385">
        <v>2018</v>
      </c>
      <c r="H36" s="439" t="s">
        <v>3727</v>
      </c>
      <c r="I36" s="3" t="s">
        <v>3703</v>
      </c>
      <c r="J36" s="3"/>
      <c r="K36" s="438"/>
      <c r="L36" s="438"/>
    </row>
    <row r="37" spans="3:17" x14ac:dyDescent="0.3">
      <c r="C37" s="2">
        <v>35</v>
      </c>
      <c r="D37" s="2" t="s">
        <v>72</v>
      </c>
      <c r="E37" s="4">
        <v>30292</v>
      </c>
      <c r="F37" s="120">
        <f t="shared" ca="1" si="1"/>
        <v>43.221917808219175</v>
      </c>
      <c r="G37" s="2">
        <v>2018</v>
      </c>
      <c r="H37" s="2" t="s">
        <v>3705</v>
      </c>
      <c r="I37" s="3" t="s">
        <v>3703</v>
      </c>
      <c r="K37" s="438"/>
      <c r="L37" s="438"/>
    </row>
    <row r="38" spans="3:17" x14ac:dyDescent="0.3">
      <c r="C38" s="2">
        <v>36</v>
      </c>
      <c r="D38" s="2" t="s">
        <v>77</v>
      </c>
      <c r="E38" s="4">
        <v>29949</v>
      </c>
      <c r="F38" s="120">
        <f t="shared" ca="1" si="1"/>
        <v>44.161643835616438</v>
      </c>
      <c r="G38" s="2">
        <v>2018</v>
      </c>
      <c r="H38" s="2" t="s">
        <v>3696</v>
      </c>
      <c r="I38" s="3" t="s">
        <v>3703</v>
      </c>
      <c r="K38" s="438"/>
      <c r="L38" s="438"/>
    </row>
    <row r="39" spans="3:17" x14ac:dyDescent="0.3">
      <c r="C39" s="2">
        <v>37</v>
      </c>
      <c r="D39" s="2" t="s">
        <v>6</v>
      </c>
      <c r="E39" s="4">
        <v>28482</v>
      </c>
      <c r="F39" s="120">
        <f t="shared" ca="1" si="1"/>
        <v>48.180821917808217</v>
      </c>
      <c r="G39" s="2">
        <v>2018</v>
      </c>
      <c r="H39" s="2" t="s">
        <v>3696</v>
      </c>
      <c r="I39" s="3" t="s">
        <v>3703</v>
      </c>
      <c r="K39" s="438"/>
      <c r="L39" s="438"/>
    </row>
    <row r="40" spans="3:17" x14ac:dyDescent="0.3">
      <c r="C40" s="2">
        <v>38</v>
      </c>
      <c r="D40" s="439" t="s">
        <v>3691</v>
      </c>
      <c r="E40" s="386">
        <v>28814</v>
      </c>
      <c r="F40" s="440">
        <f t="shared" ca="1" si="1"/>
        <v>47.271232876712325</v>
      </c>
      <c r="G40" s="385">
        <v>2016</v>
      </c>
      <c r="H40" s="2" t="s">
        <v>3696</v>
      </c>
      <c r="I40" s="3" t="s">
        <v>3703</v>
      </c>
      <c r="J40" s="4"/>
      <c r="K40" s="438"/>
      <c r="L40" s="438"/>
      <c r="M40" s="8"/>
    </row>
    <row r="41" spans="3:17" x14ac:dyDescent="0.3">
      <c r="C41" s="2">
        <v>39</v>
      </c>
      <c r="D41" s="2" t="s">
        <v>10</v>
      </c>
      <c r="E41" s="4">
        <v>29935</v>
      </c>
      <c r="F41" s="120">
        <f t="shared" ca="1" si="1"/>
        <v>44.2</v>
      </c>
      <c r="G41" s="2">
        <v>2018</v>
      </c>
      <c r="H41" s="2" t="s">
        <v>3696</v>
      </c>
      <c r="I41" s="3" t="s">
        <v>3703</v>
      </c>
      <c r="K41" s="438"/>
      <c r="L41" s="438"/>
    </row>
    <row r="42" spans="3:17" x14ac:dyDescent="0.3">
      <c r="C42" s="2">
        <v>40</v>
      </c>
      <c r="D42" s="2" t="s">
        <v>24</v>
      </c>
      <c r="E42" s="4">
        <v>33126</v>
      </c>
      <c r="F42" s="120">
        <f t="shared" ca="1" si="1"/>
        <v>35.457534246575342</v>
      </c>
      <c r="G42" s="2">
        <v>2017</v>
      </c>
      <c r="H42" s="2" t="s">
        <v>3762</v>
      </c>
      <c r="I42" s="3" t="s">
        <v>3704</v>
      </c>
      <c r="K42" s="438"/>
      <c r="L42" s="438"/>
    </row>
    <row r="43" spans="3:17" x14ac:dyDescent="0.3">
      <c r="C43" s="2">
        <v>41</v>
      </c>
      <c r="D43" s="439" t="s">
        <v>3690</v>
      </c>
      <c r="E43" s="386">
        <v>30314</v>
      </c>
      <c r="F43" s="440">
        <f t="shared" ca="1" si="1"/>
        <v>43.161643835616438</v>
      </c>
      <c r="G43" s="385">
        <v>2017</v>
      </c>
      <c r="H43" s="439" t="s">
        <v>3698</v>
      </c>
      <c r="I43" s="2" t="s">
        <v>3737</v>
      </c>
      <c r="K43" s="438"/>
      <c r="L43" s="438"/>
    </row>
    <row r="44" spans="3:17" x14ac:dyDescent="0.3">
      <c r="C44" s="2">
        <v>42</v>
      </c>
      <c r="D44" s="439" t="s">
        <v>3689</v>
      </c>
      <c r="E44" s="386">
        <v>34247</v>
      </c>
      <c r="F44" s="440">
        <f t="shared" ca="1" si="1"/>
        <v>32.386301369863013</v>
      </c>
      <c r="G44" s="385">
        <v>2016</v>
      </c>
      <c r="H44" s="439" t="s">
        <v>3734</v>
      </c>
      <c r="I44" s="3" t="s">
        <v>3736</v>
      </c>
      <c r="K44" s="438"/>
      <c r="L44" s="438"/>
    </row>
    <row r="45" spans="3:17" x14ac:dyDescent="0.3">
      <c r="C45" s="2">
        <v>43</v>
      </c>
      <c r="D45" s="2" t="s">
        <v>3753</v>
      </c>
      <c r="E45" s="4">
        <v>34032</v>
      </c>
      <c r="F45" s="440">
        <f t="shared" ca="1" si="1"/>
        <v>32.975342465753428</v>
      </c>
      <c r="G45" s="385">
        <v>2016</v>
      </c>
      <c r="H45" s="439" t="s">
        <v>3757</v>
      </c>
      <c r="I45" s="3" t="s">
        <v>3736</v>
      </c>
      <c r="K45" s="438"/>
      <c r="L45" s="438"/>
    </row>
    <row r="46" spans="3:17" x14ac:dyDescent="0.3">
      <c r="C46" s="2">
        <v>44</v>
      </c>
      <c r="D46" s="2" t="s">
        <v>39</v>
      </c>
      <c r="E46" s="4">
        <v>34863</v>
      </c>
      <c r="F46" s="120">
        <f t="shared" ca="1" si="1"/>
        <v>30.698630136986303</v>
      </c>
      <c r="G46" s="2">
        <v>2017</v>
      </c>
      <c r="H46" s="3" t="s">
        <v>3737</v>
      </c>
      <c r="I46" s="3" t="s">
        <v>3736</v>
      </c>
      <c r="K46" s="438"/>
      <c r="L46" s="438"/>
    </row>
    <row r="47" spans="3:17" x14ac:dyDescent="0.3">
      <c r="C47" s="2">
        <v>45</v>
      </c>
      <c r="D47" s="2" t="s">
        <v>3672</v>
      </c>
      <c r="E47" s="4">
        <v>30251</v>
      </c>
      <c r="F47" s="120">
        <f t="shared" ca="1" si="1"/>
        <v>43.334246575342469</v>
      </c>
      <c r="G47" s="2">
        <v>2017</v>
      </c>
      <c r="H47" s="2" t="s">
        <v>3708</v>
      </c>
      <c r="I47" s="3" t="s">
        <v>3707</v>
      </c>
      <c r="K47" s="438"/>
      <c r="L47" s="438"/>
    </row>
    <row r="48" spans="3:17" x14ac:dyDescent="0.3">
      <c r="C48" s="2">
        <v>46</v>
      </c>
      <c r="D48" s="2" t="s">
        <v>60</v>
      </c>
      <c r="E48" s="4">
        <v>33407</v>
      </c>
      <c r="F48" s="120">
        <f t="shared" ca="1" si="1"/>
        <v>34.68767123287671</v>
      </c>
      <c r="G48" s="2">
        <v>2018</v>
      </c>
      <c r="H48" s="2" t="s">
        <v>3701</v>
      </c>
      <c r="I48" s="3" t="s">
        <v>3716</v>
      </c>
      <c r="K48" s="438"/>
      <c r="L48" s="438"/>
      <c r="O48" s="2"/>
      <c r="P48" s="4"/>
      <c r="Q48" s="241"/>
    </row>
    <row r="49" spans="3:12" x14ac:dyDescent="0.3">
      <c r="C49" s="2">
        <v>47</v>
      </c>
      <c r="D49" s="2" t="s">
        <v>7</v>
      </c>
      <c r="E49" s="4">
        <v>31841</v>
      </c>
      <c r="F49" s="120">
        <f t="shared" ca="1" si="1"/>
        <v>38.978082191780821</v>
      </c>
      <c r="G49" s="2">
        <v>2019</v>
      </c>
      <c r="H49" s="2" t="s">
        <v>3744</v>
      </c>
      <c r="I49" s="4" t="s">
        <v>3743</v>
      </c>
      <c r="K49" s="438"/>
      <c r="L49" s="438"/>
    </row>
    <row r="50" spans="3:12" x14ac:dyDescent="0.3">
      <c r="C50" s="2">
        <v>48</v>
      </c>
      <c r="D50" s="439" t="s">
        <v>3687</v>
      </c>
      <c r="E50" s="386">
        <v>28883</v>
      </c>
      <c r="F50" s="440">
        <f t="shared" ca="1" si="1"/>
        <v>47.082191780821915</v>
      </c>
      <c r="G50" s="385">
        <v>2016</v>
      </c>
      <c r="H50" s="2" t="s">
        <v>3737</v>
      </c>
      <c r="I50" s="4" t="s">
        <v>3743</v>
      </c>
      <c r="K50" s="438"/>
      <c r="L50" s="438"/>
    </row>
    <row r="51" spans="3:12" x14ac:dyDescent="0.3">
      <c r="C51" s="2">
        <v>49</v>
      </c>
      <c r="D51" s="2" t="s">
        <v>3479</v>
      </c>
      <c r="E51" s="4">
        <v>32622</v>
      </c>
      <c r="F51" s="120">
        <f t="shared" ca="1" si="1"/>
        <v>36.838356164383562</v>
      </c>
      <c r="G51" s="2">
        <v>2020</v>
      </c>
      <c r="H51" s="4" t="s">
        <v>3743</v>
      </c>
      <c r="I51" s="4" t="s">
        <v>3743</v>
      </c>
      <c r="K51" s="438"/>
      <c r="L51" s="438"/>
    </row>
    <row r="52" spans="3:12" x14ac:dyDescent="0.3">
      <c r="C52" s="2">
        <v>50</v>
      </c>
      <c r="D52" s="2" t="s">
        <v>3490</v>
      </c>
      <c r="E52" s="4">
        <v>32742</v>
      </c>
      <c r="F52" s="120">
        <f t="shared" ca="1" si="1"/>
        <v>36.509589041095893</v>
      </c>
      <c r="G52" s="2">
        <v>2020</v>
      </c>
      <c r="H52" s="4" t="s">
        <v>3743</v>
      </c>
      <c r="I52" s="4" t="s">
        <v>3743</v>
      </c>
      <c r="K52" s="438"/>
      <c r="L52" s="438"/>
    </row>
    <row r="53" spans="3:12" x14ac:dyDescent="0.3">
      <c r="C53" s="2">
        <v>51</v>
      </c>
      <c r="D53" s="2" t="s">
        <v>225</v>
      </c>
      <c r="E53" s="4">
        <v>32772</v>
      </c>
      <c r="F53" s="120">
        <f t="shared" ca="1" si="1"/>
        <v>36.42739726027397</v>
      </c>
      <c r="G53" s="2">
        <v>2020</v>
      </c>
      <c r="H53" s="4" t="s">
        <v>3743</v>
      </c>
      <c r="I53" s="4" t="s">
        <v>3743</v>
      </c>
      <c r="K53" s="438"/>
      <c r="L53" s="438"/>
    </row>
    <row r="54" spans="3:12" x14ac:dyDescent="0.3">
      <c r="C54" s="2">
        <v>52</v>
      </c>
      <c r="D54" s="2" t="s">
        <v>56</v>
      </c>
      <c r="E54" s="4">
        <v>33721</v>
      </c>
      <c r="F54" s="120">
        <f t="shared" ca="1" si="1"/>
        <v>33.827397260273976</v>
      </c>
      <c r="G54" s="2">
        <v>2017</v>
      </c>
      <c r="H54" s="2" t="s">
        <v>3706</v>
      </c>
      <c r="I54" s="4" t="s">
        <v>3743</v>
      </c>
      <c r="K54" s="438"/>
      <c r="L54" s="438"/>
    </row>
    <row r="55" spans="3:12" x14ac:dyDescent="0.3">
      <c r="C55" s="2">
        <v>53</v>
      </c>
      <c r="D55" s="2" t="s">
        <v>74</v>
      </c>
      <c r="E55" s="4">
        <v>31830</v>
      </c>
      <c r="F55" s="120">
        <f t="shared" ca="1" si="1"/>
        <v>39.008219178082193</v>
      </c>
      <c r="G55" s="2">
        <v>2020</v>
      </c>
      <c r="H55" s="2" t="s">
        <v>3710</v>
      </c>
      <c r="I55" s="4" t="s">
        <v>3743</v>
      </c>
      <c r="J55" s="4"/>
      <c r="K55" s="438"/>
      <c r="L55" s="438"/>
    </row>
    <row r="56" spans="3:12" x14ac:dyDescent="0.3">
      <c r="C56" s="2">
        <v>54</v>
      </c>
      <c r="D56" s="2" t="s">
        <v>38</v>
      </c>
      <c r="E56" s="4">
        <v>32307</v>
      </c>
      <c r="F56" s="120">
        <f t="shared" ca="1" si="1"/>
        <v>37.701369863013696</v>
      </c>
      <c r="G56" s="2">
        <v>2020</v>
      </c>
      <c r="H56" s="2" t="s">
        <v>3710</v>
      </c>
      <c r="I56" s="4" t="s">
        <v>3743</v>
      </c>
      <c r="K56" s="438"/>
      <c r="L56" s="438"/>
    </row>
    <row r="57" spans="3:12" x14ac:dyDescent="0.3">
      <c r="C57" s="2">
        <v>55</v>
      </c>
      <c r="D57" s="2" t="s">
        <v>67</v>
      </c>
      <c r="E57" s="4">
        <v>31147</v>
      </c>
      <c r="F57" s="120">
        <f t="shared" ca="1" si="1"/>
        <v>40.87945205479452</v>
      </c>
      <c r="G57" s="2">
        <v>2018</v>
      </c>
      <c r="H57" s="2" t="s">
        <v>3747</v>
      </c>
      <c r="I57" s="4" t="s">
        <v>3743</v>
      </c>
      <c r="K57" s="438"/>
      <c r="L57" s="438"/>
    </row>
    <row r="58" spans="3:12" x14ac:dyDescent="0.3">
      <c r="C58" s="2">
        <v>56</v>
      </c>
      <c r="D58" s="439" t="s">
        <v>3684</v>
      </c>
      <c r="E58" s="386">
        <v>33027</v>
      </c>
      <c r="F58" s="440">
        <f t="shared" ca="1" si="1"/>
        <v>35.728767123287675</v>
      </c>
      <c r="G58" s="385">
        <v>2015</v>
      </c>
      <c r="H58" s="439" t="s">
        <v>3758</v>
      </c>
      <c r="I58" s="2" t="s">
        <v>3751</v>
      </c>
      <c r="K58" s="2"/>
      <c r="L58" s="8"/>
    </row>
    <row r="59" spans="3:12" ht="15" thickBot="1" x14ac:dyDescent="0.35">
      <c r="C59" s="2">
        <v>57</v>
      </c>
      <c r="D59" s="2" t="s">
        <v>5</v>
      </c>
      <c r="E59" s="4">
        <v>32943</v>
      </c>
      <c r="F59" s="120">
        <f t="shared" ca="1" si="1"/>
        <v>35.958904109589042</v>
      </c>
      <c r="G59" s="2">
        <v>2018</v>
      </c>
      <c r="H59" s="4" t="s">
        <v>3706</v>
      </c>
      <c r="I59" s="4" t="s">
        <v>3706</v>
      </c>
      <c r="K59" s="435"/>
      <c r="L59" s="437"/>
    </row>
    <row r="60" spans="3:12" ht="15" thickBot="1" x14ac:dyDescent="0.35">
      <c r="C60" s="2">
        <v>58</v>
      </c>
      <c r="D60" s="2" t="s">
        <v>58</v>
      </c>
      <c r="E60" s="4">
        <v>32727</v>
      </c>
      <c r="F60" s="120">
        <f t="shared" ca="1" si="1"/>
        <v>36.550684931506851</v>
      </c>
      <c r="G60" s="2">
        <v>2018</v>
      </c>
      <c r="H60" s="4" t="s">
        <v>3730</v>
      </c>
      <c r="I60" s="3" t="s">
        <v>3717</v>
      </c>
      <c r="K60" s="434"/>
      <c r="L60" s="434"/>
    </row>
    <row r="61" spans="3:12" ht="15" thickBot="1" x14ac:dyDescent="0.35">
      <c r="C61" s="2">
        <v>59</v>
      </c>
      <c r="D61" s="2" t="s">
        <v>853</v>
      </c>
      <c r="E61" s="4">
        <v>31575</v>
      </c>
      <c r="F61" s="120">
        <f t="shared" ca="1" si="1"/>
        <v>39.706849315068496</v>
      </c>
      <c r="G61" s="2">
        <v>2019</v>
      </c>
      <c r="H61" s="2" t="s">
        <v>3698</v>
      </c>
      <c r="I61" s="3" t="s">
        <v>3717</v>
      </c>
      <c r="K61" s="435"/>
      <c r="L61" s="436"/>
    </row>
    <row r="62" spans="3:12" ht="15" thickBot="1" x14ac:dyDescent="0.35">
      <c r="C62" s="2">
        <v>60</v>
      </c>
      <c r="D62" s="2" t="s">
        <v>25</v>
      </c>
      <c r="E62" s="4">
        <v>34456</v>
      </c>
      <c r="F62" s="120">
        <f t="shared" ca="1" si="1"/>
        <v>31.813698630136987</v>
      </c>
      <c r="G62" s="2">
        <v>2018</v>
      </c>
      <c r="H62" s="2" t="s">
        <v>3718</v>
      </c>
      <c r="I62" s="3" t="s">
        <v>3717</v>
      </c>
      <c r="K62" s="436"/>
      <c r="L62" s="436"/>
    </row>
    <row r="63" spans="3:12" ht="15" thickBot="1" x14ac:dyDescent="0.35">
      <c r="C63" s="2">
        <v>61</v>
      </c>
      <c r="D63" s="2" t="s">
        <v>37</v>
      </c>
      <c r="E63" s="4">
        <v>33591</v>
      </c>
      <c r="F63" s="120">
        <f t="shared" ca="1" si="1"/>
        <v>34.183561643835617</v>
      </c>
      <c r="G63" s="2">
        <v>2019</v>
      </c>
      <c r="H63" s="2" t="s">
        <v>3735</v>
      </c>
      <c r="I63" s="3" t="s">
        <v>3717</v>
      </c>
      <c r="K63" s="436"/>
      <c r="L63" s="436"/>
    </row>
    <row r="64" spans="3:12" ht="15" thickBot="1" x14ac:dyDescent="0.35">
      <c r="C64" s="2">
        <v>62</v>
      </c>
      <c r="D64" s="439" t="s">
        <v>3688</v>
      </c>
      <c r="E64" s="386">
        <v>31506</v>
      </c>
      <c r="F64" s="440">
        <f t="shared" ca="1" si="1"/>
        <v>39.895890410958906</v>
      </c>
      <c r="G64" s="385">
        <v>2016</v>
      </c>
      <c r="H64" s="439" t="s">
        <v>3722</v>
      </c>
      <c r="I64" s="3" t="s">
        <v>3717</v>
      </c>
      <c r="K64" s="436"/>
      <c r="L64" s="436"/>
    </row>
    <row r="65" spans="3:9" x14ac:dyDescent="0.3">
      <c r="C65" s="2">
        <v>63</v>
      </c>
      <c r="D65" s="2" t="s">
        <v>316</v>
      </c>
      <c r="E65" s="4">
        <v>35090</v>
      </c>
      <c r="F65" s="120">
        <f t="shared" ca="1" si="1"/>
        <v>30.076712328767123</v>
      </c>
      <c r="G65" s="2">
        <v>2019</v>
      </c>
      <c r="H65" s="2" t="s">
        <v>3708</v>
      </c>
      <c r="I65" s="3" t="s">
        <v>3722</v>
      </c>
    </row>
    <row r="66" spans="3:9" x14ac:dyDescent="0.3">
      <c r="C66" s="2">
        <v>64</v>
      </c>
      <c r="D66" s="439" t="s">
        <v>3685</v>
      </c>
      <c r="E66" s="386">
        <v>33470</v>
      </c>
      <c r="F66" s="440">
        <f t="shared" ca="1" si="1"/>
        <v>34.515068493150686</v>
      </c>
      <c r="G66" s="385">
        <v>2015</v>
      </c>
      <c r="H66" s="439" t="s">
        <v>3722</v>
      </c>
      <c r="I66" s="439" t="s">
        <v>3722</v>
      </c>
    </row>
    <row r="67" spans="3:9" x14ac:dyDescent="0.3">
      <c r="C67" s="2">
        <v>65</v>
      </c>
      <c r="D67" s="2" t="s">
        <v>57</v>
      </c>
      <c r="E67" s="4">
        <v>33770</v>
      </c>
      <c r="F67" s="120">
        <f t="shared" ca="1" si="1"/>
        <v>33.69315068493151</v>
      </c>
      <c r="G67" s="2">
        <v>2018</v>
      </c>
      <c r="H67" s="3" t="s">
        <v>3712</v>
      </c>
      <c r="I67" s="3" t="s">
        <v>3722</v>
      </c>
    </row>
    <row r="68" spans="3:9" x14ac:dyDescent="0.3">
      <c r="C68" s="2">
        <v>66</v>
      </c>
      <c r="D68" s="2" t="s">
        <v>44</v>
      </c>
      <c r="E68" s="4">
        <v>34759</v>
      </c>
      <c r="F68" s="120">
        <f t="shared" ca="1" si="1"/>
        <v>30.983561643835618</v>
      </c>
      <c r="G68" s="2">
        <v>2020</v>
      </c>
      <c r="H68" s="4" t="s">
        <v>3750</v>
      </c>
      <c r="I68" s="4" t="s">
        <v>3750</v>
      </c>
    </row>
    <row r="69" spans="3:9" x14ac:dyDescent="0.3">
      <c r="C69" s="2">
        <v>67</v>
      </c>
      <c r="D69" s="2" t="s">
        <v>68</v>
      </c>
      <c r="E69" s="4">
        <v>33271</v>
      </c>
      <c r="F69" s="120">
        <f t="shared" ca="1" si="1"/>
        <v>35.060273972602737</v>
      </c>
      <c r="G69" s="2">
        <v>2018</v>
      </c>
      <c r="H69" s="2" t="s">
        <v>3710</v>
      </c>
      <c r="I69" s="2" t="s">
        <v>3711</v>
      </c>
    </row>
    <row r="70" spans="3:9" x14ac:dyDescent="0.3">
      <c r="C70" s="2">
        <v>68</v>
      </c>
      <c r="D70" s="2" t="s">
        <v>1245</v>
      </c>
      <c r="E70" s="4">
        <v>33854</v>
      </c>
      <c r="F70" s="120">
        <f t="shared" ref="F70:F75" ca="1" si="2">(TODAY()-E70)/365</f>
        <v>33.463013698630135</v>
      </c>
      <c r="G70" s="2">
        <v>2020</v>
      </c>
      <c r="H70" s="2" t="s">
        <v>3739</v>
      </c>
      <c r="I70" s="3" t="s">
        <v>3746</v>
      </c>
    </row>
    <row r="71" spans="3:9" x14ac:dyDescent="0.3">
      <c r="C71" s="2">
        <v>69</v>
      </c>
      <c r="D71" s="2" t="s">
        <v>3379</v>
      </c>
      <c r="E71" s="4">
        <v>34363</v>
      </c>
      <c r="F71" s="120">
        <f t="shared" ca="1" si="2"/>
        <v>32.06849315068493</v>
      </c>
      <c r="G71" s="2">
        <v>2020</v>
      </c>
      <c r="H71" s="2" t="s">
        <v>3749</v>
      </c>
      <c r="I71" s="2" t="s">
        <v>3749</v>
      </c>
    </row>
    <row r="72" spans="3:9" x14ac:dyDescent="0.3">
      <c r="C72" s="2">
        <v>70</v>
      </c>
      <c r="D72" s="447" t="s">
        <v>51</v>
      </c>
      <c r="E72" s="448">
        <v>35798</v>
      </c>
      <c r="F72" s="721">
        <f t="shared" ca="1" si="2"/>
        <v>28.136986301369863</v>
      </c>
      <c r="G72" s="441">
        <v>2020</v>
      </c>
      <c r="H72" s="439" t="s">
        <v>3791</v>
      </c>
      <c r="I72" s="439" t="s">
        <v>3791</v>
      </c>
    </row>
    <row r="73" spans="3:9" x14ac:dyDescent="0.3">
      <c r="C73" s="2">
        <v>71</v>
      </c>
      <c r="D73" s="2" t="s">
        <v>233</v>
      </c>
      <c r="E73" s="4">
        <v>37431</v>
      </c>
      <c r="F73" s="120">
        <f t="shared" ca="1" si="2"/>
        <v>23.663013698630138</v>
      </c>
      <c r="G73" s="385">
        <v>2020</v>
      </c>
      <c r="H73" s="439" t="s">
        <v>3792</v>
      </c>
      <c r="I73" s="2" t="s">
        <v>3792</v>
      </c>
    </row>
    <row r="74" spans="3:9" x14ac:dyDescent="0.3">
      <c r="C74" s="2">
        <v>72</v>
      </c>
      <c r="D74" s="2" t="s">
        <v>46</v>
      </c>
      <c r="E74" s="4">
        <v>35259</v>
      </c>
      <c r="F74" s="120">
        <f t="shared" ca="1" si="2"/>
        <v>29.613698630136987</v>
      </c>
      <c r="G74" s="385">
        <v>2020</v>
      </c>
      <c r="H74" s="439" t="s">
        <v>3738</v>
      </c>
      <c r="I74" s="439" t="s">
        <v>3738</v>
      </c>
    </row>
    <row r="75" spans="3:9" x14ac:dyDescent="0.3">
      <c r="C75" s="2">
        <v>73</v>
      </c>
      <c r="D75" s="455" t="s">
        <v>1236</v>
      </c>
      <c r="E75" s="456">
        <v>33865</v>
      </c>
      <c r="F75" s="722">
        <f t="shared" ca="1" si="2"/>
        <v>33.43287671232877</v>
      </c>
      <c r="G75" s="385">
        <v>2021</v>
      </c>
      <c r="H75" s="439" t="s">
        <v>3709</v>
      </c>
    </row>
    <row r="76" spans="3:9" x14ac:dyDescent="0.3">
      <c r="C76" s="2">
        <v>74</v>
      </c>
      <c r="D76" s="458" t="s">
        <v>3309</v>
      </c>
      <c r="E76" s="459">
        <v>35157</v>
      </c>
      <c r="F76" s="723">
        <f ca="1">(TODAY()-E76)/365</f>
        <v>29.893150684931506</v>
      </c>
      <c r="G76" s="385">
        <v>2021</v>
      </c>
      <c r="H76" s="439"/>
    </row>
    <row r="77" spans="3:9" x14ac:dyDescent="0.3">
      <c r="C77" s="2">
        <v>75</v>
      </c>
      <c r="D77" s="455" t="s">
        <v>223</v>
      </c>
      <c r="E77" s="456">
        <v>35205</v>
      </c>
      <c r="F77" s="722">
        <f ca="1">(TODAY()-E77)/365</f>
        <v>29.761643835616439</v>
      </c>
      <c r="G77" s="385">
        <v>2021</v>
      </c>
      <c r="H77" s="439"/>
    </row>
    <row r="78" spans="3:9" x14ac:dyDescent="0.3">
      <c r="C78" s="2">
        <v>76</v>
      </c>
      <c r="D78" s="424" t="s">
        <v>3322</v>
      </c>
      <c r="E78" s="452">
        <v>32544</v>
      </c>
      <c r="F78" s="547">
        <f t="shared" ref="F78" ca="1" si="3">(TODAY()-E78)/365</f>
        <v>37.052054794520551</v>
      </c>
      <c r="G78" s="385">
        <v>2021</v>
      </c>
      <c r="H78" s="439"/>
    </row>
    <row r="79" spans="3:9" x14ac:dyDescent="0.3">
      <c r="C79" s="2">
        <v>77</v>
      </c>
      <c r="D79" s="424" t="s">
        <v>212</v>
      </c>
      <c r="E79" s="452">
        <v>31161</v>
      </c>
      <c r="F79" s="547">
        <f ca="1">(TODAY()-E79)/365</f>
        <v>40.841095890410962</v>
      </c>
      <c r="G79" s="385">
        <v>2021</v>
      </c>
      <c r="H79" s="439" t="s">
        <v>3696</v>
      </c>
    </row>
    <row r="80" spans="3:9" x14ac:dyDescent="0.3">
      <c r="C80" s="2">
        <v>78</v>
      </c>
      <c r="D80" s="424" t="s">
        <v>42</v>
      </c>
      <c r="E80" s="452">
        <v>34328</v>
      </c>
      <c r="F80" s="547">
        <f ca="1">(TODAY()-E80)/365</f>
        <v>32.164383561643838</v>
      </c>
      <c r="G80" s="385">
        <v>2021</v>
      </c>
      <c r="H80" s="439" t="s">
        <v>4018</v>
      </c>
    </row>
    <row r="81" spans="3:9" x14ac:dyDescent="0.3">
      <c r="C81" s="2">
        <v>79</v>
      </c>
      <c r="D81" s="458" t="s">
        <v>4019</v>
      </c>
      <c r="E81" s="459">
        <v>32242</v>
      </c>
      <c r="F81" s="547">
        <f ca="1">(TODAY()-E81)/365</f>
        <v>37.87945205479452</v>
      </c>
      <c r="G81" s="385">
        <v>2021</v>
      </c>
      <c r="H81" s="439" t="s">
        <v>4020</v>
      </c>
    </row>
    <row r="82" spans="3:9" x14ac:dyDescent="0.3">
      <c r="C82" s="2">
        <v>80</v>
      </c>
      <c r="D82" s="455" t="s">
        <v>1243</v>
      </c>
      <c r="E82" s="456">
        <v>32613</v>
      </c>
      <c r="F82" s="722">
        <v>32.084931506849315</v>
      </c>
      <c r="G82" s="385">
        <v>2021</v>
      </c>
      <c r="H82" s="439" t="s">
        <v>4018</v>
      </c>
    </row>
    <row r="83" spans="3:9" x14ac:dyDescent="0.3">
      <c r="C83" s="2">
        <v>81</v>
      </c>
      <c r="D83" s="447" t="s">
        <v>3680</v>
      </c>
      <c r="E83" s="448">
        <v>35278</v>
      </c>
      <c r="F83" s="721">
        <f ca="1">(TODAY()-E83)/365</f>
        <v>29.561643835616437</v>
      </c>
      <c r="G83" s="720">
        <v>2022</v>
      </c>
      <c r="H83" s="439" t="s">
        <v>3721</v>
      </c>
    </row>
    <row r="84" spans="3:9" x14ac:dyDescent="0.3">
      <c r="C84" s="2">
        <v>82</v>
      </c>
      <c r="D84" s="443" t="s">
        <v>1237</v>
      </c>
      <c r="E84" s="444">
        <v>34190</v>
      </c>
      <c r="F84" s="724">
        <f ca="1">(TODAY()-E84)/365</f>
        <v>32.542465753424658</v>
      </c>
      <c r="G84" s="385">
        <v>2021</v>
      </c>
      <c r="H84" s="439"/>
    </row>
    <row r="85" spans="3:9" x14ac:dyDescent="0.3">
      <c r="C85" s="2">
        <v>83</v>
      </c>
      <c r="D85" s="424" t="s">
        <v>1236</v>
      </c>
      <c r="E85" s="452">
        <v>33865</v>
      </c>
      <c r="F85" s="547">
        <v>28.682191780821917</v>
      </c>
      <c r="G85" s="385">
        <v>2021</v>
      </c>
      <c r="H85" s="439" t="s">
        <v>3709</v>
      </c>
    </row>
    <row r="86" spans="3:9" x14ac:dyDescent="0.3">
      <c r="C86" s="2">
        <v>84</v>
      </c>
      <c r="D86" s="424" t="s">
        <v>3671</v>
      </c>
      <c r="E86" s="452">
        <v>32219</v>
      </c>
      <c r="F86" s="547">
        <f t="shared" ref="F86" ca="1" si="4">(TODAY()-E86)/365</f>
        <v>37.942465753424656</v>
      </c>
      <c r="G86" s="385">
        <v>2021</v>
      </c>
      <c r="H86" s="439" t="s">
        <v>3730</v>
      </c>
      <c r="I86" s="2" t="s">
        <v>3730</v>
      </c>
    </row>
    <row r="87" spans="3:9" x14ac:dyDescent="0.3">
      <c r="C87" s="2">
        <v>85</v>
      </c>
      <c r="D87" s="424" t="s">
        <v>3793</v>
      </c>
      <c r="E87" s="452">
        <v>33457</v>
      </c>
      <c r="F87" s="547">
        <f ca="1">(TODAY()-E87)/365</f>
        <v>34.550684931506851</v>
      </c>
      <c r="G87" s="385">
        <v>2021</v>
      </c>
      <c r="H87" s="439" t="s">
        <v>3709</v>
      </c>
    </row>
    <row r="88" spans="3:9" x14ac:dyDescent="0.3">
      <c r="C88" s="2">
        <v>86</v>
      </c>
      <c r="D88" s="424" t="s">
        <v>3491</v>
      </c>
      <c r="E88" s="452">
        <v>32014</v>
      </c>
      <c r="F88" s="547">
        <f t="shared" ref="F88:F95" ca="1" si="5">(TODAY()-E88)/365</f>
        <v>38.504109589041093</v>
      </c>
      <c r="G88" s="385">
        <v>2021</v>
      </c>
      <c r="H88" s="439" t="s">
        <v>3699</v>
      </c>
    </row>
    <row r="89" spans="3:9" x14ac:dyDescent="0.3">
      <c r="C89" s="2">
        <v>87</v>
      </c>
      <c r="D89" s="2" t="s">
        <v>4150</v>
      </c>
      <c r="E89" s="4">
        <v>33383</v>
      </c>
      <c r="F89" s="120">
        <f t="shared" ca="1" si="5"/>
        <v>34.753424657534246</v>
      </c>
      <c r="G89" s="385">
        <v>2021</v>
      </c>
      <c r="H89" s="439"/>
    </row>
    <row r="90" spans="3:9" x14ac:dyDescent="0.3">
      <c r="C90" s="2">
        <v>88</v>
      </c>
      <c r="D90" s="424" t="s">
        <v>4</v>
      </c>
      <c r="E90" s="452">
        <v>28715</v>
      </c>
      <c r="F90" s="547">
        <f t="shared" ca="1" si="5"/>
        <v>47.542465753424658</v>
      </c>
      <c r="G90" s="588">
        <v>2022</v>
      </c>
      <c r="H90" s="439" t="s">
        <v>4702</v>
      </c>
    </row>
    <row r="91" spans="3:9" x14ac:dyDescent="0.3">
      <c r="C91" s="2">
        <v>89</v>
      </c>
      <c r="D91" s="424" t="s">
        <v>9</v>
      </c>
      <c r="E91" s="452">
        <v>30219</v>
      </c>
      <c r="F91" s="547">
        <f t="shared" ca="1" si="5"/>
        <v>43.421917808219177</v>
      </c>
      <c r="G91" s="385">
        <v>2022</v>
      </c>
      <c r="H91" s="439" t="s">
        <v>4702</v>
      </c>
    </row>
    <row r="92" spans="3:9" x14ac:dyDescent="0.3">
      <c r="C92" s="2">
        <v>90</v>
      </c>
      <c r="D92" s="424" t="s">
        <v>26</v>
      </c>
      <c r="E92" s="452">
        <v>32991</v>
      </c>
      <c r="F92" s="547">
        <f t="shared" ca="1" si="5"/>
        <v>35.827397260273976</v>
      </c>
      <c r="G92" s="385">
        <v>2022</v>
      </c>
      <c r="H92" s="439" t="s">
        <v>3696</v>
      </c>
    </row>
    <row r="93" spans="3:9" x14ac:dyDescent="0.3">
      <c r="C93" s="2">
        <v>91</v>
      </c>
      <c r="D93" s="717" t="s">
        <v>3681</v>
      </c>
      <c r="E93" s="718">
        <v>35127</v>
      </c>
      <c r="F93" s="719">
        <f t="shared" ca="1" si="5"/>
        <v>29.975342465753425</v>
      </c>
      <c r="G93" s="720">
        <v>2022</v>
      </c>
      <c r="H93" s="439" t="s">
        <v>4643</v>
      </c>
    </row>
    <row r="94" spans="3:9" x14ac:dyDescent="0.3">
      <c r="C94" s="2">
        <v>92</v>
      </c>
      <c r="D94" s="424" t="s">
        <v>2972</v>
      </c>
      <c r="E94" s="452">
        <v>33458</v>
      </c>
      <c r="F94" s="547">
        <f t="shared" ca="1" si="5"/>
        <v>34.547945205479451</v>
      </c>
      <c r="G94" s="720">
        <v>2022</v>
      </c>
      <c r="H94" s="439"/>
    </row>
    <row r="95" spans="3:9" x14ac:dyDescent="0.3">
      <c r="C95" s="2">
        <v>93</v>
      </c>
      <c r="D95" s="2" t="s">
        <v>4402</v>
      </c>
      <c r="E95" s="4">
        <v>34647</v>
      </c>
      <c r="F95" s="241">
        <f t="shared" ca="1" si="5"/>
        <v>31.290410958904111</v>
      </c>
      <c r="G95" s="385">
        <v>2022</v>
      </c>
      <c r="H95" s="439" t="s">
        <v>4647</v>
      </c>
    </row>
    <row r="96" spans="3:9" x14ac:dyDescent="0.3">
      <c r="C96" s="2">
        <v>94</v>
      </c>
      <c r="D96" s="447" t="s">
        <v>4023</v>
      </c>
      <c r="E96" s="448">
        <v>34032</v>
      </c>
      <c r="F96" s="460">
        <f ca="1">(TODAY()-E96)/365</f>
        <v>32.975342465753428</v>
      </c>
      <c r="G96" s="385">
        <v>2022</v>
      </c>
      <c r="H96" s="439" t="s">
        <v>4703</v>
      </c>
    </row>
    <row r="97" spans="3:8" x14ac:dyDescent="0.3">
      <c r="C97" s="2">
        <v>95</v>
      </c>
      <c r="D97" s="447" t="s">
        <v>4024</v>
      </c>
      <c r="E97" s="448">
        <v>33136</v>
      </c>
      <c r="F97" s="479">
        <f ca="1">(TODAY()-E97)/365</f>
        <v>35.43013698630137</v>
      </c>
      <c r="G97" s="385">
        <v>2022</v>
      </c>
      <c r="H97" s="439"/>
    </row>
    <row r="98" spans="3:8" x14ac:dyDescent="0.3">
      <c r="C98" s="2">
        <v>96</v>
      </c>
      <c r="D98" s="424" t="s">
        <v>4205</v>
      </c>
      <c r="E98" s="452">
        <v>36002</v>
      </c>
      <c r="F98" s="453">
        <f t="shared" ref="F98:F102" ca="1" si="6">(TODAY()-E98)/365</f>
        <v>27.578082191780823</v>
      </c>
      <c r="G98" s="385">
        <v>2023</v>
      </c>
      <c r="H98" s="439" t="s">
        <v>5171</v>
      </c>
    </row>
    <row r="99" spans="3:8" x14ac:dyDescent="0.3">
      <c r="C99" s="2">
        <v>97</v>
      </c>
      <c r="D99" s="424" t="s">
        <v>3670</v>
      </c>
      <c r="E99" s="452">
        <v>34798</v>
      </c>
      <c r="F99" s="453">
        <f t="shared" ca="1" si="6"/>
        <v>30.876712328767123</v>
      </c>
      <c r="G99" s="385">
        <v>2023</v>
      </c>
      <c r="H99" s="439" t="s">
        <v>5268</v>
      </c>
    </row>
    <row r="100" spans="3:8" x14ac:dyDescent="0.3">
      <c r="C100" s="2">
        <v>98</v>
      </c>
      <c r="D100" s="2" t="s">
        <v>4027</v>
      </c>
      <c r="E100" s="4">
        <v>35464</v>
      </c>
      <c r="F100" s="241">
        <f t="shared" ca="1" si="6"/>
        <v>29.052054794520547</v>
      </c>
      <c r="G100" s="385">
        <v>2023</v>
      </c>
      <c r="H100" s="439"/>
    </row>
    <row r="101" spans="3:8" x14ac:dyDescent="0.3">
      <c r="C101" s="2">
        <v>99</v>
      </c>
      <c r="D101" s="2" t="s">
        <v>3683</v>
      </c>
      <c r="E101" s="4">
        <v>33874</v>
      </c>
      <c r="F101" s="479">
        <f t="shared" ca="1" si="6"/>
        <v>33.408219178082192</v>
      </c>
      <c r="G101" s="385">
        <v>2023</v>
      </c>
      <c r="H101" s="439" t="s">
        <v>3745</v>
      </c>
    </row>
    <row r="102" spans="3:8" x14ac:dyDescent="0.3">
      <c r="C102" s="2">
        <v>100</v>
      </c>
      <c r="D102" s="447" t="s">
        <v>4729</v>
      </c>
      <c r="E102" s="448">
        <v>35164</v>
      </c>
      <c r="F102" s="241">
        <f t="shared" ca="1" si="6"/>
        <v>29.873972602739727</v>
      </c>
      <c r="G102" s="385">
        <v>2023</v>
      </c>
      <c r="H102" s="439"/>
    </row>
    <row r="103" spans="3:8" x14ac:dyDescent="0.3">
      <c r="C103" s="2">
        <v>101</v>
      </c>
      <c r="D103" s="2" t="s">
        <v>3662</v>
      </c>
      <c r="E103" s="4">
        <v>34793</v>
      </c>
      <c r="F103" s="241">
        <f ca="1">(TODAY()-E103)/365</f>
        <v>30.890410958904109</v>
      </c>
      <c r="G103" s="385">
        <v>2023</v>
      </c>
      <c r="H103" s="439"/>
    </row>
    <row r="104" spans="3:8" x14ac:dyDescent="0.3">
      <c r="C104" s="2">
        <v>102</v>
      </c>
      <c r="D104" s="2" t="s">
        <v>4707</v>
      </c>
      <c r="E104" s="4">
        <v>33375</v>
      </c>
      <c r="F104" s="241">
        <f t="shared" ref="F104:F113" ca="1" si="7">(TODAY()-E104)/365</f>
        <v>34.775342465753425</v>
      </c>
      <c r="G104" s="385">
        <v>2023</v>
      </c>
      <c r="H104" s="439"/>
    </row>
    <row r="105" spans="3:8" x14ac:dyDescent="0.3">
      <c r="C105" s="2">
        <v>103</v>
      </c>
      <c r="D105" s="2" t="s">
        <v>4701</v>
      </c>
      <c r="E105" s="4">
        <v>35785</v>
      </c>
      <c r="F105" s="241">
        <f t="shared" ca="1" si="7"/>
        <v>28.172602739726027</v>
      </c>
      <c r="G105" s="385">
        <v>2023</v>
      </c>
      <c r="H105" s="439" t="s">
        <v>3748</v>
      </c>
    </row>
    <row r="106" spans="3:8" x14ac:dyDescent="0.3">
      <c r="C106" s="2">
        <v>104</v>
      </c>
      <c r="D106" s="439" t="s">
        <v>3980</v>
      </c>
      <c r="E106" s="446">
        <v>34372</v>
      </c>
      <c r="F106" s="726">
        <f t="shared" ca="1" si="7"/>
        <v>32.043835616438358</v>
      </c>
      <c r="G106" s="385">
        <v>2023</v>
      </c>
      <c r="H106" s="439"/>
    </row>
    <row r="107" spans="3:8" x14ac:dyDescent="0.3">
      <c r="C107" s="2">
        <v>105</v>
      </c>
      <c r="D107" s="424" t="s">
        <v>3977</v>
      </c>
      <c r="E107" s="452">
        <v>33770</v>
      </c>
      <c r="F107" s="453">
        <f t="shared" ca="1" si="7"/>
        <v>33.69315068493151</v>
      </c>
      <c r="G107" s="385">
        <v>2023</v>
      </c>
      <c r="H107" s="439" t="s">
        <v>3739</v>
      </c>
    </row>
    <row r="108" spans="3:8" x14ac:dyDescent="0.3">
      <c r="C108" s="2">
        <v>106</v>
      </c>
      <c r="D108" s="2" t="s">
        <v>4612</v>
      </c>
      <c r="E108" s="4">
        <v>35096</v>
      </c>
      <c r="F108" s="241">
        <f t="shared" ca="1" si="7"/>
        <v>30.06027397260274</v>
      </c>
      <c r="G108" s="385">
        <v>2024</v>
      </c>
      <c r="H108" s="439" t="s">
        <v>3791</v>
      </c>
    </row>
    <row r="109" spans="3:8" x14ac:dyDescent="0.3">
      <c r="C109" s="2">
        <v>107</v>
      </c>
      <c r="D109" s="2" t="s">
        <v>5279</v>
      </c>
      <c r="E109" s="4">
        <v>36528</v>
      </c>
      <c r="F109" s="241">
        <f t="shared" ca="1" si="7"/>
        <v>26.136986301369863</v>
      </c>
      <c r="G109" s="385">
        <v>2024</v>
      </c>
      <c r="H109" s="439" t="s">
        <v>5777</v>
      </c>
    </row>
    <row r="110" spans="3:8" x14ac:dyDescent="0.3">
      <c r="C110" s="2">
        <v>108</v>
      </c>
      <c r="D110" s="447" t="s">
        <v>3765</v>
      </c>
      <c r="E110" s="448">
        <v>35031</v>
      </c>
      <c r="F110" s="479">
        <f t="shared" ca="1" si="7"/>
        <v>30.238356164383561</v>
      </c>
      <c r="G110" s="385">
        <v>2024</v>
      </c>
      <c r="H110" s="439" t="s">
        <v>3791</v>
      </c>
    </row>
    <row r="111" spans="3:8" x14ac:dyDescent="0.3">
      <c r="C111" s="2">
        <v>109</v>
      </c>
      <c r="D111" s="458" t="s">
        <v>4587</v>
      </c>
      <c r="E111" s="459">
        <v>36209</v>
      </c>
      <c r="F111" s="479">
        <f t="shared" ca="1" si="7"/>
        <v>27.010958904109589</v>
      </c>
      <c r="G111" s="385">
        <v>2024</v>
      </c>
      <c r="H111" s="959"/>
    </row>
    <row r="112" spans="3:8" x14ac:dyDescent="0.3">
      <c r="C112" s="2">
        <v>110</v>
      </c>
      <c r="D112" s="887" t="s">
        <v>4710</v>
      </c>
      <c r="E112" s="963">
        <v>34933</v>
      </c>
      <c r="F112" s="427">
        <f t="shared" ca="1" si="7"/>
        <v>30.506849315068493</v>
      </c>
      <c r="G112" s="962">
        <v>2024</v>
      </c>
      <c r="H112" s="964" t="s">
        <v>3744</v>
      </c>
    </row>
    <row r="113" spans="3:8" x14ac:dyDescent="0.3">
      <c r="C113" s="2">
        <v>111</v>
      </c>
      <c r="D113" s="424" t="s">
        <v>3978</v>
      </c>
      <c r="E113" s="452">
        <v>33369</v>
      </c>
      <c r="F113" s="453">
        <f t="shared" ca="1" si="7"/>
        <v>34.791780821917811</v>
      </c>
      <c r="G113" s="962">
        <v>2024</v>
      </c>
      <c r="H113" s="964" t="s">
        <v>5792</v>
      </c>
    </row>
    <row r="114" spans="3:8" x14ac:dyDescent="0.3">
      <c r="C114" s="2">
        <v>112</v>
      </c>
      <c r="D114" s="959"/>
      <c r="E114" s="960"/>
      <c r="F114" s="961">
        <f ca="1">(TODAY()-E114)/365</f>
        <v>126.21369863013699</v>
      </c>
      <c r="G114" s="962"/>
      <c r="H114" s="959"/>
    </row>
    <row r="115" spans="3:8" x14ac:dyDescent="0.3">
      <c r="C115" s="2">
        <v>113</v>
      </c>
      <c r="D115" s="959"/>
      <c r="E115" s="960"/>
      <c r="F115" s="961">
        <f ca="1">(TODAY()-E115)/365</f>
        <v>126.21369863013699</v>
      </c>
      <c r="G115" s="962"/>
      <c r="H115" s="959"/>
    </row>
  </sheetData>
  <conditionalFormatting sqref="F3:F14 F16:F17 F19:F25 F33:F35 F38:F41 F51:F52">
    <cfRule type="cellIs" dxfId="76" priority="602" operator="lessThan">
      <formula>20</formula>
    </cfRule>
  </conditionalFormatting>
  <conditionalFormatting sqref="F73:F74">
    <cfRule type="cellIs" dxfId="75" priority="1" operator="lessThan">
      <formula>20</formula>
    </cfRule>
  </conditionalFormatting>
  <conditionalFormatting sqref="K3 K7:K8 K17 K33 H40">
    <cfRule type="cellIs" dxfId="74" priority="603" operator="equal">
      <formula>"?"</formula>
    </cfRule>
  </conditionalFormatting>
  <pageMargins left="0.7" right="0.7" top="0.78740157499999996" bottom="0.78740157499999996" header="0.3" footer="0.3"/>
  <pageSetup paperSize="9" orientation="portrait" verticalDpi="0" r:id="rId1"/>
  <tableParts count="1">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O75"/>
  <sheetViews>
    <sheetView workbookViewId="0">
      <selection activeCell="L12" sqref="L12"/>
    </sheetView>
  </sheetViews>
  <sheetFormatPr defaultRowHeight="13.2" x14ac:dyDescent="0.25"/>
  <cols>
    <col min="1" max="1" width="14.88671875" style="128" customWidth="1"/>
    <col min="2" max="2" width="15.44140625" style="129" customWidth="1"/>
    <col min="3" max="3" width="14" style="128" customWidth="1"/>
    <col min="4" max="4" width="21" style="129" customWidth="1"/>
    <col min="5" max="6" width="15.109375" style="128" customWidth="1"/>
    <col min="7" max="7" width="18" style="128" customWidth="1"/>
    <col min="8" max="13" width="9.109375" style="128"/>
    <col min="14" max="14" width="13.33203125" style="128" customWidth="1"/>
    <col min="15" max="15" width="16.5546875" style="128" customWidth="1"/>
    <col min="16" max="256" width="9.109375" style="128"/>
    <col min="257" max="257" width="14.88671875" style="128" customWidth="1"/>
    <col min="258" max="258" width="15.44140625" style="128" customWidth="1"/>
    <col min="259" max="259" width="14" style="128" customWidth="1"/>
    <col min="260" max="260" width="8.88671875" style="128" customWidth="1"/>
    <col min="261" max="261" width="10.44140625" style="128" customWidth="1"/>
    <col min="262" max="262" width="9.109375" style="128"/>
    <col min="263" max="263" width="11.44140625" style="128" customWidth="1"/>
    <col min="264" max="269" width="9.109375" style="128"/>
    <col min="270" max="270" width="13.33203125" style="128" customWidth="1"/>
    <col min="271" max="512" width="9.109375" style="128"/>
    <col min="513" max="513" width="14.88671875" style="128" customWidth="1"/>
    <col min="514" max="514" width="15.44140625" style="128" customWidth="1"/>
    <col min="515" max="515" width="14" style="128" customWidth="1"/>
    <col min="516" max="516" width="8.88671875" style="128" customWidth="1"/>
    <col min="517" max="517" width="10.44140625" style="128" customWidth="1"/>
    <col min="518" max="518" width="9.109375" style="128"/>
    <col min="519" max="519" width="11.44140625" style="128" customWidth="1"/>
    <col min="520" max="525" width="9.109375" style="128"/>
    <col min="526" max="526" width="13.33203125" style="128" customWidth="1"/>
    <col min="527" max="768" width="9.109375" style="128"/>
    <col min="769" max="769" width="14.88671875" style="128" customWidth="1"/>
    <col min="770" max="770" width="15.44140625" style="128" customWidth="1"/>
    <col min="771" max="771" width="14" style="128" customWidth="1"/>
    <col min="772" max="772" width="8.88671875" style="128" customWidth="1"/>
    <col min="773" max="773" width="10.44140625" style="128" customWidth="1"/>
    <col min="774" max="774" width="9.109375" style="128"/>
    <col min="775" max="775" width="11.44140625" style="128" customWidth="1"/>
    <col min="776" max="781" width="9.109375" style="128"/>
    <col min="782" max="782" width="13.33203125" style="128" customWidth="1"/>
    <col min="783" max="1024" width="9.109375" style="128"/>
    <col min="1025" max="1025" width="14.88671875" style="128" customWidth="1"/>
    <col min="1026" max="1026" width="15.44140625" style="128" customWidth="1"/>
    <col min="1027" max="1027" width="14" style="128" customWidth="1"/>
    <col min="1028" max="1028" width="8.88671875" style="128" customWidth="1"/>
    <col min="1029" max="1029" width="10.44140625" style="128" customWidth="1"/>
    <col min="1030" max="1030" width="9.109375" style="128"/>
    <col min="1031" max="1031" width="11.44140625" style="128" customWidth="1"/>
    <col min="1032" max="1037" width="9.109375" style="128"/>
    <col min="1038" max="1038" width="13.33203125" style="128" customWidth="1"/>
    <col min="1039" max="1280" width="9.109375" style="128"/>
    <col min="1281" max="1281" width="14.88671875" style="128" customWidth="1"/>
    <col min="1282" max="1282" width="15.44140625" style="128" customWidth="1"/>
    <col min="1283" max="1283" width="14" style="128" customWidth="1"/>
    <col min="1284" max="1284" width="8.88671875" style="128" customWidth="1"/>
    <col min="1285" max="1285" width="10.44140625" style="128" customWidth="1"/>
    <col min="1286" max="1286" width="9.109375" style="128"/>
    <col min="1287" max="1287" width="11.44140625" style="128" customWidth="1"/>
    <col min="1288" max="1293" width="9.109375" style="128"/>
    <col min="1294" max="1294" width="13.33203125" style="128" customWidth="1"/>
    <col min="1295" max="1536" width="9.109375" style="128"/>
    <col min="1537" max="1537" width="14.88671875" style="128" customWidth="1"/>
    <col min="1538" max="1538" width="15.44140625" style="128" customWidth="1"/>
    <col min="1539" max="1539" width="14" style="128" customWidth="1"/>
    <col min="1540" max="1540" width="8.88671875" style="128" customWidth="1"/>
    <col min="1541" max="1541" width="10.44140625" style="128" customWidth="1"/>
    <col min="1542" max="1542" width="9.109375" style="128"/>
    <col min="1543" max="1543" width="11.44140625" style="128" customWidth="1"/>
    <col min="1544" max="1549" width="9.109375" style="128"/>
    <col min="1550" max="1550" width="13.33203125" style="128" customWidth="1"/>
    <col min="1551" max="1792" width="9.109375" style="128"/>
    <col min="1793" max="1793" width="14.88671875" style="128" customWidth="1"/>
    <col min="1794" max="1794" width="15.44140625" style="128" customWidth="1"/>
    <col min="1795" max="1795" width="14" style="128" customWidth="1"/>
    <col min="1796" max="1796" width="8.88671875" style="128" customWidth="1"/>
    <col min="1797" max="1797" width="10.44140625" style="128" customWidth="1"/>
    <col min="1798" max="1798" width="9.109375" style="128"/>
    <col min="1799" max="1799" width="11.44140625" style="128" customWidth="1"/>
    <col min="1800" max="1805" width="9.109375" style="128"/>
    <col min="1806" max="1806" width="13.33203125" style="128" customWidth="1"/>
    <col min="1807" max="2048" width="9.109375" style="128"/>
    <col min="2049" max="2049" width="14.88671875" style="128" customWidth="1"/>
    <col min="2050" max="2050" width="15.44140625" style="128" customWidth="1"/>
    <col min="2051" max="2051" width="14" style="128" customWidth="1"/>
    <col min="2052" max="2052" width="8.88671875" style="128" customWidth="1"/>
    <col min="2053" max="2053" width="10.44140625" style="128" customWidth="1"/>
    <col min="2054" max="2054" width="9.109375" style="128"/>
    <col min="2055" max="2055" width="11.44140625" style="128" customWidth="1"/>
    <col min="2056" max="2061" width="9.109375" style="128"/>
    <col min="2062" max="2062" width="13.33203125" style="128" customWidth="1"/>
    <col min="2063" max="2304" width="9.109375" style="128"/>
    <col min="2305" max="2305" width="14.88671875" style="128" customWidth="1"/>
    <col min="2306" max="2306" width="15.44140625" style="128" customWidth="1"/>
    <col min="2307" max="2307" width="14" style="128" customWidth="1"/>
    <col min="2308" max="2308" width="8.88671875" style="128" customWidth="1"/>
    <col min="2309" max="2309" width="10.44140625" style="128" customWidth="1"/>
    <col min="2310" max="2310" width="9.109375" style="128"/>
    <col min="2311" max="2311" width="11.44140625" style="128" customWidth="1"/>
    <col min="2312" max="2317" width="9.109375" style="128"/>
    <col min="2318" max="2318" width="13.33203125" style="128" customWidth="1"/>
    <col min="2319" max="2560" width="9.109375" style="128"/>
    <col min="2561" max="2561" width="14.88671875" style="128" customWidth="1"/>
    <col min="2562" max="2562" width="15.44140625" style="128" customWidth="1"/>
    <col min="2563" max="2563" width="14" style="128" customWidth="1"/>
    <col min="2564" max="2564" width="8.88671875" style="128" customWidth="1"/>
    <col min="2565" max="2565" width="10.44140625" style="128" customWidth="1"/>
    <col min="2566" max="2566" width="9.109375" style="128"/>
    <col min="2567" max="2567" width="11.44140625" style="128" customWidth="1"/>
    <col min="2568" max="2573" width="9.109375" style="128"/>
    <col min="2574" max="2574" width="13.33203125" style="128" customWidth="1"/>
    <col min="2575" max="2816" width="9.109375" style="128"/>
    <col min="2817" max="2817" width="14.88671875" style="128" customWidth="1"/>
    <col min="2818" max="2818" width="15.44140625" style="128" customWidth="1"/>
    <col min="2819" max="2819" width="14" style="128" customWidth="1"/>
    <col min="2820" max="2820" width="8.88671875" style="128" customWidth="1"/>
    <col min="2821" max="2821" width="10.44140625" style="128" customWidth="1"/>
    <col min="2822" max="2822" width="9.109375" style="128"/>
    <col min="2823" max="2823" width="11.44140625" style="128" customWidth="1"/>
    <col min="2824" max="2829" width="9.109375" style="128"/>
    <col min="2830" max="2830" width="13.33203125" style="128" customWidth="1"/>
    <col min="2831" max="3072" width="9.109375" style="128"/>
    <col min="3073" max="3073" width="14.88671875" style="128" customWidth="1"/>
    <col min="3074" max="3074" width="15.44140625" style="128" customWidth="1"/>
    <col min="3075" max="3075" width="14" style="128" customWidth="1"/>
    <col min="3076" max="3076" width="8.88671875" style="128" customWidth="1"/>
    <col min="3077" max="3077" width="10.44140625" style="128" customWidth="1"/>
    <col min="3078" max="3078" width="9.109375" style="128"/>
    <col min="3079" max="3079" width="11.44140625" style="128" customWidth="1"/>
    <col min="3080" max="3085" width="9.109375" style="128"/>
    <col min="3086" max="3086" width="13.33203125" style="128" customWidth="1"/>
    <col min="3087" max="3328" width="9.109375" style="128"/>
    <col min="3329" max="3329" width="14.88671875" style="128" customWidth="1"/>
    <col min="3330" max="3330" width="15.44140625" style="128" customWidth="1"/>
    <col min="3331" max="3331" width="14" style="128" customWidth="1"/>
    <col min="3332" max="3332" width="8.88671875" style="128" customWidth="1"/>
    <col min="3333" max="3333" width="10.44140625" style="128" customWidth="1"/>
    <col min="3334" max="3334" width="9.109375" style="128"/>
    <col min="3335" max="3335" width="11.44140625" style="128" customWidth="1"/>
    <col min="3336" max="3341" width="9.109375" style="128"/>
    <col min="3342" max="3342" width="13.33203125" style="128" customWidth="1"/>
    <col min="3343" max="3584" width="9.109375" style="128"/>
    <col min="3585" max="3585" width="14.88671875" style="128" customWidth="1"/>
    <col min="3586" max="3586" width="15.44140625" style="128" customWidth="1"/>
    <col min="3587" max="3587" width="14" style="128" customWidth="1"/>
    <col min="3588" max="3588" width="8.88671875" style="128" customWidth="1"/>
    <col min="3589" max="3589" width="10.44140625" style="128" customWidth="1"/>
    <col min="3590" max="3590" width="9.109375" style="128"/>
    <col min="3591" max="3591" width="11.44140625" style="128" customWidth="1"/>
    <col min="3592" max="3597" width="9.109375" style="128"/>
    <col min="3598" max="3598" width="13.33203125" style="128" customWidth="1"/>
    <col min="3599" max="3840" width="9.109375" style="128"/>
    <col min="3841" max="3841" width="14.88671875" style="128" customWidth="1"/>
    <col min="3842" max="3842" width="15.44140625" style="128" customWidth="1"/>
    <col min="3843" max="3843" width="14" style="128" customWidth="1"/>
    <col min="3844" max="3844" width="8.88671875" style="128" customWidth="1"/>
    <col min="3845" max="3845" width="10.44140625" style="128" customWidth="1"/>
    <col min="3846" max="3846" width="9.109375" style="128"/>
    <col min="3847" max="3847" width="11.44140625" style="128" customWidth="1"/>
    <col min="3848" max="3853" width="9.109375" style="128"/>
    <col min="3854" max="3854" width="13.33203125" style="128" customWidth="1"/>
    <col min="3855" max="4096" width="9.109375" style="128"/>
    <col min="4097" max="4097" width="14.88671875" style="128" customWidth="1"/>
    <col min="4098" max="4098" width="15.44140625" style="128" customWidth="1"/>
    <col min="4099" max="4099" width="14" style="128" customWidth="1"/>
    <col min="4100" max="4100" width="8.88671875" style="128" customWidth="1"/>
    <col min="4101" max="4101" width="10.44140625" style="128" customWidth="1"/>
    <col min="4102" max="4102" width="9.109375" style="128"/>
    <col min="4103" max="4103" width="11.44140625" style="128" customWidth="1"/>
    <col min="4104" max="4109" width="9.109375" style="128"/>
    <col min="4110" max="4110" width="13.33203125" style="128" customWidth="1"/>
    <col min="4111" max="4352" width="9.109375" style="128"/>
    <col min="4353" max="4353" width="14.88671875" style="128" customWidth="1"/>
    <col min="4354" max="4354" width="15.44140625" style="128" customWidth="1"/>
    <col min="4355" max="4355" width="14" style="128" customWidth="1"/>
    <col min="4356" max="4356" width="8.88671875" style="128" customWidth="1"/>
    <col min="4357" max="4357" width="10.44140625" style="128" customWidth="1"/>
    <col min="4358" max="4358" width="9.109375" style="128"/>
    <col min="4359" max="4359" width="11.44140625" style="128" customWidth="1"/>
    <col min="4360" max="4365" width="9.109375" style="128"/>
    <col min="4366" max="4366" width="13.33203125" style="128" customWidth="1"/>
    <col min="4367" max="4608" width="9.109375" style="128"/>
    <col min="4609" max="4609" width="14.88671875" style="128" customWidth="1"/>
    <col min="4610" max="4610" width="15.44140625" style="128" customWidth="1"/>
    <col min="4611" max="4611" width="14" style="128" customWidth="1"/>
    <col min="4612" max="4612" width="8.88671875" style="128" customWidth="1"/>
    <col min="4613" max="4613" width="10.44140625" style="128" customWidth="1"/>
    <col min="4614" max="4614" width="9.109375" style="128"/>
    <col min="4615" max="4615" width="11.44140625" style="128" customWidth="1"/>
    <col min="4616" max="4621" width="9.109375" style="128"/>
    <col min="4622" max="4622" width="13.33203125" style="128" customWidth="1"/>
    <col min="4623" max="4864" width="9.109375" style="128"/>
    <col min="4865" max="4865" width="14.88671875" style="128" customWidth="1"/>
    <col min="4866" max="4866" width="15.44140625" style="128" customWidth="1"/>
    <col min="4867" max="4867" width="14" style="128" customWidth="1"/>
    <col min="4868" max="4868" width="8.88671875" style="128" customWidth="1"/>
    <col min="4869" max="4869" width="10.44140625" style="128" customWidth="1"/>
    <col min="4870" max="4870" width="9.109375" style="128"/>
    <col min="4871" max="4871" width="11.44140625" style="128" customWidth="1"/>
    <col min="4872" max="4877" width="9.109375" style="128"/>
    <col min="4878" max="4878" width="13.33203125" style="128" customWidth="1"/>
    <col min="4879" max="5120" width="9.109375" style="128"/>
    <col min="5121" max="5121" width="14.88671875" style="128" customWidth="1"/>
    <col min="5122" max="5122" width="15.44140625" style="128" customWidth="1"/>
    <col min="5123" max="5123" width="14" style="128" customWidth="1"/>
    <col min="5124" max="5124" width="8.88671875" style="128" customWidth="1"/>
    <col min="5125" max="5125" width="10.44140625" style="128" customWidth="1"/>
    <col min="5126" max="5126" width="9.109375" style="128"/>
    <col min="5127" max="5127" width="11.44140625" style="128" customWidth="1"/>
    <col min="5128" max="5133" width="9.109375" style="128"/>
    <col min="5134" max="5134" width="13.33203125" style="128" customWidth="1"/>
    <col min="5135" max="5376" width="9.109375" style="128"/>
    <col min="5377" max="5377" width="14.88671875" style="128" customWidth="1"/>
    <col min="5378" max="5378" width="15.44140625" style="128" customWidth="1"/>
    <col min="5379" max="5379" width="14" style="128" customWidth="1"/>
    <col min="5380" max="5380" width="8.88671875" style="128" customWidth="1"/>
    <col min="5381" max="5381" width="10.44140625" style="128" customWidth="1"/>
    <col min="5382" max="5382" width="9.109375" style="128"/>
    <col min="5383" max="5383" width="11.44140625" style="128" customWidth="1"/>
    <col min="5384" max="5389" width="9.109375" style="128"/>
    <col min="5390" max="5390" width="13.33203125" style="128" customWidth="1"/>
    <col min="5391" max="5632" width="9.109375" style="128"/>
    <col min="5633" max="5633" width="14.88671875" style="128" customWidth="1"/>
    <col min="5634" max="5634" width="15.44140625" style="128" customWidth="1"/>
    <col min="5635" max="5635" width="14" style="128" customWidth="1"/>
    <col min="5636" max="5636" width="8.88671875" style="128" customWidth="1"/>
    <col min="5637" max="5637" width="10.44140625" style="128" customWidth="1"/>
    <col min="5638" max="5638" width="9.109375" style="128"/>
    <col min="5639" max="5639" width="11.44140625" style="128" customWidth="1"/>
    <col min="5640" max="5645" width="9.109375" style="128"/>
    <col min="5646" max="5646" width="13.33203125" style="128" customWidth="1"/>
    <col min="5647" max="5888" width="9.109375" style="128"/>
    <col min="5889" max="5889" width="14.88671875" style="128" customWidth="1"/>
    <col min="5890" max="5890" width="15.44140625" style="128" customWidth="1"/>
    <col min="5891" max="5891" width="14" style="128" customWidth="1"/>
    <col min="5892" max="5892" width="8.88671875" style="128" customWidth="1"/>
    <col min="5893" max="5893" width="10.44140625" style="128" customWidth="1"/>
    <col min="5894" max="5894" width="9.109375" style="128"/>
    <col min="5895" max="5895" width="11.44140625" style="128" customWidth="1"/>
    <col min="5896" max="5901" width="9.109375" style="128"/>
    <col min="5902" max="5902" width="13.33203125" style="128" customWidth="1"/>
    <col min="5903" max="6144" width="9.109375" style="128"/>
    <col min="6145" max="6145" width="14.88671875" style="128" customWidth="1"/>
    <col min="6146" max="6146" width="15.44140625" style="128" customWidth="1"/>
    <col min="6147" max="6147" width="14" style="128" customWidth="1"/>
    <col min="6148" max="6148" width="8.88671875" style="128" customWidth="1"/>
    <col min="6149" max="6149" width="10.44140625" style="128" customWidth="1"/>
    <col min="6150" max="6150" width="9.109375" style="128"/>
    <col min="6151" max="6151" width="11.44140625" style="128" customWidth="1"/>
    <col min="6152" max="6157" width="9.109375" style="128"/>
    <col min="6158" max="6158" width="13.33203125" style="128" customWidth="1"/>
    <col min="6159" max="6400" width="9.109375" style="128"/>
    <col min="6401" max="6401" width="14.88671875" style="128" customWidth="1"/>
    <col min="6402" max="6402" width="15.44140625" style="128" customWidth="1"/>
    <col min="6403" max="6403" width="14" style="128" customWidth="1"/>
    <col min="6404" max="6404" width="8.88671875" style="128" customWidth="1"/>
    <col min="6405" max="6405" width="10.44140625" style="128" customWidth="1"/>
    <col min="6406" max="6406" width="9.109375" style="128"/>
    <col min="6407" max="6407" width="11.44140625" style="128" customWidth="1"/>
    <col min="6408" max="6413" width="9.109375" style="128"/>
    <col min="6414" max="6414" width="13.33203125" style="128" customWidth="1"/>
    <col min="6415" max="6656" width="9.109375" style="128"/>
    <col min="6657" max="6657" width="14.88671875" style="128" customWidth="1"/>
    <col min="6658" max="6658" width="15.44140625" style="128" customWidth="1"/>
    <col min="6659" max="6659" width="14" style="128" customWidth="1"/>
    <col min="6660" max="6660" width="8.88671875" style="128" customWidth="1"/>
    <col min="6661" max="6661" width="10.44140625" style="128" customWidth="1"/>
    <col min="6662" max="6662" width="9.109375" style="128"/>
    <col min="6663" max="6663" width="11.44140625" style="128" customWidth="1"/>
    <col min="6664" max="6669" width="9.109375" style="128"/>
    <col min="6670" max="6670" width="13.33203125" style="128" customWidth="1"/>
    <col min="6671" max="6912" width="9.109375" style="128"/>
    <col min="6913" max="6913" width="14.88671875" style="128" customWidth="1"/>
    <col min="6914" max="6914" width="15.44140625" style="128" customWidth="1"/>
    <col min="6915" max="6915" width="14" style="128" customWidth="1"/>
    <col min="6916" max="6916" width="8.88671875" style="128" customWidth="1"/>
    <col min="6917" max="6917" width="10.44140625" style="128" customWidth="1"/>
    <col min="6918" max="6918" width="9.109375" style="128"/>
    <col min="6919" max="6919" width="11.44140625" style="128" customWidth="1"/>
    <col min="6920" max="6925" width="9.109375" style="128"/>
    <col min="6926" max="6926" width="13.33203125" style="128" customWidth="1"/>
    <col min="6927" max="7168" width="9.109375" style="128"/>
    <col min="7169" max="7169" width="14.88671875" style="128" customWidth="1"/>
    <col min="7170" max="7170" width="15.44140625" style="128" customWidth="1"/>
    <col min="7171" max="7171" width="14" style="128" customWidth="1"/>
    <col min="7172" max="7172" width="8.88671875" style="128" customWidth="1"/>
    <col min="7173" max="7173" width="10.44140625" style="128" customWidth="1"/>
    <col min="7174" max="7174" width="9.109375" style="128"/>
    <col min="7175" max="7175" width="11.44140625" style="128" customWidth="1"/>
    <col min="7176" max="7181" width="9.109375" style="128"/>
    <col min="7182" max="7182" width="13.33203125" style="128" customWidth="1"/>
    <col min="7183" max="7424" width="9.109375" style="128"/>
    <col min="7425" max="7425" width="14.88671875" style="128" customWidth="1"/>
    <col min="7426" max="7426" width="15.44140625" style="128" customWidth="1"/>
    <col min="7427" max="7427" width="14" style="128" customWidth="1"/>
    <col min="7428" max="7428" width="8.88671875" style="128" customWidth="1"/>
    <col min="7429" max="7429" width="10.44140625" style="128" customWidth="1"/>
    <col min="7430" max="7430" width="9.109375" style="128"/>
    <col min="7431" max="7431" width="11.44140625" style="128" customWidth="1"/>
    <col min="7432" max="7437" width="9.109375" style="128"/>
    <col min="7438" max="7438" width="13.33203125" style="128" customWidth="1"/>
    <col min="7439" max="7680" width="9.109375" style="128"/>
    <col min="7681" max="7681" width="14.88671875" style="128" customWidth="1"/>
    <col min="7682" max="7682" width="15.44140625" style="128" customWidth="1"/>
    <col min="7683" max="7683" width="14" style="128" customWidth="1"/>
    <col min="7684" max="7684" width="8.88671875" style="128" customWidth="1"/>
    <col min="7685" max="7685" width="10.44140625" style="128" customWidth="1"/>
    <col min="7686" max="7686" width="9.109375" style="128"/>
    <col min="7687" max="7687" width="11.44140625" style="128" customWidth="1"/>
    <col min="7688" max="7693" width="9.109375" style="128"/>
    <col min="7694" max="7694" width="13.33203125" style="128" customWidth="1"/>
    <col min="7695" max="7936" width="9.109375" style="128"/>
    <col min="7937" max="7937" width="14.88671875" style="128" customWidth="1"/>
    <col min="7938" max="7938" width="15.44140625" style="128" customWidth="1"/>
    <col min="7939" max="7939" width="14" style="128" customWidth="1"/>
    <col min="7940" max="7940" width="8.88671875" style="128" customWidth="1"/>
    <col min="7941" max="7941" width="10.44140625" style="128" customWidth="1"/>
    <col min="7942" max="7942" width="9.109375" style="128"/>
    <col min="7943" max="7943" width="11.44140625" style="128" customWidth="1"/>
    <col min="7944" max="7949" width="9.109375" style="128"/>
    <col min="7950" max="7950" width="13.33203125" style="128" customWidth="1"/>
    <col min="7951" max="8192" width="9.109375" style="128"/>
    <col min="8193" max="8193" width="14.88671875" style="128" customWidth="1"/>
    <col min="8194" max="8194" width="15.44140625" style="128" customWidth="1"/>
    <col min="8195" max="8195" width="14" style="128" customWidth="1"/>
    <col min="8196" max="8196" width="8.88671875" style="128" customWidth="1"/>
    <col min="8197" max="8197" width="10.44140625" style="128" customWidth="1"/>
    <col min="8198" max="8198" width="9.109375" style="128"/>
    <col min="8199" max="8199" width="11.44140625" style="128" customWidth="1"/>
    <col min="8200" max="8205" width="9.109375" style="128"/>
    <col min="8206" max="8206" width="13.33203125" style="128" customWidth="1"/>
    <col min="8207" max="8448" width="9.109375" style="128"/>
    <col min="8449" max="8449" width="14.88671875" style="128" customWidth="1"/>
    <col min="8450" max="8450" width="15.44140625" style="128" customWidth="1"/>
    <col min="8451" max="8451" width="14" style="128" customWidth="1"/>
    <col min="8452" max="8452" width="8.88671875" style="128" customWidth="1"/>
    <col min="8453" max="8453" width="10.44140625" style="128" customWidth="1"/>
    <col min="8454" max="8454" width="9.109375" style="128"/>
    <col min="8455" max="8455" width="11.44140625" style="128" customWidth="1"/>
    <col min="8456" max="8461" width="9.109375" style="128"/>
    <col min="8462" max="8462" width="13.33203125" style="128" customWidth="1"/>
    <col min="8463" max="8704" width="9.109375" style="128"/>
    <col min="8705" max="8705" width="14.88671875" style="128" customWidth="1"/>
    <col min="8706" max="8706" width="15.44140625" style="128" customWidth="1"/>
    <col min="8707" max="8707" width="14" style="128" customWidth="1"/>
    <col min="8708" max="8708" width="8.88671875" style="128" customWidth="1"/>
    <col min="8709" max="8709" width="10.44140625" style="128" customWidth="1"/>
    <col min="8710" max="8710" width="9.109375" style="128"/>
    <col min="8711" max="8711" width="11.44140625" style="128" customWidth="1"/>
    <col min="8712" max="8717" width="9.109375" style="128"/>
    <col min="8718" max="8718" width="13.33203125" style="128" customWidth="1"/>
    <col min="8719" max="8960" width="9.109375" style="128"/>
    <col min="8961" max="8961" width="14.88671875" style="128" customWidth="1"/>
    <col min="8962" max="8962" width="15.44140625" style="128" customWidth="1"/>
    <col min="8963" max="8963" width="14" style="128" customWidth="1"/>
    <col min="8964" max="8964" width="8.88671875" style="128" customWidth="1"/>
    <col min="8965" max="8965" width="10.44140625" style="128" customWidth="1"/>
    <col min="8966" max="8966" width="9.109375" style="128"/>
    <col min="8967" max="8967" width="11.44140625" style="128" customWidth="1"/>
    <col min="8968" max="8973" width="9.109375" style="128"/>
    <col min="8974" max="8974" width="13.33203125" style="128" customWidth="1"/>
    <col min="8975" max="9216" width="9.109375" style="128"/>
    <col min="9217" max="9217" width="14.88671875" style="128" customWidth="1"/>
    <col min="9218" max="9218" width="15.44140625" style="128" customWidth="1"/>
    <col min="9219" max="9219" width="14" style="128" customWidth="1"/>
    <col min="9220" max="9220" width="8.88671875" style="128" customWidth="1"/>
    <col min="9221" max="9221" width="10.44140625" style="128" customWidth="1"/>
    <col min="9222" max="9222" width="9.109375" style="128"/>
    <col min="9223" max="9223" width="11.44140625" style="128" customWidth="1"/>
    <col min="9224" max="9229" width="9.109375" style="128"/>
    <col min="9230" max="9230" width="13.33203125" style="128" customWidth="1"/>
    <col min="9231" max="9472" width="9.109375" style="128"/>
    <col min="9473" max="9473" width="14.88671875" style="128" customWidth="1"/>
    <col min="9474" max="9474" width="15.44140625" style="128" customWidth="1"/>
    <col min="9475" max="9475" width="14" style="128" customWidth="1"/>
    <col min="9476" max="9476" width="8.88671875" style="128" customWidth="1"/>
    <col min="9477" max="9477" width="10.44140625" style="128" customWidth="1"/>
    <col min="9478" max="9478" width="9.109375" style="128"/>
    <col min="9479" max="9479" width="11.44140625" style="128" customWidth="1"/>
    <col min="9480" max="9485" width="9.109375" style="128"/>
    <col min="9486" max="9486" width="13.33203125" style="128" customWidth="1"/>
    <col min="9487" max="9728" width="9.109375" style="128"/>
    <col min="9729" max="9729" width="14.88671875" style="128" customWidth="1"/>
    <col min="9730" max="9730" width="15.44140625" style="128" customWidth="1"/>
    <col min="9731" max="9731" width="14" style="128" customWidth="1"/>
    <col min="9732" max="9732" width="8.88671875" style="128" customWidth="1"/>
    <col min="9733" max="9733" width="10.44140625" style="128" customWidth="1"/>
    <col min="9734" max="9734" width="9.109375" style="128"/>
    <col min="9735" max="9735" width="11.44140625" style="128" customWidth="1"/>
    <col min="9736" max="9741" width="9.109375" style="128"/>
    <col min="9742" max="9742" width="13.33203125" style="128" customWidth="1"/>
    <col min="9743" max="9984" width="9.109375" style="128"/>
    <col min="9985" max="9985" width="14.88671875" style="128" customWidth="1"/>
    <col min="9986" max="9986" width="15.44140625" style="128" customWidth="1"/>
    <col min="9987" max="9987" width="14" style="128" customWidth="1"/>
    <col min="9988" max="9988" width="8.88671875" style="128" customWidth="1"/>
    <col min="9989" max="9989" width="10.44140625" style="128" customWidth="1"/>
    <col min="9990" max="9990" width="9.109375" style="128"/>
    <col min="9991" max="9991" width="11.44140625" style="128" customWidth="1"/>
    <col min="9992" max="9997" width="9.109375" style="128"/>
    <col min="9998" max="9998" width="13.33203125" style="128" customWidth="1"/>
    <col min="9999" max="10240" width="9.109375" style="128"/>
    <col min="10241" max="10241" width="14.88671875" style="128" customWidth="1"/>
    <col min="10242" max="10242" width="15.44140625" style="128" customWidth="1"/>
    <col min="10243" max="10243" width="14" style="128" customWidth="1"/>
    <col min="10244" max="10244" width="8.88671875" style="128" customWidth="1"/>
    <col min="10245" max="10245" width="10.44140625" style="128" customWidth="1"/>
    <col min="10246" max="10246" width="9.109375" style="128"/>
    <col min="10247" max="10247" width="11.44140625" style="128" customWidth="1"/>
    <col min="10248" max="10253" width="9.109375" style="128"/>
    <col min="10254" max="10254" width="13.33203125" style="128" customWidth="1"/>
    <col min="10255" max="10496" width="9.109375" style="128"/>
    <col min="10497" max="10497" width="14.88671875" style="128" customWidth="1"/>
    <col min="10498" max="10498" width="15.44140625" style="128" customWidth="1"/>
    <col min="10499" max="10499" width="14" style="128" customWidth="1"/>
    <col min="10500" max="10500" width="8.88671875" style="128" customWidth="1"/>
    <col min="10501" max="10501" width="10.44140625" style="128" customWidth="1"/>
    <col min="10502" max="10502" width="9.109375" style="128"/>
    <col min="10503" max="10503" width="11.44140625" style="128" customWidth="1"/>
    <col min="10504" max="10509" width="9.109375" style="128"/>
    <col min="10510" max="10510" width="13.33203125" style="128" customWidth="1"/>
    <col min="10511" max="10752" width="9.109375" style="128"/>
    <col min="10753" max="10753" width="14.88671875" style="128" customWidth="1"/>
    <col min="10754" max="10754" width="15.44140625" style="128" customWidth="1"/>
    <col min="10755" max="10755" width="14" style="128" customWidth="1"/>
    <col min="10756" max="10756" width="8.88671875" style="128" customWidth="1"/>
    <col min="10757" max="10757" width="10.44140625" style="128" customWidth="1"/>
    <col min="10758" max="10758" width="9.109375" style="128"/>
    <col min="10759" max="10759" width="11.44140625" style="128" customWidth="1"/>
    <col min="10760" max="10765" width="9.109375" style="128"/>
    <col min="10766" max="10766" width="13.33203125" style="128" customWidth="1"/>
    <col min="10767" max="11008" width="9.109375" style="128"/>
    <col min="11009" max="11009" width="14.88671875" style="128" customWidth="1"/>
    <col min="11010" max="11010" width="15.44140625" style="128" customWidth="1"/>
    <col min="11011" max="11011" width="14" style="128" customWidth="1"/>
    <col min="11012" max="11012" width="8.88671875" style="128" customWidth="1"/>
    <col min="11013" max="11013" width="10.44140625" style="128" customWidth="1"/>
    <col min="11014" max="11014" width="9.109375" style="128"/>
    <col min="11015" max="11015" width="11.44140625" style="128" customWidth="1"/>
    <col min="11016" max="11021" width="9.109375" style="128"/>
    <col min="11022" max="11022" width="13.33203125" style="128" customWidth="1"/>
    <col min="11023" max="11264" width="9.109375" style="128"/>
    <col min="11265" max="11265" width="14.88671875" style="128" customWidth="1"/>
    <col min="11266" max="11266" width="15.44140625" style="128" customWidth="1"/>
    <col min="11267" max="11267" width="14" style="128" customWidth="1"/>
    <col min="11268" max="11268" width="8.88671875" style="128" customWidth="1"/>
    <col min="11269" max="11269" width="10.44140625" style="128" customWidth="1"/>
    <col min="11270" max="11270" width="9.109375" style="128"/>
    <col min="11271" max="11271" width="11.44140625" style="128" customWidth="1"/>
    <col min="11272" max="11277" width="9.109375" style="128"/>
    <col min="11278" max="11278" width="13.33203125" style="128" customWidth="1"/>
    <col min="11279" max="11520" width="9.109375" style="128"/>
    <col min="11521" max="11521" width="14.88671875" style="128" customWidth="1"/>
    <col min="11522" max="11522" width="15.44140625" style="128" customWidth="1"/>
    <col min="11523" max="11523" width="14" style="128" customWidth="1"/>
    <col min="11524" max="11524" width="8.88671875" style="128" customWidth="1"/>
    <col min="11525" max="11525" width="10.44140625" style="128" customWidth="1"/>
    <col min="11526" max="11526" width="9.109375" style="128"/>
    <col min="11527" max="11527" width="11.44140625" style="128" customWidth="1"/>
    <col min="11528" max="11533" width="9.109375" style="128"/>
    <col min="11534" max="11534" width="13.33203125" style="128" customWidth="1"/>
    <col min="11535" max="11776" width="9.109375" style="128"/>
    <col min="11777" max="11777" width="14.88671875" style="128" customWidth="1"/>
    <col min="11778" max="11778" width="15.44140625" style="128" customWidth="1"/>
    <col min="11779" max="11779" width="14" style="128" customWidth="1"/>
    <col min="11780" max="11780" width="8.88671875" style="128" customWidth="1"/>
    <col min="11781" max="11781" width="10.44140625" style="128" customWidth="1"/>
    <col min="11782" max="11782" width="9.109375" style="128"/>
    <col min="11783" max="11783" width="11.44140625" style="128" customWidth="1"/>
    <col min="11784" max="11789" width="9.109375" style="128"/>
    <col min="11790" max="11790" width="13.33203125" style="128" customWidth="1"/>
    <col min="11791" max="12032" width="9.109375" style="128"/>
    <col min="12033" max="12033" width="14.88671875" style="128" customWidth="1"/>
    <col min="12034" max="12034" width="15.44140625" style="128" customWidth="1"/>
    <col min="12035" max="12035" width="14" style="128" customWidth="1"/>
    <col min="12036" max="12036" width="8.88671875" style="128" customWidth="1"/>
    <col min="12037" max="12037" width="10.44140625" style="128" customWidth="1"/>
    <col min="12038" max="12038" width="9.109375" style="128"/>
    <col min="12039" max="12039" width="11.44140625" style="128" customWidth="1"/>
    <col min="12040" max="12045" width="9.109375" style="128"/>
    <col min="12046" max="12046" width="13.33203125" style="128" customWidth="1"/>
    <col min="12047" max="12288" width="9.109375" style="128"/>
    <col min="12289" max="12289" width="14.88671875" style="128" customWidth="1"/>
    <col min="12290" max="12290" width="15.44140625" style="128" customWidth="1"/>
    <col min="12291" max="12291" width="14" style="128" customWidth="1"/>
    <col min="12292" max="12292" width="8.88671875" style="128" customWidth="1"/>
    <col min="12293" max="12293" width="10.44140625" style="128" customWidth="1"/>
    <col min="12294" max="12294" width="9.109375" style="128"/>
    <col min="12295" max="12295" width="11.44140625" style="128" customWidth="1"/>
    <col min="12296" max="12301" width="9.109375" style="128"/>
    <col min="12302" max="12302" width="13.33203125" style="128" customWidth="1"/>
    <col min="12303" max="12544" width="9.109375" style="128"/>
    <col min="12545" max="12545" width="14.88671875" style="128" customWidth="1"/>
    <col min="12546" max="12546" width="15.44140625" style="128" customWidth="1"/>
    <col min="12547" max="12547" width="14" style="128" customWidth="1"/>
    <col min="12548" max="12548" width="8.88671875" style="128" customWidth="1"/>
    <col min="12549" max="12549" width="10.44140625" style="128" customWidth="1"/>
    <col min="12550" max="12550" width="9.109375" style="128"/>
    <col min="12551" max="12551" width="11.44140625" style="128" customWidth="1"/>
    <col min="12552" max="12557" width="9.109375" style="128"/>
    <col min="12558" max="12558" width="13.33203125" style="128" customWidth="1"/>
    <col min="12559" max="12800" width="9.109375" style="128"/>
    <col min="12801" max="12801" width="14.88671875" style="128" customWidth="1"/>
    <col min="12802" max="12802" width="15.44140625" style="128" customWidth="1"/>
    <col min="12803" max="12803" width="14" style="128" customWidth="1"/>
    <col min="12804" max="12804" width="8.88671875" style="128" customWidth="1"/>
    <col min="12805" max="12805" width="10.44140625" style="128" customWidth="1"/>
    <col min="12806" max="12806" width="9.109375" style="128"/>
    <col min="12807" max="12807" width="11.44140625" style="128" customWidth="1"/>
    <col min="12808" max="12813" width="9.109375" style="128"/>
    <col min="12814" max="12814" width="13.33203125" style="128" customWidth="1"/>
    <col min="12815" max="13056" width="9.109375" style="128"/>
    <col min="13057" max="13057" width="14.88671875" style="128" customWidth="1"/>
    <col min="13058" max="13058" width="15.44140625" style="128" customWidth="1"/>
    <col min="13059" max="13059" width="14" style="128" customWidth="1"/>
    <col min="13060" max="13060" width="8.88671875" style="128" customWidth="1"/>
    <col min="13061" max="13061" width="10.44140625" style="128" customWidth="1"/>
    <col min="13062" max="13062" width="9.109375" style="128"/>
    <col min="13063" max="13063" width="11.44140625" style="128" customWidth="1"/>
    <col min="13064" max="13069" width="9.109375" style="128"/>
    <col min="13070" max="13070" width="13.33203125" style="128" customWidth="1"/>
    <col min="13071" max="13312" width="9.109375" style="128"/>
    <col min="13313" max="13313" width="14.88671875" style="128" customWidth="1"/>
    <col min="13314" max="13314" width="15.44140625" style="128" customWidth="1"/>
    <col min="13315" max="13315" width="14" style="128" customWidth="1"/>
    <col min="13316" max="13316" width="8.88671875" style="128" customWidth="1"/>
    <col min="13317" max="13317" width="10.44140625" style="128" customWidth="1"/>
    <col min="13318" max="13318" width="9.109375" style="128"/>
    <col min="13319" max="13319" width="11.44140625" style="128" customWidth="1"/>
    <col min="13320" max="13325" width="9.109375" style="128"/>
    <col min="13326" max="13326" width="13.33203125" style="128" customWidth="1"/>
    <col min="13327" max="13568" width="9.109375" style="128"/>
    <col min="13569" max="13569" width="14.88671875" style="128" customWidth="1"/>
    <col min="13570" max="13570" width="15.44140625" style="128" customWidth="1"/>
    <col min="13571" max="13571" width="14" style="128" customWidth="1"/>
    <col min="13572" max="13572" width="8.88671875" style="128" customWidth="1"/>
    <col min="13573" max="13573" width="10.44140625" style="128" customWidth="1"/>
    <col min="13574" max="13574" width="9.109375" style="128"/>
    <col min="13575" max="13575" width="11.44140625" style="128" customWidth="1"/>
    <col min="13576" max="13581" width="9.109375" style="128"/>
    <col min="13582" max="13582" width="13.33203125" style="128" customWidth="1"/>
    <col min="13583" max="13824" width="9.109375" style="128"/>
    <col min="13825" max="13825" width="14.88671875" style="128" customWidth="1"/>
    <col min="13826" max="13826" width="15.44140625" style="128" customWidth="1"/>
    <col min="13827" max="13827" width="14" style="128" customWidth="1"/>
    <col min="13828" max="13828" width="8.88671875" style="128" customWidth="1"/>
    <col min="13829" max="13829" width="10.44140625" style="128" customWidth="1"/>
    <col min="13830" max="13830" width="9.109375" style="128"/>
    <col min="13831" max="13831" width="11.44140625" style="128" customWidth="1"/>
    <col min="13832" max="13837" width="9.109375" style="128"/>
    <col min="13838" max="13838" width="13.33203125" style="128" customWidth="1"/>
    <col min="13839" max="14080" width="9.109375" style="128"/>
    <col min="14081" max="14081" width="14.88671875" style="128" customWidth="1"/>
    <col min="14082" max="14082" width="15.44140625" style="128" customWidth="1"/>
    <col min="14083" max="14083" width="14" style="128" customWidth="1"/>
    <col min="14084" max="14084" width="8.88671875" style="128" customWidth="1"/>
    <col min="14085" max="14085" width="10.44140625" style="128" customWidth="1"/>
    <col min="14086" max="14086" width="9.109375" style="128"/>
    <col min="14087" max="14087" width="11.44140625" style="128" customWidth="1"/>
    <col min="14088" max="14093" width="9.109375" style="128"/>
    <col min="14094" max="14094" width="13.33203125" style="128" customWidth="1"/>
    <col min="14095" max="14336" width="9.109375" style="128"/>
    <col min="14337" max="14337" width="14.88671875" style="128" customWidth="1"/>
    <col min="14338" max="14338" width="15.44140625" style="128" customWidth="1"/>
    <col min="14339" max="14339" width="14" style="128" customWidth="1"/>
    <col min="14340" max="14340" width="8.88671875" style="128" customWidth="1"/>
    <col min="14341" max="14341" width="10.44140625" style="128" customWidth="1"/>
    <col min="14342" max="14342" width="9.109375" style="128"/>
    <col min="14343" max="14343" width="11.44140625" style="128" customWidth="1"/>
    <col min="14344" max="14349" width="9.109375" style="128"/>
    <col min="14350" max="14350" width="13.33203125" style="128" customWidth="1"/>
    <col min="14351" max="14592" width="9.109375" style="128"/>
    <col min="14593" max="14593" width="14.88671875" style="128" customWidth="1"/>
    <col min="14594" max="14594" width="15.44140625" style="128" customWidth="1"/>
    <col min="14595" max="14595" width="14" style="128" customWidth="1"/>
    <col min="14596" max="14596" width="8.88671875" style="128" customWidth="1"/>
    <col min="14597" max="14597" width="10.44140625" style="128" customWidth="1"/>
    <col min="14598" max="14598" width="9.109375" style="128"/>
    <col min="14599" max="14599" width="11.44140625" style="128" customWidth="1"/>
    <col min="14600" max="14605" width="9.109375" style="128"/>
    <col min="14606" max="14606" width="13.33203125" style="128" customWidth="1"/>
    <col min="14607" max="14848" width="9.109375" style="128"/>
    <col min="14849" max="14849" width="14.88671875" style="128" customWidth="1"/>
    <col min="14850" max="14850" width="15.44140625" style="128" customWidth="1"/>
    <col min="14851" max="14851" width="14" style="128" customWidth="1"/>
    <col min="14852" max="14852" width="8.88671875" style="128" customWidth="1"/>
    <col min="14853" max="14853" width="10.44140625" style="128" customWidth="1"/>
    <col min="14854" max="14854" width="9.109375" style="128"/>
    <col min="14855" max="14855" width="11.44140625" style="128" customWidth="1"/>
    <col min="14856" max="14861" width="9.109375" style="128"/>
    <col min="14862" max="14862" width="13.33203125" style="128" customWidth="1"/>
    <col min="14863" max="15104" width="9.109375" style="128"/>
    <col min="15105" max="15105" width="14.88671875" style="128" customWidth="1"/>
    <col min="15106" max="15106" width="15.44140625" style="128" customWidth="1"/>
    <col min="15107" max="15107" width="14" style="128" customWidth="1"/>
    <col min="15108" max="15108" width="8.88671875" style="128" customWidth="1"/>
    <col min="15109" max="15109" width="10.44140625" style="128" customWidth="1"/>
    <col min="15110" max="15110" width="9.109375" style="128"/>
    <col min="15111" max="15111" width="11.44140625" style="128" customWidth="1"/>
    <col min="15112" max="15117" width="9.109375" style="128"/>
    <col min="15118" max="15118" width="13.33203125" style="128" customWidth="1"/>
    <col min="15119" max="15360" width="9.109375" style="128"/>
    <col min="15361" max="15361" width="14.88671875" style="128" customWidth="1"/>
    <col min="15362" max="15362" width="15.44140625" style="128" customWidth="1"/>
    <col min="15363" max="15363" width="14" style="128" customWidth="1"/>
    <col min="15364" max="15364" width="8.88671875" style="128" customWidth="1"/>
    <col min="15365" max="15365" width="10.44140625" style="128" customWidth="1"/>
    <col min="15366" max="15366" width="9.109375" style="128"/>
    <col min="15367" max="15367" width="11.44140625" style="128" customWidth="1"/>
    <col min="15368" max="15373" width="9.109375" style="128"/>
    <col min="15374" max="15374" width="13.33203125" style="128" customWidth="1"/>
    <col min="15375" max="15616" width="9.109375" style="128"/>
    <col min="15617" max="15617" width="14.88671875" style="128" customWidth="1"/>
    <col min="15618" max="15618" width="15.44140625" style="128" customWidth="1"/>
    <col min="15619" max="15619" width="14" style="128" customWidth="1"/>
    <col min="15620" max="15620" width="8.88671875" style="128" customWidth="1"/>
    <col min="15621" max="15621" width="10.44140625" style="128" customWidth="1"/>
    <col min="15622" max="15622" width="9.109375" style="128"/>
    <col min="15623" max="15623" width="11.44140625" style="128" customWidth="1"/>
    <col min="15624" max="15629" width="9.109375" style="128"/>
    <col min="15630" max="15630" width="13.33203125" style="128" customWidth="1"/>
    <col min="15631" max="15872" width="9.109375" style="128"/>
    <col min="15873" max="15873" width="14.88671875" style="128" customWidth="1"/>
    <col min="15874" max="15874" width="15.44140625" style="128" customWidth="1"/>
    <col min="15875" max="15875" width="14" style="128" customWidth="1"/>
    <col min="15876" max="15876" width="8.88671875" style="128" customWidth="1"/>
    <col min="15877" max="15877" width="10.44140625" style="128" customWidth="1"/>
    <col min="15878" max="15878" width="9.109375" style="128"/>
    <col min="15879" max="15879" width="11.44140625" style="128" customWidth="1"/>
    <col min="15880" max="15885" width="9.109375" style="128"/>
    <col min="15886" max="15886" width="13.33203125" style="128" customWidth="1"/>
    <col min="15887" max="16128" width="9.109375" style="128"/>
    <col min="16129" max="16129" width="14.88671875" style="128" customWidth="1"/>
    <col min="16130" max="16130" width="15.44140625" style="128" customWidth="1"/>
    <col min="16131" max="16131" width="14" style="128" customWidth="1"/>
    <col min="16132" max="16132" width="8.88671875" style="128" customWidth="1"/>
    <col min="16133" max="16133" width="10.44140625" style="128" customWidth="1"/>
    <col min="16134" max="16134" width="9.109375" style="128"/>
    <col min="16135" max="16135" width="11.44140625" style="128" customWidth="1"/>
    <col min="16136" max="16141" width="9.109375" style="128"/>
    <col min="16142" max="16142" width="13.33203125" style="128" customWidth="1"/>
    <col min="16143" max="16384" width="9.109375" style="128"/>
  </cols>
  <sheetData>
    <row r="1" spans="1:6" ht="15" customHeight="1" x14ac:dyDescent="0.25">
      <c r="A1" s="1173" t="s">
        <v>319</v>
      </c>
      <c r="B1" s="1173"/>
      <c r="C1" s="1173" t="s">
        <v>320</v>
      </c>
      <c r="D1" s="1173"/>
    </row>
    <row r="3" spans="1:6" x14ac:dyDescent="0.25">
      <c r="A3" s="129" t="s">
        <v>321</v>
      </c>
      <c r="B3" s="129" t="s">
        <v>322</v>
      </c>
      <c r="C3" s="129" t="s">
        <v>837</v>
      </c>
      <c r="D3" s="129" t="s">
        <v>836</v>
      </c>
      <c r="E3" s="129" t="s">
        <v>838</v>
      </c>
      <c r="F3" s="129" t="s">
        <v>839</v>
      </c>
    </row>
    <row r="4" spans="1:6" x14ac:dyDescent="0.25">
      <c r="A4" s="129" t="s">
        <v>327</v>
      </c>
      <c r="B4" s="129">
        <v>4</v>
      </c>
      <c r="C4" s="129">
        <v>2</v>
      </c>
      <c r="D4" s="129">
        <v>2</v>
      </c>
      <c r="E4" s="129">
        <v>7</v>
      </c>
      <c r="F4" s="129">
        <v>8</v>
      </c>
    </row>
    <row r="5" spans="1:6" x14ac:dyDescent="0.25">
      <c r="A5" s="129" t="s">
        <v>331</v>
      </c>
      <c r="B5" s="129">
        <v>4</v>
      </c>
      <c r="C5" s="129">
        <v>3</v>
      </c>
      <c r="D5" s="129">
        <v>1</v>
      </c>
      <c r="E5" s="129">
        <v>12</v>
      </c>
      <c r="F5" s="129">
        <v>5</v>
      </c>
    </row>
    <row r="6" spans="1:6" x14ac:dyDescent="0.25">
      <c r="A6" s="129" t="s">
        <v>326</v>
      </c>
      <c r="B6" s="129">
        <v>3</v>
      </c>
      <c r="C6" s="129">
        <v>2</v>
      </c>
      <c r="D6" s="129">
        <v>1</v>
      </c>
      <c r="E6" s="129">
        <v>9</v>
      </c>
      <c r="F6" s="129">
        <v>6</v>
      </c>
    </row>
    <row r="7" spans="1:6" x14ac:dyDescent="0.25">
      <c r="A7" s="129" t="s">
        <v>330</v>
      </c>
      <c r="B7" s="129">
        <v>1</v>
      </c>
      <c r="C7" s="129">
        <v>1</v>
      </c>
      <c r="D7" s="129">
        <v>0</v>
      </c>
      <c r="E7" s="129">
        <v>3</v>
      </c>
      <c r="F7" s="129">
        <v>0</v>
      </c>
    </row>
    <row r="8" spans="1:6" x14ac:dyDescent="0.25">
      <c r="A8" s="129" t="s">
        <v>6179</v>
      </c>
      <c r="B8" s="129">
        <v>2</v>
      </c>
      <c r="C8" s="129">
        <v>2</v>
      </c>
      <c r="D8" s="129">
        <v>0</v>
      </c>
      <c r="E8" s="129">
        <v>8</v>
      </c>
      <c r="F8" s="129">
        <v>3</v>
      </c>
    </row>
    <row r="9" spans="1:6" x14ac:dyDescent="0.25">
      <c r="A9" s="129" t="s">
        <v>334</v>
      </c>
      <c r="B9" s="129">
        <v>4</v>
      </c>
      <c r="C9" s="129">
        <v>1</v>
      </c>
      <c r="D9" s="129">
        <v>3</v>
      </c>
      <c r="E9" s="129">
        <v>7</v>
      </c>
      <c r="F9" s="129">
        <v>13</v>
      </c>
    </row>
    <row r="10" spans="1:6" x14ac:dyDescent="0.25">
      <c r="A10" s="129" t="s">
        <v>324</v>
      </c>
      <c r="B10" s="129">
        <v>3</v>
      </c>
      <c r="C10" s="129">
        <v>1</v>
      </c>
      <c r="D10" s="129">
        <v>2</v>
      </c>
      <c r="E10" s="129">
        <v>4</v>
      </c>
      <c r="F10" s="129">
        <v>7</v>
      </c>
    </row>
    <row r="11" spans="1:6" x14ac:dyDescent="0.25">
      <c r="A11" s="129" t="s">
        <v>325</v>
      </c>
      <c r="B11" s="129">
        <v>3</v>
      </c>
      <c r="C11" s="129">
        <v>1</v>
      </c>
      <c r="D11" s="129">
        <v>2</v>
      </c>
      <c r="E11" s="129">
        <v>6</v>
      </c>
      <c r="F11" s="129">
        <v>9</v>
      </c>
    </row>
    <row r="12" spans="1:6" x14ac:dyDescent="0.25">
      <c r="A12" s="129" t="s">
        <v>323</v>
      </c>
      <c r="B12" s="129">
        <v>4</v>
      </c>
      <c r="C12" s="129">
        <v>1</v>
      </c>
      <c r="D12" s="129">
        <v>3</v>
      </c>
      <c r="E12" s="129">
        <v>5</v>
      </c>
      <c r="F12" s="129">
        <v>10</v>
      </c>
    </row>
    <row r="13" spans="1:6" x14ac:dyDescent="0.25">
      <c r="A13" s="129" t="s">
        <v>333</v>
      </c>
      <c r="B13" s="129">
        <v>1</v>
      </c>
      <c r="C13" s="129">
        <v>0</v>
      </c>
      <c r="D13" s="129">
        <v>1</v>
      </c>
      <c r="E13" s="129">
        <v>2</v>
      </c>
      <c r="F13" s="129">
        <v>3</v>
      </c>
    </row>
    <row r="14" spans="1:6" x14ac:dyDescent="0.25">
      <c r="A14" s="129" t="s">
        <v>332</v>
      </c>
      <c r="B14" s="129">
        <v>1</v>
      </c>
      <c r="C14" s="129">
        <v>0</v>
      </c>
      <c r="D14" s="129">
        <v>1</v>
      </c>
      <c r="E14" s="129">
        <v>1</v>
      </c>
      <c r="F14" s="129">
        <v>3</v>
      </c>
    </row>
    <row r="15" spans="1:6" x14ac:dyDescent="0.25">
      <c r="A15" s="129" t="s">
        <v>1274</v>
      </c>
      <c r="B15" s="129">
        <v>2</v>
      </c>
      <c r="C15" s="129">
        <v>0</v>
      </c>
      <c r="D15" s="129">
        <v>2</v>
      </c>
      <c r="E15" s="129">
        <v>1</v>
      </c>
      <c r="F15" s="129">
        <v>7</v>
      </c>
    </row>
    <row r="16" spans="1:6" x14ac:dyDescent="0.25">
      <c r="A16" s="129" t="s">
        <v>328</v>
      </c>
      <c r="B16" s="129">
        <v>2</v>
      </c>
      <c r="C16" s="129">
        <v>0</v>
      </c>
      <c r="D16" s="129">
        <v>2</v>
      </c>
      <c r="E16" s="129">
        <v>3</v>
      </c>
      <c r="F16" s="129">
        <v>6</v>
      </c>
    </row>
    <row r="17" spans="1:15" x14ac:dyDescent="0.25">
      <c r="A17" s="129" t="s">
        <v>329</v>
      </c>
      <c r="B17" s="129">
        <v>2</v>
      </c>
      <c r="C17" s="129">
        <v>0</v>
      </c>
      <c r="D17" s="129">
        <v>2</v>
      </c>
      <c r="E17" s="129">
        <v>2</v>
      </c>
      <c r="F17" s="129">
        <v>7</v>
      </c>
    </row>
    <row r="18" spans="1:15" x14ac:dyDescent="0.25">
      <c r="A18" s="129" t="s">
        <v>6076</v>
      </c>
      <c r="B18" s="129">
        <v>2</v>
      </c>
      <c r="C18" s="129">
        <v>0</v>
      </c>
      <c r="D18" s="129">
        <v>2</v>
      </c>
      <c r="E18" s="129">
        <v>1</v>
      </c>
      <c r="F18" s="129">
        <v>8</v>
      </c>
    </row>
    <row r="19" spans="1:15" x14ac:dyDescent="0.25">
      <c r="A19" s="129"/>
      <c r="C19" s="129"/>
      <c r="D19" s="128"/>
    </row>
    <row r="20" spans="1:15" x14ac:dyDescent="0.25">
      <c r="A20" s="129" t="s">
        <v>335</v>
      </c>
      <c r="B20" s="129">
        <f>SUM(B4:B18)</f>
        <v>38</v>
      </c>
      <c r="C20" s="129">
        <f>SUM(C4:C18)</f>
        <v>14</v>
      </c>
      <c r="D20" s="129">
        <f>SUM(D4:D18)</f>
        <v>24</v>
      </c>
      <c r="E20" s="129">
        <f>SUM(E4:E18)</f>
        <v>71</v>
      </c>
      <c r="F20" s="129">
        <f>SUM(F4:F18)</f>
        <v>95</v>
      </c>
    </row>
    <row r="21" spans="1:15" x14ac:dyDescent="0.25">
      <c r="C21" s="131"/>
      <c r="D21" s="132"/>
    </row>
    <row r="22" spans="1:15" x14ac:dyDescent="0.25">
      <c r="M22" s="1173" t="s">
        <v>356</v>
      </c>
      <c r="N22" s="1173"/>
      <c r="O22" s="1173"/>
    </row>
    <row r="23" spans="1:15" s="129" customFormat="1" x14ac:dyDescent="0.25">
      <c r="A23" s="129" t="s">
        <v>336</v>
      </c>
      <c r="B23" s="129" t="s">
        <v>835</v>
      </c>
      <c r="C23" s="129" t="s">
        <v>337</v>
      </c>
      <c r="D23" s="129" t="s">
        <v>338</v>
      </c>
      <c r="E23" s="129" t="s">
        <v>339</v>
      </c>
      <c r="F23" s="129" t="s">
        <v>340</v>
      </c>
      <c r="G23" s="129" t="s">
        <v>341</v>
      </c>
      <c r="H23" s="129" t="s">
        <v>342</v>
      </c>
      <c r="I23" s="129" t="s">
        <v>343</v>
      </c>
      <c r="J23" s="129" t="s">
        <v>344</v>
      </c>
      <c r="K23" s="129" t="s">
        <v>345</v>
      </c>
      <c r="M23" s="129" t="s">
        <v>346</v>
      </c>
      <c r="N23" s="129" t="s">
        <v>347</v>
      </c>
      <c r="O23" s="129" t="s">
        <v>348</v>
      </c>
    </row>
    <row r="24" spans="1:15" x14ac:dyDescent="0.25">
      <c r="A24" s="129">
        <v>2010</v>
      </c>
      <c r="B24" s="129" t="s">
        <v>333</v>
      </c>
      <c r="C24" s="130">
        <v>8.5416666666666655E-2</v>
      </c>
      <c r="D24" s="129" t="s">
        <v>347</v>
      </c>
      <c r="E24" s="130">
        <v>4.3750000000000004E-2</v>
      </c>
      <c r="F24" s="130">
        <v>0.20902777777777778</v>
      </c>
      <c r="G24" s="130">
        <v>0.21041666666666667</v>
      </c>
      <c r="H24" s="130">
        <v>0.12847222222222224</v>
      </c>
      <c r="I24" s="130">
        <v>0.12847222222222224</v>
      </c>
      <c r="J24" s="130"/>
      <c r="K24" s="130"/>
      <c r="L24" s="130"/>
      <c r="M24" s="130">
        <v>4.2361111111111106E-2</v>
      </c>
      <c r="N24" s="130">
        <v>4.3055555555555562E-2</v>
      </c>
      <c r="O24" s="131">
        <v>0.72013888888888899</v>
      </c>
    </row>
    <row r="25" spans="1:15" x14ac:dyDescent="0.25">
      <c r="A25" s="129">
        <v>2011</v>
      </c>
      <c r="B25" s="129" t="s">
        <v>331</v>
      </c>
      <c r="C25" s="130">
        <v>0.12569444444444444</v>
      </c>
      <c r="D25" s="129" t="s">
        <v>346</v>
      </c>
      <c r="E25" s="130">
        <v>0.16805555555555554</v>
      </c>
      <c r="F25" s="130">
        <v>0.20972222222222223</v>
      </c>
      <c r="G25" s="130">
        <v>2.7777777777777779E-3</v>
      </c>
      <c r="H25" s="130" t="s">
        <v>164</v>
      </c>
      <c r="I25" s="130"/>
      <c r="J25" s="130"/>
      <c r="K25" s="130"/>
      <c r="L25" s="130"/>
      <c r="M25" s="130">
        <v>8.3333333333333329E-2</v>
      </c>
      <c r="N25" s="130">
        <v>4.2361111111111106E-2</v>
      </c>
      <c r="O25" s="131">
        <v>0.5493055555555556</v>
      </c>
    </row>
    <row r="26" spans="1:15" x14ac:dyDescent="0.25">
      <c r="A26" s="129">
        <v>2021</v>
      </c>
      <c r="B26" s="129" t="s">
        <v>1274</v>
      </c>
      <c r="C26" s="130">
        <v>2.0833333333333333E-3</v>
      </c>
      <c r="D26" s="130" t="s">
        <v>347</v>
      </c>
      <c r="E26" s="130">
        <v>1.3888888888888889E-3</v>
      </c>
      <c r="F26" s="130">
        <v>4.3750000000000004E-2</v>
      </c>
      <c r="G26" s="130">
        <v>4.5138888888888888E-2</v>
      </c>
      <c r="H26" s="130"/>
      <c r="I26" s="130"/>
      <c r="J26" s="130"/>
      <c r="L26" s="130"/>
      <c r="M26" s="130">
        <v>6.9444444444444447E-4</v>
      </c>
      <c r="N26" s="130">
        <v>1.3888888888888889E-3</v>
      </c>
      <c r="O26" s="131">
        <v>9.0277777777777776E-2</v>
      </c>
    </row>
    <row r="27" spans="1:15" x14ac:dyDescent="0.25">
      <c r="A27" s="129">
        <v>2023</v>
      </c>
      <c r="B27" s="129" t="s">
        <v>334</v>
      </c>
      <c r="C27" s="130">
        <v>2.0833333333333333E-3</v>
      </c>
      <c r="D27" s="130" t="s">
        <v>347</v>
      </c>
      <c r="E27" s="130">
        <v>4.3750000000000004E-2</v>
      </c>
      <c r="F27" s="130" t="s">
        <v>359</v>
      </c>
      <c r="G27" s="130">
        <v>8.6111111111111124E-2</v>
      </c>
      <c r="H27" s="130"/>
      <c r="I27" s="130"/>
      <c r="J27" s="130"/>
      <c r="L27" s="130"/>
      <c r="M27" s="130">
        <v>6.9444444444444447E-4</v>
      </c>
      <c r="N27" s="130">
        <v>1.3888888888888889E-3</v>
      </c>
      <c r="O27" s="131">
        <v>0.3</v>
      </c>
    </row>
    <row r="28" spans="1:15" x14ac:dyDescent="0.25">
      <c r="A28" s="129">
        <v>2024</v>
      </c>
      <c r="B28" s="129" t="s">
        <v>331</v>
      </c>
      <c r="C28" s="130">
        <v>0.125</v>
      </c>
      <c r="D28" s="129" t="s">
        <v>346</v>
      </c>
      <c r="E28" s="130">
        <v>0.16805555555555554</v>
      </c>
      <c r="F28" s="130">
        <v>0.1673611111111111</v>
      </c>
      <c r="G28" s="130" t="s">
        <v>160</v>
      </c>
      <c r="H28" s="130"/>
      <c r="I28" s="130"/>
      <c r="J28" s="130"/>
      <c r="L28" s="130"/>
      <c r="M28" s="130">
        <v>8.3333333333333329E-2</v>
      </c>
      <c r="N28" s="130">
        <v>4.1666666666666664E-2</v>
      </c>
      <c r="O28" s="130">
        <v>0.41944444444444445</v>
      </c>
    </row>
    <row r="29" spans="1:15" x14ac:dyDescent="0.25">
      <c r="A29" s="129">
        <v>2025</v>
      </c>
      <c r="B29" s="129" t="s">
        <v>334</v>
      </c>
      <c r="C29" s="130">
        <v>4.3749999999999997E-2</v>
      </c>
      <c r="D29" s="130" t="s">
        <v>346</v>
      </c>
      <c r="E29" s="130" t="s">
        <v>160</v>
      </c>
      <c r="F29" s="130">
        <v>8.611111111111111E-2</v>
      </c>
      <c r="G29" s="130">
        <v>8.5416666666666669E-2</v>
      </c>
      <c r="H29" s="130">
        <v>4.4444444444444446E-2</v>
      </c>
      <c r="I29" s="130"/>
      <c r="J29" s="130"/>
      <c r="L29" s="130"/>
      <c r="M29" s="130">
        <v>4.2361111111111113E-2</v>
      </c>
      <c r="N29" s="130">
        <v>1.3888888888888889E-3</v>
      </c>
      <c r="O29" s="131">
        <v>0.3</v>
      </c>
    </row>
    <row r="30" spans="1:15" x14ac:dyDescent="0.25">
      <c r="A30" s="129"/>
      <c r="C30" s="130"/>
      <c r="D30" s="130"/>
      <c r="E30" s="130"/>
      <c r="F30" s="130"/>
      <c r="G30" s="130"/>
      <c r="H30" s="130"/>
      <c r="I30" s="130"/>
      <c r="J30" s="130"/>
      <c r="L30" s="130"/>
      <c r="M30" s="130"/>
      <c r="N30" s="130"/>
      <c r="O30" s="131"/>
    </row>
    <row r="31" spans="1:15" x14ac:dyDescent="0.25">
      <c r="D31" s="130"/>
      <c r="E31" s="130"/>
      <c r="F31" s="130"/>
      <c r="G31" s="130"/>
      <c r="H31" s="130"/>
      <c r="I31" s="130"/>
      <c r="J31" s="130"/>
      <c r="L31" s="130"/>
      <c r="M31" s="130"/>
      <c r="N31" s="129"/>
    </row>
    <row r="32" spans="1:15" s="129" customFormat="1" x14ac:dyDescent="0.25">
      <c r="A32" s="129" t="s">
        <v>349</v>
      </c>
      <c r="B32" s="129" t="s">
        <v>835</v>
      </c>
      <c r="C32" s="129" t="s">
        <v>337</v>
      </c>
      <c r="D32" s="129" t="s">
        <v>338</v>
      </c>
      <c r="E32" s="129" t="s">
        <v>339</v>
      </c>
      <c r="F32" s="129" t="s">
        <v>340</v>
      </c>
      <c r="G32" s="129" t="s">
        <v>341</v>
      </c>
      <c r="H32" s="129" t="s">
        <v>342</v>
      </c>
      <c r="I32" s="129" t="s">
        <v>343</v>
      </c>
      <c r="J32" s="129" t="s">
        <v>344</v>
      </c>
      <c r="K32" s="129" t="s">
        <v>345</v>
      </c>
      <c r="M32" s="129" t="s">
        <v>346</v>
      </c>
      <c r="N32" s="129" t="s">
        <v>347</v>
      </c>
      <c r="O32" s="129" t="s">
        <v>348</v>
      </c>
    </row>
    <row r="33" spans="1:15" x14ac:dyDescent="0.25">
      <c r="A33" s="129">
        <v>1986</v>
      </c>
      <c r="B33" s="129" t="s">
        <v>331</v>
      </c>
      <c r="C33" s="130">
        <v>0.125</v>
      </c>
      <c r="D33" s="129" t="s">
        <v>346</v>
      </c>
      <c r="E33" s="130">
        <v>0.29583333333333334</v>
      </c>
      <c r="F33" s="130">
        <v>0.41875000000000001</v>
      </c>
      <c r="G33" s="130">
        <v>0.2951388888888889</v>
      </c>
      <c r="H33" s="130"/>
      <c r="I33" s="130"/>
      <c r="J33" s="130"/>
      <c r="K33" s="130"/>
      <c r="M33" s="130">
        <v>8.3333333333333329E-2</v>
      </c>
      <c r="N33" s="130">
        <v>4.1666666666666664E-2</v>
      </c>
      <c r="O33" s="132">
        <v>1.0097222222222222</v>
      </c>
    </row>
    <row r="34" spans="1:15" x14ac:dyDescent="0.25">
      <c r="A34" s="129">
        <v>1988</v>
      </c>
      <c r="B34" s="129" t="s">
        <v>323</v>
      </c>
      <c r="C34" s="130">
        <v>2.0833333333333333E-3</v>
      </c>
      <c r="D34" s="129" t="s">
        <v>347</v>
      </c>
      <c r="E34" s="130" t="s">
        <v>163</v>
      </c>
      <c r="F34" s="130">
        <v>0.12847222222222224</v>
      </c>
      <c r="G34" s="130">
        <v>0.17083333333333331</v>
      </c>
      <c r="H34" s="130"/>
      <c r="I34" s="130"/>
      <c r="J34" s="130"/>
      <c r="K34" s="130"/>
      <c r="M34" s="130">
        <v>6.9444444444444447E-4</v>
      </c>
      <c r="N34" s="130">
        <v>1.3888888888888889E-3</v>
      </c>
      <c r="O34" s="132">
        <v>0.42708333333333331</v>
      </c>
    </row>
    <row r="35" spans="1:15" x14ac:dyDescent="0.25">
      <c r="A35" s="129">
        <v>1989</v>
      </c>
      <c r="B35" s="129" t="s">
        <v>327</v>
      </c>
      <c r="C35" s="130">
        <v>2.0833333333333333E-3</v>
      </c>
      <c r="D35" s="129" t="s">
        <v>347</v>
      </c>
      <c r="E35" s="130">
        <v>0.1277777777777778</v>
      </c>
      <c r="F35" s="130">
        <v>0.21458333333333335</v>
      </c>
      <c r="G35" s="130" t="s">
        <v>350</v>
      </c>
      <c r="H35" s="130"/>
      <c r="I35" s="130"/>
      <c r="J35" s="130"/>
      <c r="K35" s="130"/>
      <c r="M35" s="130">
        <v>6.9444444444444447E-4</v>
      </c>
      <c r="N35" s="130">
        <v>1.3888888888888889E-3</v>
      </c>
      <c r="O35" s="132">
        <v>0.59722222222222221</v>
      </c>
    </row>
    <row r="36" spans="1:15" x14ac:dyDescent="0.25">
      <c r="A36" s="129">
        <v>1990</v>
      </c>
      <c r="B36" s="129" t="s">
        <v>323</v>
      </c>
      <c r="C36" s="130">
        <v>8.4027777777777771E-2</v>
      </c>
      <c r="D36" s="129" t="s">
        <v>347</v>
      </c>
      <c r="E36" s="130">
        <v>8.7500000000000008E-2</v>
      </c>
      <c r="F36" s="130">
        <v>0.25138888888888888</v>
      </c>
      <c r="G36" s="130">
        <v>0.21041666666666667</v>
      </c>
      <c r="H36" s="130"/>
      <c r="I36" s="130"/>
      <c r="J36" s="130"/>
      <c r="K36" s="130"/>
      <c r="M36" s="130">
        <v>4.1666666666666664E-2</v>
      </c>
      <c r="N36" s="130">
        <v>4.2361111111111106E-2</v>
      </c>
      <c r="O36" s="132">
        <v>0.5493055555555556</v>
      </c>
    </row>
    <row r="37" spans="1:15" x14ac:dyDescent="0.25">
      <c r="A37" s="129">
        <v>1992</v>
      </c>
      <c r="B37" s="129" t="s">
        <v>330</v>
      </c>
      <c r="C37" s="130">
        <v>0.125</v>
      </c>
      <c r="D37" s="129" t="s">
        <v>346</v>
      </c>
      <c r="E37" s="130">
        <v>0.29236111111111113</v>
      </c>
      <c r="F37" s="130">
        <v>0.29305555555555557</v>
      </c>
      <c r="G37" s="130">
        <v>0.21111111111111111</v>
      </c>
      <c r="H37" s="130"/>
      <c r="I37" s="130"/>
      <c r="J37" s="130"/>
      <c r="K37" s="130"/>
      <c r="M37" s="130">
        <v>8.3333333333333329E-2</v>
      </c>
      <c r="N37" s="130">
        <v>4.1666666666666664E-2</v>
      </c>
      <c r="O37" s="133">
        <v>0.79652777777777783</v>
      </c>
    </row>
    <row r="38" spans="1:15" x14ac:dyDescent="0.25">
      <c r="A38" s="129">
        <v>1993</v>
      </c>
      <c r="B38" s="129" t="s">
        <v>327</v>
      </c>
      <c r="C38" s="130">
        <v>0.125</v>
      </c>
      <c r="D38" s="129" t="s">
        <v>346</v>
      </c>
      <c r="E38" s="130" t="s">
        <v>351</v>
      </c>
      <c r="F38" s="130">
        <v>0.25208333333333333</v>
      </c>
      <c r="G38" s="130">
        <v>0.16666666666666666</v>
      </c>
      <c r="H38" s="130"/>
      <c r="I38" s="130"/>
      <c r="J38" s="130"/>
      <c r="K38" s="130"/>
      <c r="M38" s="130">
        <v>8.3333333333333329E-2</v>
      </c>
      <c r="N38" s="130">
        <v>4.1666666666666664E-2</v>
      </c>
      <c r="O38" s="133">
        <v>0.54513888888888895</v>
      </c>
    </row>
    <row r="39" spans="1:15" x14ac:dyDescent="0.25">
      <c r="A39" s="129">
        <v>1994</v>
      </c>
      <c r="B39" s="129" t="s">
        <v>332</v>
      </c>
      <c r="C39" s="130">
        <v>4.3749999999999997E-2</v>
      </c>
      <c r="D39" s="129" t="s">
        <v>347</v>
      </c>
      <c r="E39" s="130">
        <v>0.21111111111111111</v>
      </c>
      <c r="F39" s="130">
        <v>8.5416666666666655E-2</v>
      </c>
      <c r="G39" s="130">
        <v>4.4444444444444446E-2</v>
      </c>
      <c r="H39" s="130">
        <v>8.819444444444445E-2</v>
      </c>
      <c r="I39" s="130"/>
      <c r="J39" s="130"/>
      <c r="K39" s="130"/>
      <c r="M39" s="130">
        <v>1.3888888888888889E-3</v>
      </c>
      <c r="N39" s="130">
        <v>4.2361111111111106E-2</v>
      </c>
      <c r="O39" s="133">
        <v>0.4291666666666667</v>
      </c>
    </row>
    <row r="40" spans="1:15" x14ac:dyDescent="0.25">
      <c r="A40" s="129">
        <v>1995</v>
      </c>
      <c r="B40" s="129" t="s">
        <v>329</v>
      </c>
      <c r="C40" s="130">
        <v>4.3749999999999997E-2</v>
      </c>
      <c r="D40" s="129" t="s">
        <v>347</v>
      </c>
      <c r="E40" s="130">
        <v>2.0833333333333333E-3</v>
      </c>
      <c r="F40" s="130">
        <v>8.6111111111111124E-2</v>
      </c>
      <c r="G40" s="130">
        <v>0.25208333333333333</v>
      </c>
      <c r="H40" s="130">
        <v>4.5138888888888888E-2</v>
      </c>
      <c r="I40" s="130"/>
      <c r="J40" s="130"/>
      <c r="K40" s="130"/>
      <c r="M40" s="130">
        <v>4.2361111111111106E-2</v>
      </c>
      <c r="N40" s="130">
        <v>1.3888888888888889E-3</v>
      </c>
      <c r="O40" s="133">
        <v>0.38541666666666669</v>
      </c>
    </row>
    <row r="41" spans="1:15" x14ac:dyDescent="0.25">
      <c r="A41" s="129">
        <v>1996</v>
      </c>
      <c r="B41" s="129" t="s">
        <v>326</v>
      </c>
      <c r="C41" s="130">
        <v>0.1673611111111111</v>
      </c>
      <c r="D41" s="129" t="s">
        <v>346</v>
      </c>
      <c r="E41" s="130">
        <v>0.25208333333333333</v>
      </c>
      <c r="F41" s="130" t="s">
        <v>171</v>
      </c>
      <c r="G41" s="130" t="s">
        <v>352</v>
      </c>
      <c r="H41" s="130">
        <v>0.12638888888888888</v>
      </c>
      <c r="I41" s="130">
        <v>0.12638888888888888</v>
      </c>
      <c r="J41" s="130"/>
      <c r="K41" s="130"/>
      <c r="M41" s="130">
        <v>8.4027777777777771E-2</v>
      </c>
      <c r="N41" s="130">
        <v>8.3333333333333329E-2</v>
      </c>
      <c r="O41" s="133">
        <v>0.71666666666666667</v>
      </c>
    </row>
    <row r="42" spans="1:15" x14ac:dyDescent="0.25">
      <c r="A42" s="129">
        <v>1998</v>
      </c>
      <c r="B42" s="129" t="s">
        <v>328</v>
      </c>
      <c r="C42" s="130">
        <v>4.3749999999999997E-2</v>
      </c>
      <c r="D42" s="129" t="s">
        <v>347</v>
      </c>
      <c r="E42" s="130">
        <v>8.6805555555555566E-2</v>
      </c>
      <c r="F42" s="130">
        <v>0.21249999999999999</v>
      </c>
      <c r="G42" s="130">
        <v>8.3333333333333329E-2</v>
      </c>
      <c r="H42" s="130">
        <v>0.1277777777777778</v>
      </c>
      <c r="I42" s="130"/>
      <c r="J42" s="130"/>
      <c r="K42" s="130"/>
      <c r="M42" s="130">
        <v>4.2361111111111106E-2</v>
      </c>
      <c r="N42" s="130">
        <v>1.3888888888888889E-3</v>
      </c>
      <c r="O42" s="133">
        <v>0.51041666666666663</v>
      </c>
    </row>
    <row r="43" spans="1:15" x14ac:dyDescent="0.25">
      <c r="A43" s="129">
        <v>2000</v>
      </c>
      <c r="B43" s="129" t="s">
        <v>326</v>
      </c>
      <c r="C43" s="130">
        <v>0.12569444444444444</v>
      </c>
      <c r="D43" s="129" t="s">
        <v>347</v>
      </c>
      <c r="E43" s="130">
        <v>8.4027777777777771E-2</v>
      </c>
      <c r="F43" s="130">
        <v>0.16805555555555554</v>
      </c>
      <c r="G43" s="130">
        <v>8.5416666666666655E-2</v>
      </c>
      <c r="H43" s="130">
        <v>0.12569444444444444</v>
      </c>
      <c r="I43" s="130"/>
      <c r="J43" s="130"/>
      <c r="K43" s="130"/>
      <c r="M43" s="130">
        <v>4.2361111111111106E-2</v>
      </c>
      <c r="N43" s="130">
        <v>8.3333333333333329E-2</v>
      </c>
      <c r="O43" s="133">
        <v>0.46319444444444446</v>
      </c>
    </row>
    <row r="44" spans="1:15" x14ac:dyDescent="0.25">
      <c r="A44" s="129">
        <v>2001</v>
      </c>
      <c r="B44" s="129" t="s">
        <v>325</v>
      </c>
      <c r="C44" s="130">
        <v>8.6111111111111124E-2</v>
      </c>
      <c r="D44" s="129" t="s">
        <v>346</v>
      </c>
      <c r="E44" s="130" t="s">
        <v>353</v>
      </c>
      <c r="F44" s="130">
        <v>0.12569444444444444</v>
      </c>
      <c r="G44" s="130">
        <v>6.9444444444444447E-4</v>
      </c>
      <c r="H44" s="130" t="s">
        <v>352</v>
      </c>
      <c r="I44" s="130">
        <v>4.4444444444444446E-2</v>
      </c>
      <c r="J44" s="130">
        <v>2.0833333333333333E-3</v>
      </c>
      <c r="K44" s="130"/>
      <c r="M44" s="130">
        <v>4.3055555555555562E-2</v>
      </c>
      <c r="N44" s="130">
        <v>4.3055555555555562E-2</v>
      </c>
      <c r="O44" s="133">
        <v>0.4694444444444445</v>
      </c>
    </row>
    <row r="45" spans="1:15" x14ac:dyDescent="0.25">
      <c r="A45" s="129">
        <v>2005</v>
      </c>
      <c r="B45" s="129" t="s">
        <v>326</v>
      </c>
      <c r="C45" s="130">
        <v>8.6111111111111124E-2</v>
      </c>
      <c r="D45" s="129" t="s">
        <v>347</v>
      </c>
      <c r="E45" s="130">
        <v>3.472222222222222E-3</v>
      </c>
      <c r="F45" s="130">
        <v>0.12569444444444444</v>
      </c>
      <c r="G45" s="130">
        <v>4.3055555555555562E-2</v>
      </c>
      <c r="H45" s="130">
        <v>0.12569444444444444</v>
      </c>
      <c r="I45" s="130">
        <v>3.472222222222222E-3</v>
      </c>
      <c r="J45" s="130" t="s">
        <v>163</v>
      </c>
      <c r="K45" s="130"/>
      <c r="M45" s="130">
        <v>4.3055555555555562E-2</v>
      </c>
      <c r="N45" s="130">
        <v>4.3055555555555562E-2</v>
      </c>
      <c r="O45" s="133">
        <v>0.4291666666666667</v>
      </c>
    </row>
    <row r="46" spans="1:15" x14ac:dyDescent="0.25">
      <c r="A46" s="129">
        <v>2008</v>
      </c>
      <c r="B46" s="129" t="s">
        <v>6076</v>
      </c>
      <c r="C46" s="130">
        <v>4.4444444444444446E-2</v>
      </c>
      <c r="D46" s="129" t="s">
        <v>347</v>
      </c>
      <c r="E46" s="130">
        <v>8.7500000000000008E-2</v>
      </c>
      <c r="F46" s="130">
        <v>8.5416666666666655E-2</v>
      </c>
      <c r="G46" s="130" t="s">
        <v>352</v>
      </c>
      <c r="H46" s="130">
        <v>8.5416666666666655E-2</v>
      </c>
      <c r="I46" s="130">
        <v>8.5416666666666655E-2</v>
      </c>
      <c r="J46" s="130"/>
      <c r="K46" s="130"/>
      <c r="M46" s="130">
        <v>4.2361111111111106E-2</v>
      </c>
      <c r="N46" s="130">
        <v>2.0833333333333333E-3</v>
      </c>
      <c r="O46" s="133">
        <v>0.47013888888888888</v>
      </c>
    </row>
    <row r="47" spans="1:15" x14ac:dyDescent="0.25">
      <c r="A47" s="129">
        <v>2009</v>
      </c>
      <c r="B47" s="129" t="s">
        <v>6076</v>
      </c>
      <c r="C47" s="130">
        <v>2.7777777777777779E-3</v>
      </c>
      <c r="D47" s="129" t="s">
        <v>346</v>
      </c>
      <c r="E47" s="130" t="s">
        <v>161</v>
      </c>
      <c r="F47" s="130" t="s">
        <v>208</v>
      </c>
      <c r="G47" s="130">
        <v>4.3750000000000004E-2</v>
      </c>
      <c r="H47" s="130">
        <v>8.6111111111111124E-2</v>
      </c>
      <c r="I47" s="130"/>
      <c r="J47" s="130"/>
      <c r="K47" s="130"/>
      <c r="M47" s="130">
        <v>1.3888888888888889E-3</v>
      </c>
      <c r="N47" s="130">
        <v>1.3888888888888889E-3</v>
      </c>
      <c r="O47" s="133">
        <v>0.25833333333333336</v>
      </c>
    </row>
    <row r="48" spans="1:15" x14ac:dyDescent="0.25">
      <c r="A48" s="129">
        <v>2011</v>
      </c>
      <c r="B48" s="129" t="s">
        <v>334</v>
      </c>
      <c r="C48" s="130">
        <v>8.6111111111111124E-2</v>
      </c>
      <c r="D48" s="129" t="s">
        <v>347</v>
      </c>
      <c r="E48" s="130">
        <v>4.1666666666666666E-3</v>
      </c>
      <c r="F48" s="130">
        <v>8.5416666666666655E-2</v>
      </c>
      <c r="G48" s="130">
        <v>0.21041666666666667</v>
      </c>
      <c r="H48" s="130">
        <v>0.16805555555555554</v>
      </c>
      <c r="I48" s="130">
        <v>4.5833333333333337E-2</v>
      </c>
      <c r="J48" s="130">
        <v>4.4444444444444446E-2</v>
      </c>
      <c r="K48" s="130"/>
      <c r="M48" s="130">
        <v>8.4027777777777771E-2</v>
      </c>
      <c r="N48" s="130">
        <v>2.0833333333333333E-3</v>
      </c>
      <c r="O48" s="133">
        <v>0.55833333333333335</v>
      </c>
    </row>
    <row r="49" spans="1:15" x14ac:dyDescent="0.25">
      <c r="A49" s="129">
        <v>2013</v>
      </c>
      <c r="B49" s="129" t="s">
        <v>331</v>
      </c>
      <c r="C49" s="130">
        <v>0.1277777777777778</v>
      </c>
      <c r="D49" s="129" t="s">
        <v>347</v>
      </c>
      <c r="E49" s="130">
        <v>4.1666666666666664E-2</v>
      </c>
      <c r="F49" s="130">
        <v>4.3055555555555562E-2</v>
      </c>
      <c r="G49" s="130">
        <v>0.125</v>
      </c>
      <c r="H49" s="130" t="s">
        <v>354</v>
      </c>
      <c r="I49" s="130" t="s">
        <v>355</v>
      </c>
      <c r="J49" s="130">
        <v>8.6805555555555566E-2</v>
      </c>
      <c r="K49" s="130">
        <v>0.1277777777777778</v>
      </c>
      <c r="M49" s="130">
        <v>4.3055555555555562E-2</v>
      </c>
      <c r="N49" s="130">
        <v>8.4722222222222213E-2</v>
      </c>
      <c r="O49" s="133">
        <v>0.63611111111111118</v>
      </c>
    </row>
    <row r="50" spans="1:15" x14ac:dyDescent="0.25">
      <c r="A50" s="129">
        <v>2015</v>
      </c>
      <c r="B50" s="129" t="s">
        <v>327</v>
      </c>
      <c r="C50" s="130">
        <v>0.1673611111111111</v>
      </c>
      <c r="D50" s="129" t="s">
        <v>346</v>
      </c>
      <c r="E50" s="130">
        <v>0.16666666666666666</v>
      </c>
      <c r="F50" s="130">
        <v>0.1673611111111111</v>
      </c>
      <c r="G50" s="130">
        <v>0.12569444444444444</v>
      </c>
      <c r="H50" s="130" t="s">
        <v>171</v>
      </c>
      <c r="I50" s="130" t="s">
        <v>160</v>
      </c>
      <c r="M50" s="130">
        <v>0.125</v>
      </c>
      <c r="N50" s="130">
        <v>4.2361111111111106E-2</v>
      </c>
      <c r="O50" s="133">
        <v>0.62916666666666665</v>
      </c>
    </row>
    <row r="51" spans="1:15" x14ac:dyDescent="0.25">
      <c r="A51" s="129">
        <v>2017</v>
      </c>
      <c r="B51" s="129" t="s">
        <v>1274</v>
      </c>
      <c r="C51" s="130">
        <v>4.4444444444444446E-2</v>
      </c>
      <c r="D51" s="129" t="s">
        <v>347</v>
      </c>
      <c r="E51" s="130">
        <v>0.12638888888888888</v>
      </c>
      <c r="F51" s="130">
        <v>2.0833333333333333E-3</v>
      </c>
      <c r="G51" s="130">
        <v>4.4444444444444446E-2</v>
      </c>
      <c r="H51" s="130">
        <v>4.3055555555555562E-2</v>
      </c>
      <c r="I51" s="130">
        <v>0.17152777777777775</v>
      </c>
      <c r="M51" s="130">
        <v>1.3888888888888889E-3</v>
      </c>
      <c r="N51" s="130">
        <v>4.3055555555555562E-2</v>
      </c>
      <c r="O51" s="131">
        <v>0.38750000000000001</v>
      </c>
    </row>
    <row r="52" spans="1:15" x14ac:dyDescent="0.25">
      <c r="A52" s="129">
        <v>2024</v>
      </c>
      <c r="B52" s="129" t="s">
        <v>6179</v>
      </c>
      <c r="C52" s="130">
        <v>0.16805555555555557</v>
      </c>
      <c r="D52" s="129" t="s">
        <v>347</v>
      </c>
      <c r="E52" s="130" t="s">
        <v>355</v>
      </c>
      <c r="F52" s="130">
        <v>0.20902777777777778</v>
      </c>
      <c r="G52" s="130">
        <v>0.12777777777777777</v>
      </c>
      <c r="H52" s="130">
        <v>4.5138888888888888E-2</v>
      </c>
      <c r="I52" s="130" t="s">
        <v>160</v>
      </c>
      <c r="J52" s="130">
        <v>0.1673611111111111</v>
      </c>
      <c r="M52" s="130">
        <v>4.3055555555555555E-2</v>
      </c>
      <c r="N52" s="130">
        <v>0.125</v>
      </c>
      <c r="O52" s="131">
        <v>0.71736111111111112</v>
      </c>
    </row>
    <row r="54" spans="1:15" x14ac:dyDescent="0.25">
      <c r="A54" s="129"/>
      <c r="C54" s="129"/>
      <c r="H54" s="129"/>
      <c r="I54" s="129"/>
      <c r="M54" s="1173" t="s">
        <v>356</v>
      </c>
      <c r="N54" s="1173"/>
      <c r="O54" s="1173"/>
    </row>
    <row r="55" spans="1:15" s="129" customFormat="1" x14ac:dyDescent="0.25">
      <c r="A55" s="129" t="s">
        <v>357</v>
      </c>
      <c r="B55" s="129" t="s">
        <v>835</v>
      </c>
      <c r="C55" s="129" t="s">
        <v>337</v>
      </c>
      <c r="D55" s="129" t="s">
        <v>338</v>
      </c>
      <c r="E55" s="129" t="s">
        <v>339</v>
      </c>
      <c r="F55" s="129" t="s">
        <v>340</v>
      </c>
      <c r="G55" s="129" t="s">
        <v>341</v>
      </c>
      <c r="H55" s="129" t="s">
        <v>342</v>
      </c>
      <c r="I55" s="129" t="s">
        <v>343</v>
      </c>
      <c r="J55" s="129" t="s">
        <v>344</v>
      </c>
      <c r="K55" s="129" t="s">
        <v>345</v>
      </c>
      <c r="M55" s="129" t="s">
        <v>346</v>
      </c>
      <c r="N55" s="129" t="s">
        <v>347</v>
      </c>
      <c r="O55" s="129" t="s">
        <v>348</v>
      </c>
    </row>
    <row r="56" spans="1:15" x14ac:dyDescent="0.25">
      <c r="A56" s="129">
        <v>1986</v>
      </c>
      <c r="B56" s="129" t="s">
        <v>323</v>
      </c>
      <c r="C56" s="130">
        <v>8.5416666666666655E-2</v>
      </c>
      <c r="D56" s="129" t="s">
        <v>346</v>
      </c>
      <c r="E56" s="130">
        <v>8.6111111111111124E-2</v>
      </c>
      <c r="F56" s="130">
        <v>0.25069444444444444</v>
      </c>
      <c r="G56" s="130" t="s">
        <v>353</v>
      </c>
      <c r="H56" s="130" t="s">
        <v>352</v>
      </c>
      <c r="I56" s="130" t="s">
        <v>163</v>
      </c>
      <c r="J56" s="130"/>
      <c r="K56" s="130"/>
      <c r="M56" s="130">
        <v>4.3055555555555562E-2</v>
      </c>
      <c r="N56" s="130">
        <v>4.2361111111111106E-2</v>
      </c>
      <c r="O56" s="133">
        <v>0.76111111111111107</v>
      </c>
    </row>
    <row r="57" spans="1:15" x14ac:dyDescent="0.25">
      <c r="A57" s="129">
        <v>1990</v>
      </c>
      <c r="B57" s="129" t="s">
        <v>324</v>
      </c>
      <c r="C57" s="130">
        <v>2.0833333333333333E-3</v>
      </c>
      <c r="D57" s="129" t="s">
        <v>347</v>
      </c>
      <c r="E57" s="130" t="s">
        <v>353</v>
      </c>
      <c r="F57" s="130">
        <v>8.819444444444445E-2</v>
      </c>
      <c r="G57" s="130">
        <v>0.12986111111111112</v>
      </c>
      <c r="H57" s="130"/>
      <c r="I57" s="130"/>
      <c r="J57" s="130"/>
      <c r="K57" s="130"/>
      <c r="M57" s="130">
        <v>6.9444444444444447E-4</v>
      </c>
      <c r="N57" s="130">
        <v>1.3888888888888889E-3</v>
      </c>
      <c r="O57" s="133">
        <v>0.38819444444444445</v>
      </c>
    </row>
    <row r="58" spans="1:15" x14ac:dyDescent="0.25">
      <c r="A58" s="129">
        <v>1991</v>
      </c>
      <c r="B58" s="129" t="s">
        <v>324</v>
      </c>
      <c r="C58" s="130">
        <v>0.12569444444444444</v>
      </c>
      <c r="D58" s="129" t="s">
        <v>347</v>
      </c>
      <c r="E58" s="130">
        <v>0.21041666666666667</v>
      </c>
      <c r="F58" s="130">
        <v>4.4444444444444446E-2</v>
      </c>
      <c r="G58" s="130" t="s">
        <v>159</v>
      </c>
      <c r="H58" s="130" t="s">
        <v>358</v>
      </c>
      <c r="I58" s="130"/>
      <c r="J58" s="130"/>
      <c r="K58" s="130"/>
      <c r="M58" s="130">
        <v>8.3333333333333329E-2</v>
      </c>
      <c r="N58" s="130">
        <v>4.2361111111111106E-2</v>
      </c>
      <c r="O58" s="133">
        <v>0.67708333333333337</v>
      </c>
    </row>
    <row r="59" spans="1:15" x14ac:dyDescent="0.25">
      <c r="A59" s="129">
        <v>1992</v>
      </c>
      <c r="B59" s="129" t="s">
        <v>324</v>
      </c>
      <c r="C59" s="130">
        <v>4.3749999999999997E-2</v>
      </c>
      <c r="D59" s="129" t="s">
        <v>347</v>
      </c>
      <c r="E59" s="130">
        <v>0.21041666666666667</v>
      </c>
      <c r="F59" s="130">
        <v>4.3750000000000004E-2</v>
      </c>
      <c r="G59" s="130" t="s">
        <v>359</v>
      </c>
      <c r="H59" s="130">
        <v>0.21249999999999999</v>
      </c>
      <c r="I59" s="130"/>
      <c r="J59" s="130"/>
      <c r="K59" s="130"/>
      <c r="M59" s="130">
        <v>1.3888888888888889E-3</v>
      </c>
      <c r="N59" s="130">
        <v>4.2361111111111106E-2</v>
      </c>
      <c r="O59" s="133">
        <v>0.63680555555555551</v>
      </c>
    </row>
    <row r="60" spans="1:15" x14ac:dyDescent="0.25">
      <c r="A60" s="129">
        <v>1993</v>
      </c>
      <c r="B60" s="129" t="s">
        <v>328</v>
      </c>
      <c r="C60" s="130">
        <v>8.5416666666666655E-2</v>
      </c>
      <c r="D60" s="129" t="s">
        <v>346</v>
      </c>
      <c r="E60" s="130">
        <v>8.7500000000000008E-2</v>
      </c>
      <c r="F60" s="130">
        <v>8.819444444444445E-2</v>
      </c>
      <c r="G60" s="130" t="s">
        <v>360</v>
      </c>
      <c r="H60" s="130" t="s">
        <v>162</v>
      </c>
      <c r="I60" s="130">
        <v>8.5416666666666655E-2</v>
      </c>
      <c r="J60" s="130"/>
      <c r="K60" s="130"/>
      <c r="M60" s="130">
        <v>2.0833333333333333E-3</v>
      </c>
      <c r="N60" s="130">
        <v>8.3333333333333329E-2</v>
      </c>
      <c r="O60" s="133">
        <v>0.81041666666666667</v>
      </c>
    </row>
    <row r="61" spans="1:15" x14ac:dyDescent="0.25">
      <c r="A61" s="129">
        <v>1996</v>
      </c>
      <c r="B61" s="129" t="s">
        <v>325</v>
      </c>
      <c r="C61" s="130">
        <v>0.16805555555555554</v>
      </c>
      <c r="D61" s="129" t="s">
        <v>347</v>
      </c>
      <c r="E61" s="130">
        <v>4.4444444444444446E-2</v>
      </c>
      <c r="F61" s="130">
        <v>0.25277777777777777</v>
      </c>
      <c r="G61" s="130">
        <v>0.1673611111111111</v>
      </c>
      <c r="H61" s="130">
        <v>3.472222222222222E-3</v>
      </c>
      <c r="I61" s="130">
        <v>0.25069444444444444</v>
      </c>
      <c r="J61" s="130" t="s">
        <v>162</v>
      </c>
      <c r="K61" s="130"/>
      <c r="M61" s="130">
        <v>8.4027777777777771E-2</v>
      </c>
      <c r="N61" s="130">
        <v>8.4027777777777771E-2</v>
      </c>
      <c r="O61" s="133">
        <v>0.92986111111111114</v>
      </c>
    </row>
    <row r="62" spans="1:15" x14ac:dyDescent="0.25">
      <c r="A62" s="129">
        <v>2000</v>
      </c>
      <c r="B62" s="129" t="s">
        <v>325</v>
      </c>
      <c r="C62" s="130">
        <v>2.0833333333333333E-3</v>
      </c>
      <c r="D62" s="129" t="s">
        <v>347</v>
      </c>
      <c r="E62" s="130">
        <v>4.4444444444444446E-2</v>
      </c>
      <c r="F62" s="130">
        <v>4.3750000000000004E-2</v>
      </c>
      <c r="G62" s="130" t="s">
        <v>354</v>
      </c>
      <c r="H62" s="130"/>
      <c r="I62" s="130"/>
      <c r="J62" s="130"/>
      <c r="K62" s="130"/>
      <c r="M62" s="130">
        <v>6.9444444444444447E-4</v>
      </c>
      <c r="N62" s="130">
        <v>1.3888888888888889E-3</v>
      </c>
      <c r="O62" s="133">
        <v>0.21597222222222223</v>
      </c>
    </row>
    <row r="63" spans="1:15" x14ac:dyDescent="0.25">
      <c r="A63" s="129">
        <v>2015</v>
      </c>
      <c r="B63" s="129" t="s">
        <v>6179</v>
      </c>
      <c r="C63" s="130">
        <v>0.1673611111111111</v>
      </c>
      <c r="D63" s="129" t="s">
        <v>346</v>
      </c>
      <c r="E63" s="130">
        <v>0.12638888888888888</v>
      </c>
      <c r="F63" s="130">
        <v>8.4027777777777771E-2</v>
      </c>
      <c r="G63" s="130">
        <v>0.125</v>
      </c>
      <c r="H63" s="130">
        <v>4.4444444444444446E-2</v>
      </c>
      <c r="I63" s="130" t="s">
        <v>351</v>
      </c>
      <c r="J63" s="130"/>
      <c r="K63" s="130"/>
      <c r="M63" s="130">
        <v>0.125</v>
      </c>
      <c r="N63" s="130">
        <v>4.2361111111111106E-2</v>
      </c>
      <c r="O63" s="133">
        <v>0.50624999999999998</v>
      </c>
    </row>
    <row r="64" spans="1:15" x14ac:dyDescent="0.25">
      <c r="A64" s="129">
        <v>2024</v>
      </c>
      <c r="B64" s="129" t="s">
        <v>327</v>
      </c>
      <c r="C64" s="130">
        <v>2.7777777777777779E-3</v>
      </c>
      <c r="D64" s="129" t="s">
        <v>347</v>
      </c>
      <c r="E64" s="130">
        <v>4.3055555555555555E-2</v>
      </c>
      <c r="F64" s="130">
        <v>2.0833333333333333E-3</v>
      </c>
      <c r="G64" s="130">
        <v>8.5416666666666669E-2</v>
      </c>
      <c r="H64" s="130">
        <v>0.21249999999999999</v>
      </c>
      <c r="I64" s="130"/>
      <c r="J64" s="130"/>
      <c r="K64" s="130"/>
      <c r="M64" s="130">
        <v>1.3888888888888889E-3</v>
      </c>
      <c r="N64" s="130">
        <v>1.3888888888888889E-3</v>
      </c>
      <c r="O64" s="133">
        <v>0.34305555555555556</v>
      </c>
    </row>
    <row r="65" spans="1:15" x14ac:dyDescent="0.25">
      <c r="E65" s="130"/>
      <c r="F65" s="130"/>
      <c r="G65" s="130"/>
      <c r="H65" s="130"/>
      <c r="I65" s="130"/>
      <c r="J65" s="130"/>
      <c r="K65" s="130"/>
    </row>
    <row r="66" spans="1:15" x14ac:dyDescent="0.25">
      <c r="E66" s="130"/>
      <c r="F66" s="130"/>
      <c r="G66" s="130"/>
      <c r="H66" s="130"/>
      <c r="I66" s="130"/>
      <c r="J66" s="130"/>
      <c r="K66" s="130"/>
    </row>
    <row r="67" spans="1:15" s="129" customFormat="1" x14ac:dyDescent="0.25">
      <c r="A67" s="129" t="s">
        <v>361</v>
      </c>
      <c r="B67" s="129" t="s">
        <v>835</v>
      </c>
      <c r="C67" s="129" t="s">
        <v>337</v>
      </c>
      <c r="D67" s="129" t="s">
        <v>338</v>
      </c>
      <c r="E67" s="129" t="s">
        <v>339</v>
      </c>
      <c r="F67" s="129" t="s">
        <v>340</v>
      </c>
      <c r="G67" s="129" t="s">
        <v>341</v>
      </c>
      <c r="H67" s="129" t="s">
        <v>342</v>
      </c>
      <c r="I67" s="129" t="s">
        <v>343</v>
      </c>
      <c r="J67" s="129" t="s">
        <v>344</v>
      </c>
      <c r="K67" s="129" t="s">
        <v>345</v>
      </c>
      <c r="M67" s="129" t="s">
        <v>346</v>
      </c>
      <c r="N67" s="129" t="s">
        <v>347</v>
      </c>
      <c r="O67" s="129" t="s">
        <v>348</v>
      </c>
    </row>
    <row r="68" spans="1:15" x14ac:dyDescent="0.25">
      <c r="A68" s="129">
        <v>1991</v>
      </c>
      <c r="B68" s="129" t="s">
        <v>323</v>
      </c>
      <c r="C68" s="130">
        <v>4.3749999999999997E-2</v>
      </c>
      <c r="D68" s="129" t="s">
        <v>347</v>
      </c>
      <c r="E68" s="130">
        <v>0.12916666666666668</v>
      </c>
      <c r="F68" s="130">
        <v>8.5416666666666655E-2</v>
      </c>
      <c r="G68" s="130">
        <v>0.20902777777777778</v>
      </c>
      <c r="H68" s="130">
        <v>4.8611111111111112E-3</v>
      </c>
      <c r="I68" s="130"/>
      <c r="J68" s="130"/>
      <c r="K68" s="130"/>
      <c r="M68" s="130">
        <v>4.2361111111111106E-2</v>
      </c>
      <c r="N68" s="130">
        <v>1.3888888888888889E-3</v>
      </c>
      <c r="O68" s="133">
        <v>0.4284722222222222</v>
      </c>
    </row>
    <row r="69" spans="1:15" x14ac:dyDescent="0.25">
      <c r="A69" s="129">
        <v>1996</v>
      </c>
      <c r="B69" s="129" t="s">
        <v>329</v>
      </c>
      <c r="C69" s="130">
        <v>4.4444444444444446E-2</v>
      </c>
      <c r="D69" s="129" t="s">
        <v>347</v>
      </c>
      <c r="E69" s="130">
        <v>8.4027777777777771E-2</v>
      </c>
      <c r="F69" s="130">
        <v>4.7222222222222221E-2</v>
      </c>
      <c r="G69" s="130">
        <v>4.5833333333333337E-2</v>
      </c>
      <c r="H69" s="130">
        <v>4.4444444444444446E-2</v>
      </c>
      <c r="I69" s="130">
        <v>4.3055555555555562E-2</v>
      </c>
      <c r="J69" s="130"/>
      <c r="K69" s="130"/>
      <c r="M69" s="130">
        <v>1.3888888888888889E-3</v>
      </c>
      <c r="N69" s="130">
        <v>4.3055555555555562E-2</v>
      </c>
      <c r="O69" s="133">
        <v>0.26458333333333334</v>
      </c>
    </row>
    <row r="70" spans="1:15" x14ac:dyDescent="0.25">
      <c r="A70" s="129">
        <v>2015</v>
      </c>
      <c r="B70" s="129" t="s">
        <v>334</v>
      </c>
      <c r="C70" s="130">
        <v>0.16874999999999998</v>
      </c>
      <c r="D70" s="129" t="s">
        <v>347</v>
      </c>
      <c r="E70" s="130">
        <v>0.125694444444444</v>
      </c>
      <c r="F70" s="130">
        <v>0.12638888888888888</v>
      </c>
      <c r="G70" s="130">
        <v>6.9444444444444447E-4</v>
      </c>
      <c r="H70" s="130">
        <v>0.125</v>
      </c>
      <c r="I70" s="130" t="s">
        <v>208</v>
      </c>
      <c r="J70" s="130">
        <v>0.12916666666666668</v>
      </c>
      <c r="K70" s="130">
        <v>8.3333333333333329E-2</v>
      </c>
      <c r="L70" s="130"/>
      <c r="M70" s="130">
        <v>4.3055555555555562E-2</v>
      </c>
      <c r="N70" s="130">
        <v>0.12569444444444444</v>
      </c>
      <c r="O70" s="130">
        <v>0.6333333333333333</v>
      </c>
    </row>
    <row r="71" spans="1:15" x14ac:dyDescent="0.25">
      <c r="D71" s="130"/>
      <c r="E71" s="130"/>
      <c r="F71" s="130"/>
      <c r="G71" s="130"/>
      <c r="H71" s="130"/>
      <c r="I71" s="130"/>
      <c r="J71" s="130"/>
      <c r="L71" s="130"/>
      <c r="M71" s="130"/>
    </row>
    <row r="72" spans="1:15" x14ac:dyDescent="0.25">
      <c r="D72" s="130"/>
      <c r="E72" s="130"/>
      <c r="F72" s="130"/>
      <c r="G72" s="130"/>
      <c r="H72" s="130"/>
      <c r="I72" s="130"/>
      <c r="J72" s="130"/>
      <c r="L72" s="130"/>
      <c r="M72" s="130"/>
    </row>
    <row r="73" spans="1:15" x14ac:dyDescent="0.25">
      <c r="D73" s="130"/>
      <c r="E73" s="130"/>
      <c r="F73" s="130"/>
      <c r="G73" s="130"/>
      <c r="H73" s="130"/>
      <c r="I73" s="130"/>
      <c r="J73" s="130"/>
      <c r="L73" s="130"/>
      <c r="M73" s="130"/>
    </row>
    <row r="74" spans="1:15" x14ac:dyDescent="0.25">
      <c r="D74" s="130"/>
      <c r="E74" s="130"/>
      <c r="F74" s="130"/>
      <c r="G74" s="130"/>
      <c r="H74" s="130"/>
      <c r="I74" s="130"/>
      <c r="J74" s="130"/>
      <c r="L74" s="130"/>
      <c r="M74" s="130"/>
    </row>
    <row r="75" spans="1:15" x14ac:dyDescent="0.25">
      <c r="D75" s="130"/>
      <c r="E75" s="130"/>
      <c r="F75" s="130"/>
      <c r="G75" s="130"/>
      <c r="H75" s="130"/>
      <c r="I75" s="130"/>
      <c r="J75" s="130"/>
      <c r="L75" s="130"/>
      <c r="M75" s="130"/>
    </row>
  </sheetData>
  <autoFilter ref="A3:F18" xr:uid="{00000000-0009-0000-0000-000020000000}">
    <sortState xmlns:xlrd2="http://schemas.microsoft.com/office/spreadsheetml/2017/richdata2" ref="A4:F18">
      <sortCondition descending="1" ref="C3:C18"/>
    </sortState>
  </autoFilter>
  <mergeCells count="4">
    <mergeCell ref="M54:O54"/>
    <mergeCell ref="M22:O22"/>
    <mergeCell ref="A1:B1"/>
    <mergeCell ref="C1:D1"/>
  </mergeCells>
  <pageMargins left="0.78740157499999996" right="0.78740157499999996" top="0.984251969" bottom="0.984251969" header="0.4921259845" footer="0.4921259845"/>
  <pageSetup paperSize="9" orientation="portrait" verticalDpi="0"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S35"/>
  <sheetViews>
    <sheetView workbookViewId="0">
      <selection activeCell="L12" sqref="L12"/>
    </sheetView>
  </sheetViews>
  <sheetFormatPr defaultRowHeight="13.2" x14ac:dyDescent="0.25"/>
  <cols>
    <col min="1" max="1" width="12.109375" style="128" customWidth="1"/>
    <col min="2" max="2" width="13.5546875" style="128" customWidth="1"/>
    <col min="3" max="3" width="11.44140625" style="128" customWidth="1"/>
    <col min="4" max="4" width="18.109375" style="128" customWidth="1"/>
    <col min="5" max="6" width="10.5546875" style="128" customWidth="1"/>
    <col min="7" max="7" width="10.6640625" style="128" customWidth="1"/>
    <col min="8" max="8" width="35.109375" style="128" customWidth="1"/>
    <col min="9" max="9" width="10.6640625" style="128" customWidth="1"/>
    <col min="10" max="10" width="11" style="128" customWidth="1"/>
    <col min="11" max="11" width="10.88671875" style="128" customWidth="1"/>
    <col min="12" max="12" width="13.33203125" style="128" customWidth="1"/>
    <col min="13" max="13" width="46.6640625" style="128" customWidth="1"/>
    <col min="14" max="256" width="9.109375" style="128"/>
    <col min="257" max="257" width="12.109375" style="128" customWidth="1"/>
    <col min="258" max="258" width="13.5546875" style="128" customWidth="1"/>
    <col min="259" max="259" width="11.44140625" style="128" customWidth="1"/>
    <col min="260" max="260" width="18.109375" style="128" customWidth="1"/>
    <col min="261" max="262" width="10.5546875" style="128" customWidth="1"/>
    <col min="263" max="263" width="10.6640625" style="128" customWidth="1"/>
    <col min="264" max="264" width="35.109375" style="128" customWidth="1"/>
    <col min="265" max="265" width="10.6640625" style="128" customWidth="1"/>
    <col min="266" max="266" width="11" style="128" customWidth="1"/>
    <col min="267" max="267" width="10.88671875" style="128" customWidth="1"/>
    <col min="268" max="268" width="13.33203125" style="128" customWidth="1"/>
    <col min="269" max="269" width="22.44140625" style="128" customWidth="1"/>
    <col min="270" max="512" width="9.109375" style="128"/>
    <col min="513" max="513" width="12.109375" style="128" customWidth="1"/>
    <col min="514" max="514" width="13.5546875" style="128" customWidth="1"/>
    <col min="515" max="515" width="11.44140625" style="128" customWidth="1"/>
    <col min="516" max="516" width="18.109375" style="128" customWidth="1"/>
    <col min="517" max="518" width="10.5546875" style="128" customWidth="1"/>
    <col min="519" max="519" width="10.6640625" style="128" customWidth="1"/>
    <col min="520" max="520" width="35.109375" style="128" customWidth="1"/>
    <col min="521" max="521" width="10.6640625" style="128" customWidth="1"/>
    <col min="522" max="522" width="11" style="128" customWidth="1"/>
    <col min="523" max="523" width="10.88671875" style="128" customWidth="1"/>
    <col min="524" max="524" width="13.33203125" style="128" customWidth="1"/>
    <col min="525" max="525" width="22.44140625" style="128" customWidth="1"/>
    <col min="526" max="768" width="9.109375" style="128"/>
    <col min="769" max="769" width="12.109375" style="128" customWidth="1"/>
    <col min="770" max="770" width="13.5546875" style="128" customWidth="1"/>
    <col min="771" max="771" width="11.44140625" style="128" customWidth="1"/>
    <col min="772" max="772" width="18.109375" style="128" customWidth="1"/>
    <col min="773" max="774" width="10.5546875" style="128" customWidth="1"/>
    <col min="775" max="775" width="10.6640625" style="128" customWidth="1"/>
    <col min="776" max="776" width="35.109375" style="128" customWidth="1"/>
    <col min="777" max="777" width="10.6640625" style="128" customWidth="1"/>
    <col min="778" max="778" width="11" style="128" customWidth="1"/>
    <col min="779" max="779" width="10.88671875" style="128" customWidth="1"/>
    <col min="780" max="780" width="13.33203125" style="128" customWidth="1"/>
    <col min="781" max="781" width="22.44140625" style="128" customWidth="1"/>
    <col min="782" max="1024" width="9.109375" style="128"/>
    <col min="1025" max="1025" width="12.109375" style="128" customWidth="1"/>
    <col min="1026" max="1026" width="13.5546875" style="128" customWidth="1"/>
    <col min="1027" max="1027" width="11.44140625" style="128" customWidth="1"/>
    <col min="1028" max="1028" width="18.109375" style="128" customWidth="1"/>
    <col min="1029" max="1030" width="10.5546875" style="128" customWidth="1"/>
    <col min="1031" max="1031" width="10.6640625" style="128" customWidth="1"/>
    <col min="1032" max="1032" width="35.109375" style="128" customWidth="1"/>
    <col min="1033" max="1033" width="10.6640625" style="128" customWidth="1"/>
    <col min="1034" max="1034" width="11" style="128" customWidth="1"/>
    <col min="1035" max="1035" width="10.88671875" style="128" customWidth="1"/>
    <col min="1036" max="1036" width="13.33203125" style="128" customWidth="1"/>
    <col min="1037" max="1037" width="22.44140625" style="128" customWidth="1"/>
    <col min="1038" max="1280" width="9.109375" style="128"/>
    <col min="1281" max="1281" width="12.109375" style="128" customWidth="1"/>
    <col min="1282" max="1282" width="13.5546875" style="128" customWidth="1"/>
    <col min="1283" max="1283" width="11.44140625" style="128" customWidth="1"/>
    <col min="1284" max="1284" width="18.109375" style="128" customWidth="1"/>
    <col min="1285" max="1286" width="10.5546875" style="128" customWidth="1"/>
    <col min="1287" max="1287" width="10.6640625" style="128" customWidth="1"/>
    <col min="1288" max="1288" width="35.109375" style="128" customWidth="1"/>
    <col min="1289" max="1289" width="10.6640625" style="128" customWidth="1"/>
    <col min="1290" max="1290" width="11" style="128" customWidth="1"/>
    <col min="1291" max="1291" width="10.88671875" style="128" customWidth="1"/>
    <col min="1292" max="1292" width="13.33203125" style="128" customWidth="1"/>
    <col min="1293" max="1293" width="22.44140625" style="128" customWidth="1"/>
    <col min="1294" max="1536" width="9.109375" style="128"/>
    <col min="1537" max="1537" width="12.109375" style="128" customWidth="1"/>
    <col min="1538" max="1538" width="13.5546875" style="128" customWidth="1"/>
    <col min="1539" max="1539" width="11.44140625" style="128" customWidth="1"/>
    <col min="1540" max="1540" width="18.109375" style="128" customWidth="1"/>
    <col min="1541" max="1542" width="10.5546875" style="128" customWidth="1"/>
    <col min="1543" max="1543" width="10.6640625" style="128" customWidth="1"/>
    <col min="1544" max="1544" width="35.109375" style="128" customWidth="1"/>
    <col min="1545" max="1545" width="10.6640625" style="128" customWidth="1"/>
    <col min="1546" max="1546" width="11" style="128" customWidth="1"/>
    <col min="1547" max="1547" width="10.88671875" style="128" customWidth="1"/>
    <col min="1548" max="1548" width="13.33203125" style="128" customWidth="1"/>
    <col min="1549" max="1549" width="22.44140625" style="128" customWidth="1"/>
    <col min="1550" max="1792" width="9.109375" style="128"/>
    <col min="1793" max="1793" width="12.109375" style="128" customWidth="1"/>
    <col min="1794" max="1794" width="13.5546875" style="128" customWidth="1"/>
    <col min="1795" max="1795" width="11.44140625" style="128" customWidth="1"/>
    <col min="1796" max="1796" width="18.109375" style="128" customWidth="1"/>
    <col min="1797" max="1798" width="10.5546875" style="128" customWidth="1"/>
    <col min="1799" max="1799" width="10.6640625" style="128" customWidth="1"/>
    <col min="1800" max="1800" width="35.109375" style="128" customWidth="1"/>
    <col min="1801" max="1801" width="10.6640625" style="128" customWidth="1"/>
    <col min="1802" max="1802" width="11" style="128" customWidth="1"/>
    <col min="1803" max="1803" width="10.88671875" style="128" customWidth="1"/>
    <col min="1804" max="1804" width="13.33203125" style="128" customWidth="1"/>
    <col min="1805" max="1805" width="22.44140625" style="128" customWidth="1"/>
    <col min="1806" max="2048" width="9.109375" style="128"/>
    <col min="2049" max="2049" width="12.109375" style="128" customWidth="1"/>
    <col min="2050" max="2050" width="13.5546875" style="128" customWidth="1"/>
    <col min="2051" max="2051" width="11.44140625" style="128" customWidth="1"/>
    <col min="2052" max="2052" width="18.109375" style="128" customWidth="1"/>
    <col min="2053" max="2054" width="10.5546875" style="128" customWidth="1"/>
    <col min="2055" max="2055" width="10.6640625" style="128" customWidth="1"/>
    <col min="2056" max="2056" width="35.109375" style="128" customWidth="1"/>
    <col min="2057" max="2057" width="10.6640625" style="128" customWidth="1"/>
    <col min="2058" max="2058" width="11" style="128" customWidth="1"/>
    <col min="2059" max="2059" width="10.88671875" style="128" customWidth="1"/>
    <col min="2060" max="2060" width="13.33203125" style="128" customWidth="1"/>
    <col min="2061" max="2061" width="22.44140625" style="128" customWidth="1"/>
    <col min="2062" max="2304" width="9.109375" style="128"/>
    <col min="2305" max="2305" width="12.109375" style="128" customWidth="1"/>
    <col min="2306" max="2306" width="13.5546875" style="128" customWidth="1"/>
    <col min="2307" max="2307" width="11.44140625" style="128" customWidth="1"/>
    <col min="2308" max="2308" width="18.109375" style="128" customWidth="1"/>
    <col min="2309" max="2310" width="10.5546875" style="128" customWidth="1"/>
    <col min="2311" max="2311" width="10.6640625" style="128" customWidth="1"/>
    <col min="2312" max="2312" width="35.109375" style="128" customWidth="1"/>
    <col min="2313" max="2313" width="10.6640625" style="128" customWidth="1"/>
    <col min="2314" max="2314" width="11" style="128" customWidth="1"/>
    <col min="2315" max="2315" width="10.88671875" style="128" customWidth="1"/>
    <col min="2316" max="2316" width="13.33203125" style="128" customWidth="1"/>
    <col min="2317" max="2317" width="22.44140625" style="128" customWidth="1"/>
    <col min="2318" max="2560" width="9.109375" style="128"/>
    <col min="2561" max="2561" width="12.109375" style="128" customWidth="1"/>
    <col min="2562" max="2562" width="13.5546875" style="128" customWidth="1"/>
    <col min="2563" max="2563" width="11.44140625" style="128" customWidth="1"/>
    <col min="2564" max="2564" width="18.109375" style="128" customWidth="1"/>
    <col min="2565" max="2566" width="10.5546875" style="128" customWidth="1"/>
    <col min="2567" max="2567" width="10.6640625" style="128" customWidth="1"/>
    <col min="2568" max="2568" width="35.109375" style="128" customWidth="1"/>
    <col min="2569" max="2569" width="10.6640625" style="128" customWidth="1"/>
    <col min="2570" max="2570" width="11" style="128" customWidth="1"/>
    <col min="2571" max="2571" width="10.88671875" style="128" customWidth="1"/>
    <col min="2572" max="2572" width="13.33203125" style="128" customWidth="1"/>
    <col min="2573" max="2573" width="22.44140625" style="128" customWidth="1"/>
    <col min="2574" max="2816" width="9.109375" style="128"/>
    <col min="2817" max="2817" width="12.109375" style="128" customWidth="1"/>
    <col min="2818" max="2818" width="13.5546875" style="128" customWidth="1"/>
    <col min="2819" max="2819" width="11.44140625" style="128" customWidth="1"/>
    <col min="2820" max="2820" width="18.109375" style="128" customWidth="1"/>
    <col min="2821" max="2822" width="10.5546875" style="128" customWidth="1"/>
    <col min="2823" max="2823" width="10.6640625" style="128" customWidth="1"/>
    <col min="2824" max="2824" width="35.109375" style="128" customWidth="1"/>
    <col min="2825" max="2825" width="10.6640625" style="128" customWidth="1"/>
    <col min="2826" max="2826" width="11" style="128" customWidth="1"/>
    <col min="2827" max="2827" width="10.88671875" style="128" customWidth="1"/>
    <col min="2828" max="2828" width="13.33203125" style="128" customWidth="1"/>
    <col min="2829" max="2829" width="22.44140625" style="128" customWidth="1"/>
    <col min="2830" max="3072" width="9.109375" style="128"/>
    <col min="3073" max="3073" width="12.109375" style="128" customWidth="1"/>
    <col min="3074" max="3074" width="13.5546875" style="128" customWidth="1"/>
    <col min="3075" max="3075" width="11.44140625" style="128" customWidth="1"/>
    <col min="3076" max="3076" width="18.109375" style="128" customWidth="1"/>
    <col min="3077" max="3078" width="10.5546875" style="128" customWidth="1"/>
    <col min="3079" max="3079" width="10.6640625" style="128" customWidth="1"/>
    <col min="3080" max="3080" width="35.109375" style="128" customWidth="1"/>
    <col min="3081" max="3081" width="10.6640625" style="128" customWidth="1"/>
    <col min="3082" max="3082" width="11" style="128" customWidth="1"/>
    <col min="3083" max="3083" width="10.88671875" style="128" customWidth="1"/>
    <col min="3084" max="3084" width="13.33203125" style="128" customWidth="1"/>
    <col min="3085" max="3085" width="22.44140625" style="128" customWidth="1"/>
    <col min="3086" max="3328" width="9.109375" style="128"/>
    <col min="3329" max="3329" width="12.109375" style="128" customWidth="1"/>
    <col min="3330" max="3330" width="13.5546875" style="128" customWidth="1"/>
    <col min="3331" max="3331" width="11.44140625" style="128" customWidth="1"/>
    <col min="3332" max="3332" width="18.109375" style="128" customWidth="1"/>
    <col min="3333" max="3334" width="10.5546875" style="128" customWidth="1"/>
    <col min="3335" max="3335" width="10.6640625" style="128" customWidth="1"/>
    <col min="3336" max="3336" width="35.109375" style="128" customWidth="1"/>
    <col min="3337" max="3337" width="10.6640625" style="128" customWidth="1"/>
    <col min="3338" max="3338" width="11" style="128" customWidth="1"/>
    <col min="3339" max="3339" width="10.88671875" style="128" customWidth="1"/>
    <col min="3340" max="3340" width="13.33203125" style="128" customWidth="1"/>
    <col min="3341" max="3341" width="22.44140625" style="128" customWidth="1"/>
    <col min="3342" max="3584" width="9.109375" style="128"/>
    <col min="3585" max="3585" width="12.109375" style="128" customWidth="1"/>
    <col min="3586" max="3586" width="13.5546875" style="128" customWidth="1"/>
    <col min="3587" max="3587" width="11.44140625" style="128" customWidth="1"/>
    <col min="3588" max="3588" width="18.109375" style="128" customWidth="1"/>
    <col min="3589" max="3590" width="10.5546875" style="128" customWidth="1"/>
    <col min="3591" max="3591" width="10.6640625" style="128" customWidth="1"/>
    <col min="3592" max="3592" width="35.109375" style="128" customWidth="1"/>
    <col min="3593" max="3593" width="10.6640625" style="128" customWidth="1"/>
    <col min="3594" max="3594" width="11" style="128" customWidth="1"/>
    <col min="3595" max="3595" width="10.88671875" style="128" customWidth="1"/>
    <col min="3596" max="3596" width="13.33203125" style="128" customWidth="1"/>
    <col min="3597" max="3597" width="22.44140625" style="128" customWidth="1"/>
    <col min="3598" max="3840" width="9.109375" style="128"/>
    <col min="3841" max="3841" width="12.109375" style="128" customWidth="1"/>
    <col min="3842" max="3842" width="13.5546875" style="128" customWidth="1"/>
    <col min="3843" max="3843" width="11.44140625" style="128" customWidth="1"/>
    <col min="3844" max="3844" width="18.109375" style="128" customWidth="1"/>
    <col min="3845" max="3846" width="10.5546875" style="128" customWidth="1"/>
    <col min="3847" max="3847" width="10.6640625" style="128" customWidth="1"/>
    <col min="3848" max="3848" width="35.109375" style="128" customWidth="1"/>
    <col min="3849" max="3849" width="10.6640625" style="128" customWidth="1"/>
    <col min="3850" max="3850" width="11" style="128" customWidth="1"/>
    <col min="3851" max="3851" width="10.88671875" style="128" customWidth="1"/>
    <col min="3852" max="3852" width="13.33203125" style="128" customWidth="1"/>
    <col min="3853" max="3853" width="22.44140625" style="128" customWidth="1"/>
    <col min="3854" max="4096" width="9.109375" style="128"/>
    <col min="4097" max="4097" width="12.109375" style="128" customWidth="1"/>
    <col min="4098" max="4098" width="13.5546875" style="128" customWidth="1"/>
    <col min="4099" max="4099" width="11.44140625" style="128" customWidth="1"/>
    <col min="4100" max="4100" width="18.109375" style="128" customWidth="1"/>
    <col min="4101" max="4102" width="10.5546875" style="128" customWidth="1"/>
    <col min="4103" max="4103" width="10.6640625" style="128" customWidth="1"/>
    <col min="4104" max="4104" width="35.109375" style="128" customWidth="1"/>
    <col min="4105" max="4105" width="10.6640625" style="128" customWidth="1"/>
    <col min="4106" max="4106" width="11" style="128" customWidth="1"/>
    <col min="4107" max="4107" width="10.88671875" style="128" customWidth="1"/>
    <col min="4108" max="4108" width="13.33203125" style="128" customWidth="1"/>
    <col min="4109" max="4109" width="22.44140625" style="128" customWidth="1"/>
    <col min="4110" max="4352" width="9.109375" style="128"/>
    <col min="4353" max="4353" width="12.109375" style="128" customWidth="1"/>
    <col min="4354" max="4354" width="13.5546875" style="128" customWidth="1"/>
    <col min="4355" max="4355" width="11.44140625" style="128" customWidth="1"/>
    <col min="4356" max="4356" width="18.109375" style="128" customWidth="1"/>
    <col min="4357" max="4358" width="10.5546875" style="128" customWidth="1"/>
    <col min="4359" max="4359" width="10.6640625" style="128" customWidth="1"/>
    <col min="4360" max="4360" width="35.109375" style="128" customWidth="1"/>
    <col min="4361" max="4361" width="10.6640625" style="128" customWidth="1"/>
    <col min="4362" max="4362" width="11" style="128" customWidth="1"/>
    <col min="4363" max="4363" width="10.88671875" style="128" customWidth="1"/>
    <col min="4364" max="4364" width="13.33203125" style="128" customWidth="1"/>
    <col min="4365" max="4365" width="22.44140625" style="128" customWidth="1"/>
    <col min="4366" max="4608" width="9.109375" style="128"/>
    <col min="4609" max="4609" width="12.109375" style="128" customWidth="1"/>
    <col min="4610" max="4610" width="13.5546875" style="128" customWidth="1"/>
    <col min="4611" max="4611" width="11.44140625" style="128" customWidth="1"/>
    <col min="4612" max="4612" width="18.109375" style="128" customWidth="1"/>
    <col min="4613" max="4614" width="10.5546875" style="128" customWidth="1"/>
    <col min="4615" max="4615" width="10.6640625" style="128" customWidth="1"/>
    <col min="4616" max="4616" width="35.109375" style="128" customWidth="1"/>
    <col min="4617" max="4617" width="10.6640625" style="128" customWidth="1"/>
    <col min="4618" max="4618" width="11" style="128" customWidth="1"/>
    <col min="4619" max="4619" width="10.88671875" style="128" customWidth="1"/>
    <col min="4620" max="4620" width="13.33203125" style="128" customWidth="1"/>
    <col min="4621" max="4621" width="22.44140625" style="128" customWidth="1"/>
    <col min="4622" max="4864" width="9.109375" style="128"/>
    <col min="4865" max="4865" width="12.109375" style="128" customWidth="1"/>
    <col min="4866" max="4866" width="13.5546875" style="128" customWidth="1"/>
    <col min="4867" max="4867" width="11.44140625" style="128" customWidth="1"/>
    <col min="4868" max="4868" width="18.109375" style="128" customWidth="1"/>
    <col min="4869" max="4870" width="10.5546875" style="128" customWidth="1"/>
    <col min="4871" max="4871" width="10.6640625" style="128" customWidth="1"/>
    <col min="4872" max="4872" width="35.109375" style="128" customWidth="1"/>
    <col min="4873" max="4873" width="10.6640625" style="128" customWidth="1"/>
    <col min="4874" max="4874" width="11" style="128" customWidth="1"/>
    <col min="4875" max="4875" width="10.88671875" style="128" customWidth="1"/>
    <col min="4876" max="4876" width="13.33203125" style="128" customWidth="1"/>
    <col min="4877" max="4877" width="22.44140625" style="128" customWidth="1"/>
    <col min="4878" max="5120" width="9.109375" style="128"/>
    <col min="5121" max="5121" width="12.109375" style="128" customWidth="1"/>
    <col min="5122" max="5122" width="13.5546875" style="128" customWidth="1"/>
    <col min="5123" max="5123" width="11.44140625" style="128" customWidth="1"/>
    <col min="5124" max="5124" width="18.109375" style="128" customWidth="1"/>
    <col min="5125" max="5126" width="10.5546875" style="128" customWidth="1"/>
    <col min="5127" max="5127" width="10.6640625" style="128" customWidth="1"/>
    <col min="5128" max="5128" width="35.109375" style="128" customWidth="1"/>
    <col min="5129" max="5129" width="10.6640625" style="128" customWidth="1"/>
    <col min="5130" max="5130" width="11" style="128" customWidth="1"/>
    <col min="5131" max="5131" width="10.88671875" style="128" customWidth="1"/>
    <col min="5132" max="5132" width="13.33203125" style="128" customWidth="1"/>
    <col min="5133" max="5133" width="22.44140625" style="128" customWidth="1"/>
    <col min="5134" max="5376" width="9.109375" style="128"/>
    <col min="5377" max="5377" width="12.109375" style="128" customWidth="1"/>
    <col min="5378" max="5378" width="13.5546875" style="128" customWidth="1"/>
    <col min="5379" max="5379" width="11.44140625" style="128" customWidth="1"/>
    <col min="5380" max="5380" width="18.109375" style="128" customWidth="1"/>
    <col min="5381" max="5382" width="10.5546875" style="128" customWidth="1"/>
    <col min="5383" max="5383" width="10.6640625" style="128" customWidth="1"/>
    <col min="5384" max="5384" width="35.109375" style="128" customWidth="1"/>
    <col min="5385" max="5385" width="10.6640625" style="128" customWidth="1"/>
    <col min="5386" max="5386" width="11" style="128" customWidth="1"/>
    <col min="5387" max="5387" width="10.88671875" style="128" customWidth="1"/>
    <col min="5388" max="5388" width="13.33203125" style="128" customWidth="1"/>
    <col min="5389" max="5389" width="22.44140625" style="128" customWidth="1"/>
    <col min="5390" max="5632" width="9.109375" style="128"/>
    <col min="5633" max="5633" width="12.109375" style="128" customWidth="1"/>
    <col min="5634" max="5634" width="13.5546875" style="128" customWidth="1"/>
    <col min="5635" max="5635" width="11.44140625" style="128" customWidth="1"/>
    <col min="5636" max="5636" width="18.109375" style="128" customWidth="1"/>
    <col min="5637" max="5638" width="10.5546875" style="128" customWidth="1"/>
    <col min="5639" max="5639" width="10.6640625" style="128" customWidth="1"/>
    <col min="5640" max="5640" width="35.109375" style="128" customWidth="1"/>
    <col min="5641" max="5641" width="10.6640625" style="128" customWidth="1"/>
    <col min="5642" max="5642" width="11" style="128" customWidth="1"/>
    <col min="5643" max="5643" width="10.88671875" style="128" customWidth="1"/>
    <col min="5644" max="5644" width="13.33203125" style="128" customWidth="1"/>
    <col min="5645" max="5645" width="22.44140625" style="128" customWidth="1"/>
    <col min="5646" max="5888" width="9.109375" style="128"/>
    <col min="5889" max="5889" width="12.109375" style="128" customWidth="1"/>
    <col min="5890" max="5890" width="13.5546875" style="128" customWidth="1"/>
    <col min="5891" max="5891" width="11.44140625" style="128" customWidth="1"/>
    <col min="5892" max="5892" width="18.109375" style="128" customWidth="1"/>
    <col min="5893" max="5894" width="10.5546875" style="128" customWidth="1"/>
    <col min="5895" max="5895" width="10.6640625" style="128" customWidth="1"/>
    <col min="5896" max="5896" width="35.109375" style="128" customWidth="1"/>
    <col min="5897" max="5897" width="10.6640625" style="128" customWidth="1"/>
    <col min="5898" max="5898" width="11" style="128" customWidth="1"/>
    <col min="5899" max="5899" width="10.88671875" style="128" customWidth="1"/>
    <col min="5900" max="5900" width="13.33203125" style="128" customWidth="1"/>
    <col min="5901" max="5901" width="22.44140625" style="128" customWidth="1"/>
    <col min="5902" max="6144" width="9.109375" style="128"/>
    <col min="6145" max="6145" width="12.109375" style="128" customWidth="1"/>
    <col min="6146" max="6146" width="13.5546875" style="128" customWidth="1"/>
    <col min="6147" max="6147" width="11.44140625" style="128" customWidth="1"/>
    <col min="6148" max="6148" width="18.109375" style="128" customWidth="1"/>
    <col min="6149" max="6150" width="10.5546875" style="128" customWidth="1"/>
    <col min="6151" max="6151" width="10.6640625" style="128" customWidth="1"/>
    <col min="6152" max="6152" width="35.109375" style="128" customWidth="1"/>
    <col min="6153" max="6153" width="10.6640625" style="128" customWidth="1"/>
    <col min="6154" max="6154" width="11" style="128" customWidth="1"/>
    <col min="6155" max="6155" width="10.88671875" style="128" customWidth="1"/>
    <col min="6156" max="6156" width="13.33203125" style="128" customWidth="1"/>
    <col min="6157" max="6157" width="22.44140625" style="128" customWidth="1"/>
    <col min="6158" max="6400" width="9.109375" style="128"/>
    <col min="6401" max="6401" width="12.109375" style="128" customWidth="1"/>
    <col min="6402" max="6402" width="13.5546875" style="128" customWidth="1"/>
    <col min="6403" max="6403" width="11.44140625" style="128" customWidth="1"/>
    <col min="6404" max="6404" width="18.109375" style="128" customWidth="1"/>
    <col min="6405" max="6406" width="10.5546875" style="128" customWidth="1"/>
    <col min="6407" max="6407" width="10.6640625" style="128" customWidth="1"/>
    <col min="6408" max="6408" width="35.109375" style="128" customWidth="1"/>
    <col min="6409" max="6409" width="10.6640625" style="128" customWidth="1"/>
    <col min="6410" max="6410" width="11" style="128" customWidth="1"/>
    <col min="6411" max="6411" width="10.88671875" style="128" customWidth="1"/>
    <col min="6412" max="6412" width="13.33203125" style="128" customWidth="1"/>
    <col min="6413" max="6413" width="22.44140625" style="128" customWidth="1"/>
    <col min="6414" max="6656" width="9.109375" style="128"/>
    <col min="6657" max="6657" width="12.109375" style="128" customWidth="1"/>
    <col min="6658" max="6658" width="13.5546875" style="128" customWidth="1"/>
    <col min="6659" max="6659" width="11.44140625" style="128" customWidth="1"/>
    <col min="6660" max="6660" width="18.109375" style="128" customWidth="1"/>
    <col min="6661" max="6662" width="10.5546875" style="128" customWidth="1"/>
    <col min="6663" max="6663" width="10.6640625" style="128" customWidth="1"/>
    <col min="6664" max="6664" width="35.109375" style="128" customWidth="1"/>
    <col min="6665" max="6665" width="10.6640625" style="128" customWidth="1"/>
    <col min="6666" max="6666" width="11" style="128" customWidth="1"/>
    <col min="6667" max="6667" width="10.88671875" style="128" customWidth="1"/>
    <col min="6668" max="6668" width="13.33203125" style="128" customWidth="1"/>
    <col min="6669" max="6669" width="22.44140625" style="128" customWidth="1"/>
    <col min="6670" max="6912" width="9.109375" style="128"/>
    <col min="6913" max="6913" width="12.109375" style="128" customWidth="1"/>
    <col min="6914" max="6914" width="13.5546875" style="128" customWidth="1"/>
    <col min="6915" max="6915" width="11.44140625" style="128" customWidth="1"/>
    <col min="6916" max="6916" width="18.109375" style="128" customWidth="1"/>
    <col min="6917" max="6918" width="10.5546875" style="128" customWidth="1"/>
    <col min="6919" max="6919" width="10.6640625" style="128" customWidth="1"/>
    <col min="6920" max="6920" width="35.109375" style="128" customWidth="1"/>
    <col min="6921" max="6921" width="10.6640625" style="128" customWidth="1"/>
    <col min="6922" max="6922" width="11" style="128" customWidth="1"/>
    <col min="6923" max="6923" width="10.88671875" style="128" customWidth="1"/>
    <col min="6924" max="6924" width="13.33203125" style="128" customWidth="1"/>
    <col min="6925" max="6925" width="22.44140625" style="128" customWidth="1"/>
    <col min="6926" max="7168" width="9.109375" style="128"/>
    <col min="7169" max="7169" width="12.109375" style="128" customWidth="1"/>
    <col min="7170" max="7170" width="13.5546875" style="128" customWidth="1"/>
    <col min="7171" max="7171" width="11.44140625" style="128" customWidth="1"/>
    <col min="7172" max="7172" width="18.109375" style="128" customWidth="1"/>
    <col min="7173" max="7174" width="10.5546875" style="128" customWidth="1"/>
    <col min="7175" max="7175" width="10.6640625" style="128" customWidth="1"/>
    <col min="7176" max="7176" width="35.109375" style="128" customWidth="1"/>
    <col min="7177" max="7177" width="10.6640625" style="128" customWidth="1"/>
    <col min="7178" max="7178" width="11" style="128" customWidth="1"/>
    <col min="7179" max="7179" width="10.88671875" style="128" customWidth="1"/>
    <col min="7180" max="7180" width="13.33203125" style="128" customWidth="1"/>
    <col min="7181" max="7181" width="22.44140625" style="128" customWidth="1"/>
    <col min="7182" max="7424" width="9.109375" style="128"/>
    <col min="7425" max="7425" width="12.109375" style="128" customWidth="1"/>
    <col min="7426" max="7426" width="13.5546875" style="128" customWidth="1"/>
    <col min="7427" max="7427" width="11.44140625" style="128" customWidth="1"/>
    <col min="7428" max="7428" width="18.109375" style="128" customWidth="1"/>
    <col min="7429" max="7430" width="10.5546875" style="128" customWidth="1"/>
    <col min="7431" max="7431" width="10.6640625" style="128" customWidth="1"/>
    <col min="7432" max="7432" width="35.109375" style="128" customWidth="1"/>
    <col min="7433" max="7433" width="10.6640625" style="128" customWidth="1"/>
    <col min="7434" max="7434" width="11" style="128" customWidth="1"/>
    <col min="7435" max="7435" width="10.88671875" style="128" customWidth="1"/>
    <col min="7436" max="7436" width="13.33203125" style="128" customWidth="1"/>
    <col min="7437" max="7437" width="22.44140625" style="128" customWidth="1"/>
    <col min="7438" max="7680" width="9.109375" style="128"/>
    <col min="7681" max="7681" width="12.109375" style="128" customWidth="1"/>
    <col min="7682" max="7682" width="13.5546875" style="128" customWidth="1"/>
    <col min="7683" max="7683" width="11.44140625" style="128" customWidth="1"/>
    <col min="7684" max="7684" width="18.109375" style="128" customWidth="1"/>
    <col min="7685" max="7686" width="10.5546875" style="128" customWidth="1"/>
    <col min="7687" max="7687" width="10.6640625" style="128" customWidth="1"/>
    <col min="7688" max="7688" width="35.109375" style="128" customWidth="1"/>
    <col min="7689" max="7689" width="10.6640625" style="128" customWidth="1"/>
    <col min="7690" max="7690" width="11" style="128" customWidth="1"/>
    <col min="7691" max="7691" width="10.88671875" style="128" customWidth="1"/>
    <col min="7692" max="7692" width="13.33203125" style="128" customWidth="1"/>
    <col min="7693" max="7693" width="22.44140625" style="128" customWidth="1"/>
    <col min="7694" max="7936" width="9.109375" style="128"/>
    <col min="7937" max="7937" width="12.109375" style="128" customWidth="1"/>
    <col min="7938" max="7938" width="13.5546875" style="128" customWidth="1"/>
    <col min="7939" max="7939" width="11.44140625" style="128" customWidth="1"/>
    <col min="7940" max="7940" width="18.109375" style="128" customWidth="1"/>
    <col min="7941" max="7942" width="10.5546875" style="128" customWidth="1"/>
    <col min="7943" max="7943" width="10.6640625" style="128" customWidth="1"/>
    <col min="7944" max="7944" width="35.109375" style="128" customWidth="1"/>
    <col min="7945" max="7945" width="10.6640625" style="128" customWidth="1"/>
    <col min="7946" max="7946" width="11" style="128" customWidth="1"/>
    <col min="7947" max="7947" width="10.88671875" style="128" customWidth="1"/>
    <col min="7948" max="7948" width="13.33203125" style="128" customWidth="1"/>
    <col min="7949" max="7949" width="22.44140625" style="128" customWidth="1"/>
    <col min="7950" max="8192" width="9.109375" style="128"/>
    <col min="8193" max="8193" width="12.109375" style="128" customWidth="1"/>
    <col min="8194" max="8194" width="13.5546875" style="128" customWidth="1"/>
    <col min="8195" max="8195" width="11.44140625" style="128" customWidth="1"/>
    <col min="8196" max="8196" width="18.109375" style="128" customWidth="1"/>
    <col min="8197" max="8198" width="10.5546875" style="128" customWidth="1"/>
    <col min="8199" max="8199" width="10.6640625" style="128" customWidth="1"/>
    <col min="8200" max="8200" width="35.109375" style="128" customWidth="1"/>
    <col min="8201" max="8201" width="10.6640625" style="128" customWidth="1"/>
    <col min="8202" max="8202" width="11" style="128" customWidth="1"/>
    <col min="8203" max="8203" width="10.88671875" style="128" customWidth="1"/>
    <col min="8204" max="8204" width="13.33203125" style="128" customWidth="1"/>
    <col min="8205" max="8205" width="22.44140625" style="128" customWidth="1"/>
    <col min="8206" max="8448" width="9.109375" style="128"/>
    <col min="8449" max="8449" width="12.109375" style="128" customWidth="1"/>
    <col min="8450" max="8450" width="13.5546875" style="128" customWidth="1"/>
    <col min="8451" max="8451" width="11.44140625" style="128" customWidth="1"/>
    <col min="8452" max="8452" width="18.109375" style="128" customWidth="1"/>
    <col min="8453" max="8454" width="10.5546875" style="128" customWidth="1"/>
    <col min="8455" max="8455" width="10.6640625" style="128" customWidth="1"/>
    <col min="8456" max="8456" width="35.109375" style="128" customWidth="1"/>
    <col min="8457" max="8457" width="10.6640625" style="128" customWidth="1"/>
    <col min="8458" max="8458" width="11" style="128" customWidth="1"/>
    <col min="8459" max="8459" width="10.88671875" style="128" customWidth="1"/>
    <col min="8460" max="8460" width="13.33203125" style="128" customWidth="1"/>
    <col min="8461" max="8461" width="22.44140625" style="128" customWidth="1"/>
    <col min="8462" max="8704" width="9.109375" style="128"/>
    <col min="8705" max="8705" width="12.109375" style="128" customWidth="1"/>
    <col min="8706" max="8706" width="13.5546875" style="128" customWidth="1"/>
    <col min="8707" max="8707" width="11.44140625" style="128" customWidth="1"/>
    <col min="8708" max="8708" width="18.109375" style="128" customWidth="1"/>
    <col min="8709" max="8710" width="10.5546875" style="128" customWidth="1"/>
    <col min="8711" max="8711" width="10.6640625" style="128" customWidth="1"/>
    <col min="8712" max="8712" width="35.109375" style="128" customWidth="1"/>
    <col min="8713" max="8713" width="10.6640625" style="128" customWidth="1"/>
    <col min="8714" max="8714" width="11" style="128" customWidth="1"/>
    <col min="8715" max="8715" width="10.88671875" style="128" customWidth="1"/>
    <col min="8716" max="8716" width="13.33203125" style="128" customWidth="1"/>
    <col min="8717" max="8717" width="22.44140625" style="128" customWidth="1"/>
    <col min="8718" max="8960" width="9.109375" style="128"/>
    <col min="8961" max="8961" width="12.109375" style="128" customWidth="1"/>
    <col min="8962" max="8962" width="13.5546875" style="128" customWidth="1"/>
    <col min="8963" max="8963" width="11.44140625" style="128" customWidth="1"/>
    <col min="8964" max="8964" width="18.109375" style="128" customWidth="1"/>
    <col min="8965" max="8966" width="10.5546875" style="128" customWidth="1"/>
    <col min="8967" max="8967" width="10.6640625" style="128" customWidth="1"/>
    <col min="8968" max="8968" width="35.109375" style="128" customWidth="1"/>
    <col min="8969" max="8969" width="10.6640625" style="128" customWidth="1"/>
    <col min="8970" max="8970" width="11" style="128" customWidth="1"/>
    <col min="8971" max="8971" width="10.88671875" style="128" customWidth="1"/>
    <col min="8972" max="8972" width="13.33203125" style="128" customWidth="1"/>
    <col min="8973" max="8973" width="22.44140625" style="128" customWidth="1"/>
    <col min="8974" max="9216" width="9.109375" style="128"/>
    <col min="9217" max="9217" width="12.109375" style="128" customWidth="1"/>
    <col min="9218" max="9218" width="13.5546875" style="128" customWidth="1"/>
    <col min="9219" max="9219" width="11.44140625" style="128" customWidth="1"/>
    <col min="9220" max="9220" width="18.109375" style="128" customWidth="1"/>
    <col min="9221" max="9222" width="10.5546875" style="128" customWidth="1"/>
    <col min="9223" max="9223" width="10.6640625" style="128" customWidth="1"/>
    <col min="9224" max="9224" width="35.109375" style="128" customWidth="1"/>
    <col min="9225" max="9225" width="10.6640625" style="128" customWidth="1"/>
    <col min="9226" max="9226" width="11" style="128" customWidth="1"/>
    <col min="9227" max="9227" width="10.88671875" style="128" customWidth="1"/>
    <col min="9228" max="9228" width="13.33203125" style="128" customWidth="1"/>
    <col min="9229" max="9229" width="22.44140625" style="128" customWidth="1"/>
    <col min="9230" max="9472" width="9.109375" style="128"/>
    <col min="9473" max="9473" width="12.109375" style="128" customWidth="1"/>
    <col min="9474" max="9474" width="13.5546875" style="128" customWidth="1"/>
    <col min="9475" max="9475" width="11.44140625" style="128" customWidth="1"/>
    <col min="9476" max="9476" width="18.109375" style="128" customWidth="1"/>
    <col min="9477" max="9478" width="10.5546875" style="128" customWidth="1"/>
    <col min="9479" max="9479" width="10.6640625" style="128" customWidth="1"/>
    <col min="9480" max="9480" width="35.109375" style="128" customWidth="1"/>
    <col min="9481" max="9481" width="10.6640625" style="128" customWidth="1"/>
    <col min="9482" max="9482" width="11" style="128" customWidth="1"/>
    <col min="9483" max="9483" width="10.88671875" style="128" customWidth="1"/>
    <col min="9484" max="9484" width="13.33203125" style="128" customWidth="1"/>
    <col min="9485" max="9485" width="22.44140625" style="128" customWidth="1"/>
    <col min="9486" max="9728" width="9.109375" style="128"/>
    <col min="9729" max="9729" width="12.109375" style="128" customWidth="1"/>
    <col min="9730" max="9730" width="13.5546875" style="128" customWidth="1"/>
    <col min="9731" max="9731" width="11.44140625" style="128" customWidth="1"/>
    <col min="9732" max="9732" width="18.109375" style="128" customWidth="1"/>
    <col min="9733" max="9734" width="10.5546875" style="128" customWidth="1"/>
    <col min="9735" max="9735" width="10.6640625" style="128" customWidth="1"/>
    <col min="9736" max="9736" width="35.109375" style="128" customWidth="1"/>
    <col min="9737" max="9737" width="10.6640625" style="128" customWidth="1"/>
    <col min="9738" max="9738" width="11" style="128" customWidth="1"/>
    <col min="9739" max="9739" width="10.88671875" style="128" customWidth="1"/>
    <col min="9740" max="9740" width="13.33203125" style="128" customWidth="1"/>
    <col min="9741" max="9741" width="22.44140625" style="128" customWidth="1"/>
    <col min="9742" max="9984" width="9.109375" style="128"/>
    <col min="9985" max="9985" width="12.109375" style="128" customWidth="1"/>
    <col min="9986" max="9986" width="13.5546875" style="128" customWidth="1"/>
    <col min="9987" max="9987" width="11.44140625" style="128" customWidth="1"/>
    <col min="9988" max="9988" width="18.109375" style="128" customWidth="1"/>
    <col min="9989" max="9990" width="10.5546875" style="128" customWidth="1"/>
    <col min="9991" max="9991" width="10.6640625" style="128" customWidth="1"/>
    <col min="9992" max="9992" width="35.109375" style="128" customWidth="1"/>
    <col min="9993" max="9993" width="10.6640625" style="128" customWidth="1"/>
    <col min="9994" max="9994" width="11" style="128" customWidth="1"/>
    <col min="9995" max="9995" width="10.88671875" style="128" customWidth="1"/>
    <col min="9996" max="9996" width="13.33203125" style="128" customWidth="1"/>
    <col min="9997" max="9997" width="22.44140625" style="128" customWidth="1"/>
    <col min="9998" max="10240" width="9.109375" style="128"/>
    <col min="10241" max="10241" width="12.109375" style="128" customWidth="1"/>
    <col min="10242" max="10242" width="13.5546875" style="128" customWidth="1"/>
    <col min="10243" max="10243" width="11.44140625" style="128" customWidth="1"/>
    <col min="10244" max="10244" width="18.109375" style="128" customWidth="1"/>
    <col min="10245" max="10246" width="10.5546875" style="128" customWidth="1"/>
    <col min="10247" max="10247" width="10.6640625" style="128" customWidth="1"/>
    <col min="10248" max="10248" width="35.109375" style="128" customWidth="1"/>
    <col min="10249" max="10249" width="10.6640625" style="128" customWidth="1"/>
    <col min="10250" max="10250" width="11" style="128" customWidth="1"/>
    <col min="10251" max="10251" width="10.88671875" style="128" customWidth="1"/>
    <col min="10252" max="10252" width="13.33203125" style="128" customWidth="1"/>
    <col min="10253" max="10253" width="22.44140625" style="128" customWidth="1"/>
    <col min="10254" max="10496" width="9.109375" style="128"/>
    <col min="10497" max="10497" width="12.109375" style="128" customWidth="1"/>
    <col min="10498" max="10498" width="13.5546875" style="128" customWidth="1"/>
    <col min="10499" max="10499" width="11.44140625" style="128" customWidth="1"/>
    <col min="10500" max="10500" width="18.109375" style="128" customWidth="1"/>
    <col min="10501" max="10502" width="10.5546875" style="128" customWidth="1"/>
    <col min="10503" max="10503" width="10.6640625" style="128" customWidth="1"/>
    <col min="10504" max="10504" width="35.109375" style="128" customWidth="1"/>
    <col min="10505" max="10505" width="10.6640625" style="128" customWidth="1"/>
    <col min="10506" max="10506" width="11" style="128" customWidth="1"/>
    <col min="10507" max="10507" width="10.88671875" style="128" customWidth="1"/>
    <col min="10508" max="10508" width="13.33203125" style="128" customWidth="1"/>
    <col min="10509" max="10509" width="22.44140625" style="128" customWidth="1"/>
    <col min="10510" max="10752" width="9.109375" style="128"/>
    <col min="10753" max="10753" width="12.109375" style="128" customWidth="1"/>
    <col min="10754" max="10754" width="13.5546875" style="128" customWidth="1"/>
    <col min="10755" max="10755" width="11.44140625" style="128" customWidth="1"/>
    <col min="10756" max="10756" width="18.109375" style="128" customWidth="1"/>
    <col min="10757" max="10758" width="10.5546875" style="128" customWidth="1"/>
    <col min="10759" max="10759" width="10.6640625" style="128" customWidth="1"/>
    <col min="10760" max="10760" width="35.109375" style="128" customWidth="1"/>
    <col min="10761" max="10761" width="10.6640625" style="128" customWidth="1"/>
    <col min="10762" max="10762" width="11" style="128" customWidth="1"/>
    <col min="10763" max="10763" width="10.88671875" style="128" customWidth="1"/>
    <col min="10764" max="10764" width="13.33203125" style="128" customWidth="1"/>
    <col min="10765" max="10765" width="22.44140625" style="128" customWidth="1"/>
    <col min="10766" max="11008" width="9.109375" style="128"/>
    <col min="11009" max="11009" width="12.109375" style="128" customWidth="1"/>
    <col min="11010" max="11010" width="13.5546875" style="128" customWidth="1"/>
    <col min="11011" max="11011" width="11.44140625" style="128" customWidth="1"/>
    <col min="11012" max="11012" width="18.109375" style="128" customWidth="1"/>
    <col min="11013" max="11014" width="10.5546875" style="128" customWidth="1"/>
    <col min="11015" max="11015" width="10.6640625" style="128" customWidth="1"/>
    <col min="11016" max="11016" width="35.109375" style="128" customWidth="1"/>
    <col min="11017" max="11017" width="10.6640625" style="128" customWidth="1"/>
    <col min="11018" max="11018" width="11" style="128" customWidth="1"/>
    <col min="11019" max="11019" width="10.88671875" style="128" customWidth="1"/>
    <col min="11020" max="11020" width="13.33203125" style="128" customWidth="1"/>
    <col min="11021" max="11021" width="22.44140625" style="128" customWidth="1"/>
    <col min="11022" max="11264" width="9.109375" style="128"/>
    <col min="11265" max="11265" width="12.109375" style="128" customWidth="1"/>
    <col min="11266" max="11266" width="13.5546875" style="128" customWidth="1"/>
    <col min="11267" max="11267" width="11.44140625" style="128" customWidth="1"/>
    <col min="11268" max="11268" width="18.109375" style="128" customWidth="1"/>
    <col min="11269" max="11270" width="10.5546875" style="128" customWidth="1"/>
    <col min="11271" max="11271" width="10.6640625" style="128" customWidth="1"/>
    <col min="11272" max="11272" width="35.109375" style="128" customWidth="1"/>
    <col min="11273" max="11273" width="10.6640625" style="128" customWidth="1"/>
    <col min="11274" max="11274" width="11" style="128" customWidth="1"/>
    <col min="11275" max="11275" width="10.88671875" style="128" customWidth="1"/>
    <col min="11276" max="11276" width="13.33203125" style="128" customWidth="1"/>
    <col min="11277" max="11277" width="22.44140625" style="128" customWidth="1"/>
    <col min="11278" max="11520" width="9.109375" style="128"/>
    <col min="11521" max="11521" width="12.109375" style="128" customWidth="1"/>
    <col min="11522" max="11522" width="13.5546875" style="128" customWidth="1"/>
    <col min="11523" max="11523" width="11.44140625" style="128" customWidth="1"/>
    <col min="11524" max="11524" width="18.109375" style="128" customWidth="1"/>
    <col min="11525" max="11526" width="10.5546875" style="128" customWidth="1"/>
    <col min="11527" max="11527" width="10.6640625" style="128" customWidth="1"/>
    <col min="11528" max="11528" width="35.109375" style="128" customWidth="1"/>
    <col min="11529" max="11529" width="10.6640625" style="128" customWidth="1"/>
    <col min="11530" max="11530" width="11" style="128" customWidth="1"/>
    <col min="11531" max="11531" width="10.88671875" style="128" customWidth="1"/>
    <col min="11532" max="11532" width="13.33203125" style="128" customWidth="1"/>
    <col min="11533" max="11533" width="22.44140625" style="128" customWidth="1"/>
    <col min="11534" max="11776" width="9.109375" style="128"/>
    <col min="11777" max="11777" width="12.109375" style="128" customWidth="1"/>
    <col min="11778" max="11778" width="13.5546875" style="128" customWidth="1"/>
    <col min="11779" max="11779" width="11.44140625" style="128" customWidth="1"/>
    <col min="11780" max="11780" width="18.109375" style="128" customWidth="1"/>
    <col min="11781" max="11782" width="10.5546875" style="128" customWidth="1"/>
    <col min="11783" max="11783" width="10.6640625" style="128" customWidth="1"/>
    <col min="11784" max="11784" width="35.109375" style="128" customWidth="1"/>
    <col min="11785" max="11785" width="10.6640625" style="128" customWidth="1"/>
    <col min="11786" max="11786" width="11" style="128" customWidth="1"/>
    <col min="11787" max="11787" width="10.88671875" style="128" customWidth="1"/>
    <col min="11788" max="11788" width="13.33203125" style="128" customWidth="1"/>
    <col min="11789" max="11789" width="22.44140625" style="128" customWidth="1"/>
    <col min="11790" max="12032" width="9.109375" style="128"/>
    <col min="12033" max="12033" width="12.109375" style="128" customWidth="1"/>
    <col min="12034" max="12034" width="13.5546875" style="128" customWidth="1"/>
    <col min="12035" max="12035" width="11.44140625" style="128" customWidth="1"/>
    <col min="12036" max="12036" width="18.109375" style="128" customWidth="1"/>
    <col min="12037" max="12038" width="10.5546875" style="128" customWidth="1"/>
    <col min="12039" max="12039" width="10.6640625" style="128" customWidth="1"/>
    <col min="12040" max="12040" width="35.109375" style="128" customWidth="1"/>
    <col min="12041" max="12041" width="10.6640625" style="128" customWidth="1"/>
    <col min="12042" max="12042" width="11" style="128" customWidth="1"/>
    <col min="12043" max="12043" width="10.88671875" style="128" customWidth="1"/>
    <col min="12044" max="12044" width="13.33203125" style="128" customWidth="1"/>
    <col min="12045" max="12045" width="22.44140625" style="128" customWidth="1"/>
    <col min="12046" max="12288" width="9.109375" style="128"/>
    <col min="12289" max="12289" width="12.109375" style="128" customWidth="1"/>
    <col min="12290" max="12290" width="13.5546875" style="128" customWidth="1"/>
    <col min="12291" max="12291" width="11.44140625" style="128" customWidth="1"/>
    <col min="12292" max="12292" width="18.109375" style="128" customWidth="1"/>
    <col min="12293" max="12294" width="10.5546875" style="128" customWidth="1"/>
    <col min="12295" max="12295" width="10.6640625" style="128" customWidth="1"/>
    <col min="12296" max="12296" width="35.109375" style="128" customWidth="1"/>
    <col min="12297" max="12297" width="10.6640625" style="128" customWidth="1"/>
    <col min="12298" max="12298" width="11" style="128" customWidth="1"/>
    <col min="12299" max="12299" width="10.88671875" style="128" customWidth="1"/>
    <col min="12300" max="12300" width="13.33203125" style="128" customWidth="1"/>
    <col min="12301" max="12301" width="22.44140625" style="128" customWidth="1"/>
    <col min="12302" max="12544" width="9.109375" style="128"/>
    <col min="12545" max="12545" width="12.109375" style="128" customWidth="1"/>
    <col min="12546" max="12546" width="13.5546875" style="128" customWidth="1"/>
    <col min="12547" max="12547" width="11.44140625" style="128" customWidth="1"/>
    <col min="12548" max="12548" width="18.109375" style="128" customWidth="1"/>
    <col min="12549" max="12550" width="10.5546875" style="128" customWidth="1"/>
    <col min="12551" max="12551" width="10.6640625" style="128" customWidth="1"/>
    <col min="12552" max="12552" width="35.109375" style="128" customWidth="1"/>
    <col min="12553" max="12553" width="10.6640625" style="128" customWidth="1"/>
    <col min="12554" max="12554" width="11" style="128" customWidth="1"/>
    <col min="12555" max="12555" width="10.88671875" style="128" customWidth="1"/>
    <col min="12556" max="12556" width="13.33203125" style="128" customWidth="1"/>
    <col min="12557" max="12557" width="22.44140625" style="128" customWidth="1"/>
    <col min="12558" max="12800" width="9.109375" style="128"/>
    <col min="12801" max="12801" width="12.109375" style="128" customWidth="1"/>
    <col min="12802" max="12802" width="13.5546875" style="128" customWidth="1"/>
    <col min="12803" max="12803" width="11.44140625" style="128" customWidth="1"/>
    <col min="12804" max="12804" width="18.109375" style="128" customWidth="1"/>
    <col min="12805" max="12806" width="10.5546875" style="128" customWidth="1"/>
    <col min="12807" max="12807" width="10.6640625" style="128" customWidth="1"/>
    <col min="12808" max="12808" width="35.109375" style="128" customWidth="1"/>
    <col min="12809" max="12809" width="10.6640625" style="128" customWidth="1"/>
    <col min="12810" max="12810" width="11" style="128" customWidth="1"/>
    <col min="12811" max="12811" width="10.88671875" style="128" customWidth="1"/>
    <col min="12812" max="12812" width="13.33203125" style="128" customWidth="1"/>
    <col min="12813" max="12813" width="22.44140625" style="128" customWidth="1"/>
    <col min="12814" max="13056" width="9.109375" style="128"/>
    <col min="13057" max="13057" width="12.109375" style="128" customWidth="1"/>
    <col min="13058" max="13058" width="13.5546875" style="128" customWidth="1"/>
    <col min="13059" max="13059" width="11.44140625" style="128" customWidth="1"/>
    <col min="13060" max="13060" width="18.109375" style="128" customWidth="1"/>
    <col min="13061" max="13062" width="10.5546875" style="128" customWidth="1"/>
    <col min="13063" max="13063" width="10.6640625" style="128" customWidth="1"/>
    <col min="13064" max="13064" width="35.109375" style="128" customWidth="1"/>
    <col min="13065" max="13065" width="10.6640625" style="128" customWidth="1"/>
    <col min="13066" max="13066" width="11" style="128" customWidth="1"/>
    <col min="13067" max="13067" width="10.88671875" style="128" customWidth="1"/>
    <col min="13068" max="13068" width="13.33203125" style="128" customWidth="1"/>
    <col min="13069" max="13069" width="22.44140625" style="128" customWidth="1"/>
    <col min="13070" max="13312" width="9.109375" style="128"/>
    <col min="13313" max="13313" width="12.109375" style="128" customWidth="1"/>
    <col min="13314" max="13314" width="13.5546875" style="128" customWidth="1"/>
    <col min="13315" max="13315" width="11.44140625" style="128" customWidth="1"/>
    <col min="13316" max="13316" width="18.109375" style="128" customWidth="1"/>
    <col min="13317" max="13318" width="10.5546875" style="128" customWidth="1"/>
    <col min="13319" max="13319" width="10.6640625" style="128" customWidth="1"/>
    <col min="13320" max="13320" width="35.109375" style="128" customWidth="1"/>
    <col min="13321" max="13321" width="10.6640625" style="128" customWidth="1"/>
    <col min="13322" max="13322" width="11" style="128" customWidth="1"/>
    <col min="13323" max="13323" width="10.88671875" style="128" customWidth="1"/>
    <col min="13324" max="13324" width="13.33203125" style="128" customWidth="1"/>
    <col min="13325" max="13325" width="22.44140625" style="128" customWidth="1"/>
    <col min="13326" max="13568" width="9.109375" style="128"/>
    <col min="13569" max="13569" width="12.109375" style="128" customWidth="1"/>
    <col min="13570" max="13570" width="13.5546875" style="128" customWidth="1"/>
    <col min="13571" max="13571" width="11.44140625" style="128" customWidth="1"/>
    <col min="13572" max="13572" width="18.109375" style="128" customWidth="1"/>
    <col min="13573" max="13574" width="10.5546875" style="128" customWidth="1"/>
    <col min="13575" max="13575" width="10.6640625" style="128" customWidth="1"/>
    <col min="13576" max="13576" width="35.109375" style="128" customWidth="1"/>
    <col min="13577" max="13577" width="10.6640625" style="128" customWidth="1"/>
    <col min="13578" max="13578" width="11" style="128" customWidth="1"/>
    <col min="13579" max="13579" width="10.88671875" style="128" customWidth="1"/>
    <col min="13580" max="13580" width="13.33203125" style="128" customWidth="1"/>
    <col min="13581" max="13581" width="22.44140625" style="128" customWidth="1"/>
    <col min="13582" max="13824" width="9.109375" style="128"/>
    <col min="13825" max="13825" width="12.109375" style="128" customWidth="1"/>
    <col min="13826" max="13826" width="13.5546875" style="128" customWidth="1"/>
    <col min="13827" max="13827" width="11.44140625" style="128" customWidth="1"/>
    <col min="13828" max="13828" width="18.109375" style="128" customWidth="1"/>
    <col min="13829" max="13830" width="10.5546875" style="128" customWidth="1"/>
    <col min="13831" max="13831" width="10.6640625" style="128" customWidth="1"/>
    <col min="13832" max="13832" width="35.109375" style="128" customWidth="1"/>
    <col min="13833" max="13833" width="10.6640625" style="128" customWidth="1"/>
    <col min="13834" max="13834" width="11" style="128" customWidth="1"/>
    <col min="13835" max="13835" width="10.88671875" style="128" customWidth="1"/>
    <col min="13836" max="13836" width="13.33203125" style="128" customWidth="1"/>
    <col min="13837" max="13837" width="22.44140625" style="128" customWidth="1"/>
    <col min="13838" max="14080" width="9.109375" style="128"/>
    <col min="14081" max="14081" width="12.109375" style="128" customWidth="1"/>
    <col min="14082" max="14082" width="13.5546875" style="128" customWidth="1"/>
    <col min="14083" max="14083" width="11.44140625" style="128" customWidth="1"/>
    <col min="14084" max="14084" width="18.109375" style="128" customWidth="1"/>
    <col min="14085" max="14086" width="10.5546875" style="128" customWidth="1"/>
    <col min="14087" max="14087" width="10.6640625" style="128" customWidth="1"/>
    <col min="14088" max="14088" width="35.109375" style="128" customWidth="1"/>
    <col min="14089" max="14089" width="10.6640625" style="128" customWidth="1"/>
    <col min="14090" max="14090" width="11" style="128" customWidth="1"/>
    <col min="14091" max="14091" width="10.88671875" style="128" customWidth="1"/>
    <col min="14092" max="14092" width="13.33203125" style="128" customWidth="1"/>
    <col min="14093" max="14093" width="22.44140625" style="128" customWidth="1"/>
    <col min="14094" max="14336" width="9.109375" style="128"/>
    <col min="14337" max="14337" width="12.109375" style="128" customWidth="1"/>
    <col min="14338" max="14338" width="13.5546875" style="128" customWidth="1"/>
    <col min="14339" max="14339" width="11.44140625" style="128" customWidth="1"/>
    <col min="14340" max="14340" width="18.109375" style="128" customWidth="1"/>
    <col min="14341" max="14342" width="10.5546875" style="128" customWidth="1"/>
    <col min="14343" max="14343" width="10.6640625" style="128" customWidth="1"/>
    <col min="14344" max="14344" width="35.109375" style="128" customWidth="1"/>
    <col min="14345" max="14345" width="10.6640625" style="128" customWidth="1"/>
    <col min="14346" max="14346" width="11" style="128" customWidth="1"/>
    <col min="14347" max="14347" width="10.88671875" style="128" customWidth="1"/>
    <col min="14348" max="14348" width="13.33203125" style="128" customWidth="1"/>
    <col min="14349" max="14349" width="22.44140625" style="128" customWidth="1"/>
    <col min="14350" max="14592" width="9.109375" style="128"/>
    <col min="14593" max="14593" width="12.109375" style="128" customWidth="1"/>
    <col min="14594" max="14594" width="13.5546875" style="128" customWidth="1"/>
    <col min="14595" max="14595" width="11.44140625" style="128" customWidth="1"/>
    <col min="14596" max="14596" width="18.109375" style="128" customWidth="1"/>
    <col min="14597" max="14598" width="10.5546875" style="128" customWidth="1"/>
    <col min="14599" max="14599" width="10.6640625" style="128" customWidth="1"/>
    <col min="14600" max="14600" width="35.109375" style="128" customWidth="1"/>
    <col min="14601" max="14601" width="10.6640625" style="128" customWidth="1"/>
    <col min="14602" max="14602" width="11" style="128" customWidth="1"/>
    <col min="14603" max="14603" width="10.88671875" style="128" customWidth="1"/>
    <col min="14604" max="14604" width="13.33203125" style="128" customWidth="1"/>
    <col min="14605" max="14605" width="22.44140625" style="128" customWidth="1"/>
    <col min="14606" max="14848" width="9.109375" style="128"/>
    <col min="14849" max="14849" width="12.109375" style="128" customWidth="1"/>
    <col min="14850" max="14850" width="13.5546875" style="128" customWidth="1"/>
    <col min="14851" max="14851" width="11.44140625" style="128" customWidth="1"/>
    <col min="14852" max="14852" width="18.109375" style="128" customWidth="1"/>
    <col min="14853" max="14854" width="10.5546875" style="128" customWidth="1"/>
    <col min="14855" max="14855" width="10.6640625" style="128" customWidth="1"/>
    <col min="14856" max="14856" width="35.109375" style="128" customWidth="1"/>
    <col min="14857" max="14857" width="10.6640625" style="128" customWidth="1"/>
    <col min="14858" max="14858" width="11" style="128" customWidth="1"/>
    <col min="14859" max="14859" width="10.88671875" style="128" customWidth="1"/>
    <col min="14860" max="14860" width="13.33203125" style="128" customWidth="1"/>
    <col min="14861" max="14861" width="22.44140625" style="128" customWidth="1"/>
    <col min="14862" max="15104" width="9.109375" style="128"/>
    <col min="15105" max="15105" width="12.109375" style="128" customWidth="1"/>
    <col min="15106" max="15106" width="13.5546875" style="128" customWidth="1"/>
    <col min="15107" max="15107" width="11.44140625" style="128" customWidth="1"/>
    <col min="15108" max="15108" width="18.109375" style="128" customWidth="1"/>
    <col min="15109" max="15110" width="10.5546875" style="128" customWidth="1"/>
    <col min="15111" max="15111" width="10.6640625" style="128" customWidth="1"/>
    <col min="15112" max="15112" width="35.109375" style="128" customWidth="1"/>
    <col min="15113" max="15113" width="10.6640625" style="128" customWidth="1"/>
    <col min="15114" max="15114" width="11" style="128" customWidth="1"/>
    <col min="15115" max="15115" width="10.88671875" style="128" customWidth="1"/>
    <col min="15116" max="15116" width="13.33203125" style="128" customWidth="1"/>
    <col min="15117" max="15117" width="22.44140625" style="128" customWidth="1"/>
    <col min="15118" max="15360" width="9.109375" style="128"/>
    <col min="15361" max="15361" width="12.109375" style="128" customWidth="1"/>
    <col min="15362" max="15362" width="13.5546875" style="128" customWidth="1"/>
    <col min="15363" max="15363" width="11.44140625" style="128" customWidth="1"/>
    <col min="15364" max="15364" width="18.109375" style="128" customWidth="1"/>
    <col min="15365" max="15366" width="10.5546875" style="128" customWidth="1"/>
    <col min="15367" max="15367" width="10.6640625" style="128" customWidth="1"/>
    <col min="15368" max="15368" width="35.109375" style="128" customWidth="1"/>
    <col min="15369" max="15369" width="10.6640625" style="128" customWidth="1"/>
    <col min="15370" max="15370" width="11" style="128" customWidth="1"/>
    <col min="15371" max="15371" width="10.88671875" style="128" customWidth="1"/>
    <col min="15372" max="15372" width="13.33203125" style="128" customWidth="1"/>
    <col min="15373" max="15373" width="22.44140625" style="128" customWidth="1"/>
    <col min="15374" max="15616" width="9.109375" style="128"/>
    <col min="15617" max="15617" width="12.109375" style="128" customWidth="1"/>
    <col min="15618" max="15618" width="13.5546875" style="128" customWidth="1"/>
    <col min="15619" max="15619" width="11.44140625" style="128" customWidth="1"/>
    <col min="15620" max="15620" width="18.109375" style="128" customWidth="1"/>
    <col min="15621" max="15622" width="10.5546875" style="128" customWidth="1"/>
    <col min="15623" max="15623" width="10.6640625" style="128" customWidth="1"/>
    <col min="15624" max="15624" width="35.109375" style="128" customWidth="1"/>
    <col min="15625" max="15625" width="10.6640625" style="128" customWidth="1"/>
    <col min="15626" max="15626" width="11" style="128" customWidth="1"/>
    <col min="15627" max="15627" width="10.88671875" style="128" customWidth="1"/>
    <col min="15628" max="15628" width="13.33203125" style="128" customWidth="1"/>
    <col min="15629" max="15629" width="22.44140625" style="128" customWidth="1"/>
    <col min="15630" max="15872" width="9.109375" style="128"/>
    <col min="15873" max="15873" width="12.109375" style="128" customWidth="1"/>
    <col min="15874" max="15874" width="13.5546875" style="128" customWidth="1"/>
    <col min="15875" max="15875" width="11.44140625" style="128" customWidth="1"/>
    <col min="15876" max="15876" width="18.109375" style="128" customWidth="1"/>
    <col min="15877" max="15878" width="10.5546875" style="128" customWidth="1"/>
    <col min="15879" max="15879" width="10.6640625" style="128" customWidth="1"/>
    <col min="15880" max="15880" width="35.109375" style="128" customWidth="1"/>
    <col min="15881" max="15881" width="10.6640625" style="128" customWidth="1"/>
    <col min="15882" max="15882" width="11" style="128" customWidth="1"/>
    <col min="15883" max="15883" width="10.88671875" style="128" customWidth="1"/>
    <col min="15884" max="15884" width="13.33203125" style="128" customWidth="1"/>
    <col min="15885" max="15885" width="22.44140625" style="128" customWidth="1"/>
    <col min="15886" max="16128" width="9.109375" style="128"/>
    <col min="16129" max="16129" width="12.109375" style="128" customWidth="1"/>
    <col min="16130" max="16130" width="13.5546875" style="128" customWidth="1"/>
    <col min="16131" max="16131" width="11.44140625" style="128" customWidth="1"/>
    <col min="16132" max="16132" width="18.109375" style="128" customWidth="1"/>
    <col min="16133" max="16134" width="10.5546875" style="128" customWidth="1"/>
    <col min="16135" max="16135" width="10.6640625" style="128" customWidth="1"/>
    <col min="16136" max="16136" width="35.109375" style="128" customWidth="1"/>
    <col min="16137" max="16137" width="10.6640625" style="128" customWidth="1"/>
    <col min="16138" max="16138" width="11" style="128" customWidth="1"/>
    <col min="16139" max="16139" width="10.88671875" style="128" customWidth="1"/>
    <col min="16140" max="16140" width="13.33203125" style="128" customWidth="1"/>
    <col min="16141" max="16141" width="22.44140625" style="128" customWidth="1"/>
    <col min="16142" max="16384" width="9.109375" style="128"/>
  </cols>
  <sheetData>
    <row r="1" spans="1:19" x14ac:dyDescent="0.25">
      <c r="A1" s="128" t="s">
        <v>362</v>
      </c>
      <c r="S1" s="128" t="s">
        <v>363</v>
      </c>
    </row>
    <row r="3" spans="1:19" x14ac:dyDescent="0.25">
      <c r="A3" s="128" t="s">
        <v>364</v>
      </c>
      <c r="B3" s="128" t="s">
        <v>365</v>
      </c>
      <c r="C3" s="128" t="s">
        <v>366</v>
      </c>
      <c r="E3" s="128" t="s">
        <v>364</v>
      </c>
      <c r="F3" s="128" t="s">
        <v>365</v>
      </c>
      <c r="G3" s="128" t="s">
        <v>366</v>
      </c>
      <c r="J3" s="128" t="s">
        <v>364</v>
      </c>
      <c r="K3" s="128" t="s">
        <v>365</v>
      </c>
      <c r="L3" s="128" t="s">
        <v>366</v>
      </c>
    </row>
    <row r="4" spans="1:19" x14ac:dyDescent="0.25">
      <c r="A4" s="128" t="s">
        <v>367</v>
      </c>
      <c r="B4" s="129" t="s">
        <v>368</v>
      </c>
      <c r="C4" s="129">
        <v>12</v>
      </c>
      <c r="E4" s="128" t="s">
        <v>369</v>
      </c>
      <c r="F4" s="129" t="s">
        <v>370</v>
      </c>
      <c r="G4" s="129">
        <v>12</v>
      </c>
      <c r="H4" s="128" t="s">
        <v>371</v>
      </c>
      <c r="J4" s="128" t="s">
        <v>372</v>
      </c>
      <c r="K4" s="129" t="s">
        <v>373</v>
      </c>
      <c r="L4" s="129">
        <v>14</v>
      </c>
      <c r="M4" s="128" t="s">
        <v>374</v>
      </c>
    </row>
    <row r="5" spans="1:19" x14ac:dyDescent="0.25">
      <c r="A5" s="128" t="s">
        <v>375</v>
      </c>
      <c r="B5" s="129" t="s">
        <v>376</v>
      </c>
      <c r="C5" s="129">
        <v>12</v>
      </c>
      <c r="E5" s="128" t="s">
        <v>377</v>
      </c>
      <c r="F5" s="129" t="s">
        <v>376</v>
      </c>
      <c r="G5" s="129">
        <v>12</v>
      </c>
      <c r="H5" s="128" t="s">
        <v>378</v>
      </c>
      <c r="J5" s="128" t="s">
        <v>379</v>
      </c>
      <c r="K5" s="129" t="s">
        <v>380</v>
      </c>
      <c r="L5" s="129">
        <v>14</v>
      </c>
      <c r="M5" s="128" t="s">
        <v>381</v>
      </c>
    </row>
    <row r="6" spans="1:19" x14ac:dyDescent="0.25">
      <c r="A6" s="135" t="s">
        <v>382</v>
      </c>
      <c r="B6" s="129" t="s">
        <v>383</v>
      </c>
      <c r="C6" s="129">
        <v>12</v>
      </c>
      <c r="D6" s="128" t="s">
        <v>384</v>
      </c>
      <c r="E6" s="128" t="s">
        <v>385</v>
      </c>
      <c r="F6" s="129" t="s">
        <v>368</v>
      </c>
      <c r="G6" s="129">
        <v>12</v>
      </c>
      <c r="H6" s="128" t="s">
        <v>378</v>
      </c>
      <c r="J6" s="128" t="s">
        <v>386</v>
      </c>
      <c r="K6" s="129" t="s">
        <v>383</v>
      </c>
      <c r="L6" s="129">
        <v>14</v>
      </c>
      <c r="M6" s="128" t="s">
        <v>381</v>
      </c>
    </row>
    <row r="7" spans="1:19" x14ac:dyDescent="0.25">
      <c r="A7" s="128" t="s">
        <v>387</v>
      </c>
      <c r="B7" s="129" t="s">
        <v>388</v>
      </c>
      <c r="C7" s="129">
        <v>12</v>
      </c>
      <c r="E7" s="128" t="s">
        <v>389</v>
      </c>
      <c r="F7" s="129" t="s">
        <v>368</v>
      </c>
      <c r="G7" s="129">
        <v>12</v>
      </c>
      <c r="H7" s="128" t="s">
        <v>378</v>
      </c>
      <c r="J7" s="128" t="s">
        <v>390</v>
      </c>
      <c r="K7" s="160" t="s">
        <v>391</v>
      </c>
      <c r="L7" s="129">
        <v>14</v>
      </c>
      <c r="M7" s="128" t="s">
        <v>381</v>
      </c>
    </row>
    <row r="8" spans="1:19" x14ac:dyDescent="0.25">
      <c r="A8" s="128" t="s">
        <v>392</v>
      </c>
      <c r="B8" s="129" t="s">
        <v>368</v>
      </c>
      <c r="C8" s="129">
        <v>12</v>
      </c>
      <c r="E8" s="128" t="s">
        <v>393</v>
      </c>
      <c r="F8" s="160" t="s">
        <v>394</v>
      </c>
      <c r="G8" s="129">
        <v>12</v>
      </c>
      <c r="H8" s="128" t="s">
        <v>378</v>
      </c>
      <c r="J8" s="128" t="s">
        <v>395</v>
      </c>
      <c r="K8" s="129" t="s">
        <v>373</v>
      </c>
      <c r="L8" s="129">
        <v>14</v>
      </c>
      <c r="M8" s="128" t="s">
        <v>6029</v>
      </c>
    </row>
    <row r="9" spans="1:19" x14ac:dyDescent="0.25">
      <c r="A9" s="128" t="s">
        <v>397</v>
      </c>
      <c r="B9" s="129" t="s">
        <v>368</v>
      </c>
      <c r="C9" s="129">
        <v>12</v>
      </c>
      <c r="E9" s="128" t="s">
        <v>398</v>
      </c>
      <c r="F9" s="160" t="s">
        <v>399</v>
      </c>
      <c r="G9" s="129">
        <v>14</v>
      </c>
      <c r="H9" s="128" t="s">
        <v>400</v>
      </c>
      <c r="J9" s="128" t="s">
        <v>401</v>
      </c>
      <c r="K9" s="129" t="s">
        <v>388</v>
      </c>
      <c r="L9" s="129">
        <v>14</v>
      </c>
      <c r="M9" s="128" t="s">
        <v>381</v>
      </c>
    </row>
    <row r="10" spans="1:19" x14ac:dyDescent="0.25">
      <c r="A10" s="128" t="s">
        <v>402</v>
      </c>
      <c r="B10" s="129" t="s">
        <v>376</v>
      </c>
      <c r="C10" s="129">
        <v>10</v>
      </c>
      <c r="E10" s="128" t="s">
        <v>403</v>
      </c>
      <c r="F10" s="160" t="s">
        <v>394</v>
      </c>
      <c r="G10" s="129">
        <v>14</v>
      </c>
      <c r="H10" s="128" t="s">
        <v>404</v>
      </c>
      <c r="J10" s="128" t="s">
        <v>683</v>
      </c>
      <c r="K10" s="129" t="s">
        <v>373</v>
      </c>
      <c r="L10" s="129">
        <v>14</v>
      </c>
      <c r="M10" s="128" t="s">
        <v>396</v>
      </c>
    </row>
    <row r="11" spans="1:19" x14ac:dyDescent="0.25">
      <c r="A11" s="128" t="s">
        <v>405</v>
      </c>
      <c r="B11" s="129" t="s">
        <v>376</v>
      </c>
      <c r="C11" s="129">
        <v>10</v>
      </c>
      <c r="E11" s="128" t="s">
        <v>406</v>
      </c>
      <c r="F11" s="129" t="s">
        <v>370</v>
      </c>
      <c r="G11" s="129">
        <v>14</v>
      </c>
      <c r="H11" s="128" t="s">
        <v>407</v>
      </c>
      <c r="J11" s="128" t="s">
        <v>259</v>
      </c>
      <c r="K11" s="129">
        <v>11</v>
      </c>
      <c r="L11" s="129">
        <v>14</v>
      </c>
      <c r="M11" s="128" t="s">
        <v>381</v>
      </c>
    </row>
    <row r="12" spans="1:19" x14ac:dyDescent="0.25">
      <c r="A12" s="128" t="s">
        <v>408</v>
      </c>
      <c r="B12" s="129" t="s">
        <v>388</v>
      </c>
      <c r="C12" s="129">
        <v>10</v>
      </c>
      <c r="E12" s="128" t="s">
        <v>409</v>
      </c>
      <c r="F12" s="129" t="s">
        <v>368</v>
      </c>
      <c r="G12" s="129">
        <v>12</v>
      </c>
      <c r="H12" s="128" t="s">
        <v>410</v>
      </c>
      <c r="J12" s="128" t="s">
        <v>1120</v>
      </c>
      <c r="K12" s="129">
        <v>12</v>
      </c>
      <c r="L12" s="129">
        <v>14</v>
      </c>
      <c r="M12" s="128" t="s">
        <v>5269</v>
      </c>
    </row>
    <row r="13" spans="1:19" x14ac:dyDescent="0.25">
      <c r="A13" s="128" t="s">
        <v>411</v>
      </c>
      <c r="B13" s="129" t="s">
        <v>368</v>
      </c>
      <c r="C13" s="129">
        <v>10</v>
      </c>
      <c r="E13" s="128" t="s">
        <v>412</v>
      </c>
      <c r="F13" s="129" t="s">
        <v>368</v>
      </c>
      <c r="G13" s="129">
        <v>12</v>
      </c>
      <c r="H13" s="128" t="s">
        <v>378</v>
      </c>
      <c r="J13" s="128" t="s">
        <v>3606</v>
      </c>
      <c r="K13" s="129">
        <v>12</v>
      </c>
      <c r="L13" s="129">
        <v>14</v>
      </c>
      <c r="M13" s="128" t="s">
        <v>3876</v>
      </c>
    </row>
    <row r="14" spans="1:19" x14ac:dyDescent="0.25">
      <c r="A14" s="128" t="s">
        <v>413</v>
      </c>
      <c r="B14" s="129" t="s">
        <v>376</v>
      </c>
      <c r="C14" s="129">
        <v>10</v>
      </c>
      <c r="E14" s="128" t="s">
        <v>414</v>
      </c>
      <c r="F14" s="160" t="s">
        <v>399</v>
      </c>
      <c r="G14" s="129">
        <v>14</v>
      </c>
      <c r="H14" s="128" t="s">
        <v>415</v>
      </c>
      <c r="J14" s="128" t="s">
        <v>4613</v>
      </c>
      <c r="K14" s="129">
        <v>13</v>
      </c>
      <c r="L14" s="129">
        <v>15</v>
      </c>
      <c r="M14" s="128" t="s">
        <v>4563</v>
      </c>
    </row>
    <row r="15" spans="1:19" x14ac:dyDescent="0.25">
      <c r="A15" s="128" t="s">
        <v>416</v>
      </c>
      <c r="B15" s="129" t="s">
        <v>368</v>
      </c>
      <c r="C15" s="129">
        <v>10</v>
      </c>
      <c r="D15" s="128" t="s">
        <v>400</v>
      </c>
      <c r="E15" s="128" t="s">
        <v>417</v>
      </c>
      <c r="F15" s="129" t="s">
        <v>376</v>
      </c>
      <c r="G15" s="129">
        <v>14</v>
      </c>
      <c r="H15" s="128" t="s">
        <v>418</v>
      </c>
      <c r="J15" s="128" t="s">
        <v>4807</v>
      </c>
      <c r="K15" s="129">
        <v>11</v>
      </c>
      <c r="L15" s="129">
        <v>14</v>
      </c>
      <c r="M15" s="128" t="s">
        <v>5267</v>
      </c>
    </row>
    <row r="16" spans="1:19" x14ac:dyDescent="0.25">
      <c r="A16" s="128" t="s">
        <v>419</v>
      </c>
      <c r="B16" s="129" t="s">
        <v>376</v>
      </c>
      <c r="C16" s="129">
        <v>10</v>
      </c>
      <c r="E16" s="128" t="s">
        <v>420</v>
      </c>
      <c r="F16" s="129" t="s">
        <v>388</v>
      </c>
      <c r="G16" s="129">
        <v>14</v>
      </c>
      <c r="H16" s="128" t="s">
        <v>378</v>
      </c>
      <c r="J16" s="128" t="s">
        <v>5273</v>
      </c>
      <c r="K16" s="129">
        <v>4</v>
      </c>
      <c r="L16" s="129">
        <v>14</v>
      </c>
      <c r="M16" s="128" t="s">
        <v>5267</v>
      </c>
    </row>
    <row r="17" spans="1:13" x14ac:dyDescent="0.25">
      <c r="A17" s="128" t="s">
        <v>421</v>
      </c>
      <c r="B17" s="129" t="s">
        <v>388</v>
      </c>
      <c r="C17" s="129">
        <v>10</v>
      </c>
      <c r="D17" s="128" t="s">
        <v>400</v>
      </c>
      <c r="E17" s="128" t="s">
        <v>422</v>
      </c>
      <c r="F17" s="129" t="s">
        <v>376</v>
      </c>
      <c r="G17" s="129">
        <v>14</v>
      </c>
      <c r="H17" s="128" t="s">
        <v>423</v>
      </c>
      <c r="J17" s="128" t="s">
        <v>6027</v>
      </c>
      <c r="K17" s="129">
        <v>9</v>
      </c>
      <c r="L17" s="129">
        <v>14</v>
      </c>
      <c r="M17" s="128" t="s">
        <v>5267</v>
      </c>
    </row>
    <row r="18" spans="1:13" x14ac:dyDescent="0.25">
      <c r="A18" s="128" t="s">
        <v>424</v>
      </c>
      <c r="B18" s="129" t="s">
        <v>368</v>
      </c>
      <c r="C18" s="129">
        <v>12</v>
      </c>
      <c r="E18" s="128" t="s">
        <v>425</v>
      </c>
      <c r="F18" s="129" t="s">
        <v>370</v>
      </c>
      <c r="G18" s="129">
        <v>14</v>
      </c>
      <c r="H18" s="128" t="s">
        <v>426</v>
      </c>
      <c r="J18" s="136"/>
      <c r="K18" s="129"/>
      <c r="L18" s="129"/>
    </row>
    <row r="19" spans="1:13" x14ac:dyDescent="0.25">
      <c r="A19" s="128" t="s">
        <v>427</v>
      </c>
      <c r="B19" s="129" t="s">
        <v>370</v>
      </c>
      <c r="C19" s="129">
        <v>12</v>
      </c>
      <c r="E19" s="128" t="s">
        <v>428</v>
      </c>
      <c r="F19" s="129" t="s">
        <v>388</v>
      </c>
      <c r="G19" s="129">
        <v>14</v>
      </c>
      <c r="H19" s="128" t="s">
        <v>429</v>
      </c>
      <c r="J19" s="136"/>
      <c r="K19" s="129"/>
      <c r="L19" s="129"/>
    </row>
    <row r="20" spans="1:13" x14ac:dyDescent="0.25">
      <c r="A20" s="128" t="s">
        <v>430</v>
      </c>
      <c r="B20" s="129" t="s">
        <v>383</v>
      </c>
      <c r="C20" s="129">
        <v>12</v>
      </c>
      <c r="E20" s="128" t="s">
        <v>431</v>
      </c>
      <c r="F20" s="129" t="s">
        <v>373</v>
      </c>
      <c r="G20" s="129">
        <v>14</v>
      </c>
      <c r="H20" s="128" t="s">
        <v>432</v>
      </c>
      <c r="J20" s="136"/>
      <c r="K20" s="129"/>
      <c r="L20" s="129"/>
    </row>
    <row r="21" spans="1:13" x14ac:dyDescent="0.25">
      <c r="A21" s="128" t="s">
        <v>433</v>
      </c>
      <c r="B21" s="129" t="s">
        <v>376</v>
      </c>
      <c r="C21" s="129">
        <v>12</v>
      </c>
      <c r="E21" s="128" t="s">
        <v>434</v>
      </c>
      <c r="F21" s="129" t="s">
        <v>383</v>
      </c>
      <c r="G21" s="129">
        <v>14</v>
      </c>
      <c r="H21" s="128" t="s">
        <v>435</v>
      </c>
      <c r="J21" s="136"/>
      <c r="K21" s="129"/>
      <c r="L21" s="129"/>
    </row>
    <row r="22" spans="1:13" x14ac:dyDescent="0.25">
      <c r="A22" s="128" t="s">
        <v>436</v>
      </c>
      <c r="B22" s="160" t="s">
        <v>399</v>
      </c>
      <c r="C22" s="129">
        <v>12</v>
      </c>
      <c r="E22" s="128" t="s">
        <v>437</v>
      </c>
      <c r="F22" s="129" t="s">
        <v>438</v>
      </c>
      <c r="G22" s="129">
        <v>14</v>
      </c>
      <c r="H22" s="128" t="s">
        <v>439</v>
      </c>
      <c r="K22" s="129"/>
      <c r="L22" s="129"/>
    </row>
    <row r="23" spans="1:13" x14ac:dyDescent="0.25">
      <c r="A23" s="128" t="s">
        <v>440</v>
      </c>
      <c r="B23" s="129" t="s">
        <v>441</v>
      </c>
      <c r="C23" s="129">
        <v>12</v>
      </c>
      <c r="E23" s="128" t="s">
        <v>442</v>
      </c>
      <c r="F23" s="129" t="s">
        <v>368</v>
      </c>
      <c r="G23" s="129">
        <v>14</v>
      </c>
      <c r="H23" s="128" t="s">
        <v>378</v>
      </c>
      <c r="K23" s="129"/>
      <c r="L23" s="129"/>
    </row>
    <row r="24" spans="1:13" x14ac:dyDescent="0.25">
      <c r="A24" s="128" t="s">
        <v>443</v>
      </c>
      <c r="B24" s="129" t="s">
        <v>383</v>
      </c>
      <c r="C24" s="129">
        <v>12</v>
      </c>
      <c r="E24" s="128" t="s">
        <v>444</v>
      </c>
      <c r="F24" s="129" t="s">
        <v>445</v>
      </c>
      <c r="G24" s="129">
        <v>14</v>
      </c>
      <c r="H24" s="128" t="s">
        <v>378</v>
      </c>
      <c r="K24" s="129"/>
      <c r="L24" s="129"/>
    </row>
    <row r="25" spans="1:13" x14ac:dyDescent="0.25">
      <c r="A25" s="128" t="s">
        <v>446</v>
      </c>
      <c r="B25" s="129" t="s">
        <v>441</v>
      </c>
      <c r="C25" s="129">
        <v>12</v>
      </c>
      <c r="E25" s="128" t="s">
        <v>447</v>
      </c>
      <c r="F25" s="129" t="s">
        <v>445</v>
      </c>
      <c r="G25" s="129">
        <v>14</v>
      </c>
      <c r="H25" s="128" t="s">
        <v>1235</v>
      </c>
      <c r="K25" s="129"/>
      <c r="L25" s="129"/>
    </row>
    <row r="26" spans="1:13" x14ac:dyDescent="0.25">
      <c r="A26" s="128" t="s">
        <v>448</v>
      </c>
      <c r="B26" s="160" t="s">
        <v>394</v>
      </c>
      <c r="C26" s="129">
        <v>12</v>
      </c>
      <c r="E26" s="128" t="s">
        <v>449</v>
      </c>
      <c r="F26" s="129" t="s">
        <v>441</v>
      </c>
      <c r="G26" s="129">
        <v>14</v>
      </c>
      <c r="H26" s="128" t="s">
        <v>450</v>
      </c>
      <c r="K26" s="129"/>
      <c r="L26" s="129"/>
    </row>
    <row r="27" spans="1:13" x14ac:dyDescent="0.25">
      <c r="A27" s="128" t="s">
        <v>451</v>
      </c>
      <c r="B27" s="129" t="s">
        <v>380</v>
      </c>
      <c r="C27" s="129">
        <v>12</v>
      </c>
      <c r="E27" s="128" t="s">
        <v>452</v>
      </c>
      <c r="F27" s="129" t="s">
        <v>380</v>
      </c>
      <c r="G27" s="129">
        <v>14</v>
      </c>
      <c r="H27" s="128" t="s">
        <v>453</v>
      </c>
      <c r="K27" s="129"/>
      <c r="L27" s="129"/>
    </row>
    <row r="28" spans="1:13" x14ac:dyDescent="0.25">
      <c r="A28" s="128" t="s">
        <v>454</v>
      </c>
      <c r="B28" s="160" t="s">
        <v>399</v>
      </c>
      <c r="C28" s="129">
        <v>12</v>
      </c>
      <c r="E28" s="128" t="s">
        <v>455</v>
      </c>
      <c r="F28" s="129" t="s">
        <v>438</v>
      </c>
      <c r="G28" s="129">
        <v>14</v>
      </c>
      <c r="H28" s="128" t="s">
        <v>456</v>
      </c>
      <c r="K28" s="129"/>
      <c r="L28" s="129"/>
    </row>
    <row r="29" spans="1:13" x14ac:dyDescent="0.25">
      <c r="A29" s="128" t="s">
        <v>457</v>
      </c>
      <c r="B29" s="129" t="s">
        <v>388</v>
      </c>
      <c r="C29" s="129">
        <v>12</v>
      </c>
      <c r="E29" s="128" t="s">
        <v>458</v>
      </c>
      <c r="F29" s="129" t="s">
        <v>368</v>
      </c>
      <c r="G29" s="129">
        <v>14</v>
      </c>
      <c r="H29" s="128" t="s">
        <v>459</v>
      </c>
      <c r="K29" s="129"/>
      <c r="L29" s="129"/>
    </row>
    <row r="30" spans="1:13" x14ac:dyDescent="0.25">
      <c r="K30" s="129"/>
      <c r="L30" s="129"/>
    </row>
    <row r="31" spans="1:13" x14ac:dyDescent="0.25">
      <c r="A31" s="128" t="s">
        <v>460</v>
      </c>
      <c r="B31" s="129" t="s">
        <v>461</v>
      </c>
      <c r="C31" s="129">
        <v>1</v>
      </c>
      <c r="F31" s="136" t="s">
        <v>462</v>
      </c>
      <c r="G31" s="128">
        <v>11</v>
      </c>
    </row>
    <row r="32" spans="1:13" x14ac:dyDescent="0.25">
      <c r="B32" s="129" t="s">
        <v>463</v>
      </c>
      <c r="C32" s="129">
        <v>4</v>
      </c>
      <c r="F32" s="136" t="s">
        <v>464</v>
      </c>
      <c r="G32" s="128">
        <v>0</v>
      </c>
    </row>
    <row r="33" spans="2:8" x14ac:dyDescent="0.25">
      <c r="B33" s="129" t="s">
        <v>465</v>
      </c>
      <c r="C33" s="129">
        <v>3</v>
      </c>
      <c r="F33" s="136" t="s">
        <v>466</v>
      </c>
      <c r="G33" s="128">
        <v>1</v>
      </c>
    </row>
    <row r="34" spans="2:8" x14ac:dyDescent="0.25">
      <c r="B34" s="129" t="s">
        <v>467</v>
      </c>
      <c r="C34" s="129">
        <v>5</v>
      </c>
      <c r="F34" s="136" t="s">
        <v>468</v>
      </c>
      <c r="G34" s="128">
        <v>25</v>
      </c>
      <c r="H34" s="128" t="s">
        <v>6028</v>
      </c>
    </row>
    <row r="35" spans="2:8" x14ac:dyDescent="0.25">
      <c r="B35" s="129" t="s">
        <v>469</v>
      </c>
      <c r="C35" s="129">
        <v>3</v>
      </c>
      <c r="F35" s="136" t="s">
        <v>470</v>
      </c>
      <c r="G35" s="128">
        <v>66</v>
      </c>
    </row>
  </sheetData>
  <pageMargins left="0.74791666666666667" right="0.74791666666666667" top="0.98402777777777783" bottom="0.98402777777777783" header="0.51180555555555562" footer="0.51180555555555562"/>
  <pageSetup paperSize="9" firstPageNumber="0" orientation="portrait" horizontalDpi="300" verticalDpi="300"/>
  <headerFooter alignWithMargins="0"/>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E63"/>
  <sheetViews>
    <sheetView workbookViewId="0">
      <pane xSplit="1" ySplit="2" topLeftCell="B45" activePane="bottomRight" state="frozen"/>
      <selection activeCell="L12" sqref="L12"/>
      <selection pane="topRight" activeCell="L12" sqref="L12"/>
      <selection pane="bottomLeft" activeCell="L12" sqref="L12"/>
      <selection pane="bottomRight" activeCell="L12" sqref="L12"/>
    </sheetView>
  </sheetViews>
  <sheetFormatPr defaultRowHeight="13.2" x14ac:dyDescent="0.25"/>
  <cols>
    <col min="1" max="1" width="9.109375" style="129"/>
    <col min="2" max="2" width="10.88671875" style="129" customWidth="1"/>
    <col min="3" max="3" width="11" style="129" customWidth="1"/>
    <col min="4" max="5" width="10.88671875" style="129" customWidth="1"/>
    <col min="6" max="6" width="10.5546875" style="129" customWidth="1"/>
    <col min="7" max="7" width="11.5546875" style="129" customWidth="1"/>
    <col min="8" max="8" width="10.88671875" style="129" customWidth="1"/>
    <col min="9" max="9" width="10.5546875" style="129" customWidth="1"/>
    <col min="10" max="10" width="11.88671875" style="129" customWidth="1"/>
    <col min="11" max="11" width="10.5546875" style="129" customWidth="1"/>
    <col min="12" max="12" width="14.44140625" style="129" customWidth="1"/>
    <col min="13" max="13" width="16.5546875" style="129" customWidth="1"/>
    <col min="14" max="14" width="16.44140625" style="129" customWidth="1"/>
    <col min="15" max="15" width="20" style="129" customWidth="1"/>
    <col min="16" max="16" width="16.33203125" style="129" customWidth="1"/>
    <col min="17" max="17" width="18.88671875" style="129" customWidth="1"/>
    <col min="18" max="18" width="16" style="129" customWidth="1"/>
    <col min="19" max="19" width="19.33203125" style="129" customWidth="1"/>
    <col min="20" max="20" width="16" style="129" customWidth="1"/>
    <col min="21" max="21" width="21.44140625" style="129" customWidth="1"/>
    <col min="22" max="22" width="12.109375" style="129" customWidth="1"/>
    <col min="23" max="23" width="11.6640625" style="129" customWidth="1"/>
    <col min="24" max="24" width="11.44140625" style="129" bestFit="1" customWidth="1"/>
    <col min="25" max="25" width="13" style="129" customWidth="1"/>
    <col min="26" max="26" width="13.88671875" style="129" customWidth="1"/>
    <col min="27" max="27" width="14.44140625" style="129" customWidth="1"/>
    <col min="28" max="28" width="17.44140625" style="129" customWidth="1"/>
    <col min="29" max="257" width="9.109375" style="129"/>
    <col min="258" max="258" width="10.88671875" style="129" customWidth="1"/>
    <col min="259" max="259" width="11" style="129" customWidth="1"/>
    <col min="260" max="261" width="10.88671875" style="129" customWidth="1"/>
    <col min="262" max="262" width="10.5546875" style="129" customWidth="1"/>
    <col min="263" max="263" width="11.5546875" style="129" customWidth="1"/>
    <col min="264" max="264" width="10.88671875" style="129" customWidth="1"/>
    <col min="265" max="265" width="10.5546875" style="129" customWidth="1"/>
    <col min="266" max="266" width="11.88671875" style="129" customWidth="1"/>
    <col min="267" max="267" width="10.5546875" style="129" customWidth="1"/>
    <col min="268" max="268" width="14.44140625" style="129" customWidth="1"/>
    <col min="269" max="269" width="16.5546875" style="129" customWidth="1"/>
    <col min="270" max="270" width="11.33203125" style="129" customWidth="1"/>
    <col min="271" max="271" width="17.33203125" style="129" customWidth="1"/>
    <col min="272" max="272" width="10.88671875" style="129" customWidth="1"/>
    <col min="273" max="273" width="10.5546875" style="129" customWidth="1"/>
    <col min="274" max="274" width="10.6640625" style="129" customWidth="1"/>
    <col min="275" max="275" width="10.88671875" style="129" customWidth="1"/>
    <col min="276" max="276" width="12.6640625" style="129" customWidth="1"/>
    <col min="277" max="277" width="17.5546875" style="129" customWidth="1"/>
    <col min="278" max="278" width="12.109375" style="129" customWidth="1"/>
    <col min="279" max="279" width="11.6640625" style="129" customWidth="1"/>
    <col min="280" max="280" width="11.44140625" style="129" bestFit="1" customWidth="1"/>
    <col min="281" max="281" width="11" style="129" customWidth="1"/>
    <col min="282" max="513" width="9.109375" style="129"/>
    <col min="514" max="514" width="10.88671875" style="129" customWidth="1"/>
    <col min="515" max="515" width="11" style="129" customWidth="1"/>
    <col min="516" max="517" width="10.88671875" style="129" customWidth="1"/>
    <col min="518" max="518" width="10.5546875" style="129" customWidth="1"/>
    <col min="519" max="519" width="11.5546875" style="129" customWidth="1"/>
    <col min="520" max="520" width="10.88671875" style="129" customWidth="1"/>
    <col min="521" max="521" width="10.5546875" style="129" customWidth="1"/>
    <col min="522" max="522" width="11.88671875" style="129" customWidth="1"/>
    <col min="523" max="523" width="10.5546875" style="129" customWidth="1"/>
    <col min="524" max="524" width="14.44140625" style="129" customWidth="1"/>
    <col min="525" max="525" width="16.5546875" style="129" customWidth="1"/>
    <col min="526" max="526" width="11.33203125" style="129" customWidth="1"/>
    <col min="527" max="527" width="17.33203125" style="129" customWidth="1"/>
    <col min="528" max="528" width="10.88671875" style="129" customWidth="1"/>
    <col min="529" max="529" width="10.5546875" style="129" customWidth="1"/>
    <col min="530" max="530" width="10.6640625" style="129" customWidth="1"/>
    <col min="531" max="531" width="10.88671875" style="129" customWidth="1"/>
    <col min="532" max="532" width="12.6640625" style="129" customWidth="1"/>
    <col min="533" max="533" width="17.5546875" style="129" customWidth="1"/>
    <col min="534" max="534" width="12.109375" style="129" customWidth="1"/>
    <col min="535" max="535" width="11.6640625" style="129" customWidth="1"/>
    <col min="536" max="536" width="11.44140625" style="129" bestFit="1" customWidth="1"/>
    <col min="537" max="537" width="11" style="129" customWidth="1"/>
    <col min="538" max="769" width="9.109375" style="129"/>
    <col min="770" max="770" width="10.88671875" style="129" customWidth="1"/>
    <col min="771" max="771" width="11" style="129" customWidth="1"/>
    <col min="772" max="773" width="10.88671875" style="129" customWidth="1"/>
    <col min="774" max="774" width="10.5546875" style="129" customWidth="1"/>
    <col min="775" max="775" width="11.5546875" style="129" customWidth="1"/>
    <col min="776" max="776" width="10.88671875" style="129" customWidth="1"/>
    <col min="777" max="777" width="10.5546875" style="129" customWidth="1"/>
    <col min="778" max="778" width="11.88671875" style="129" customWidth="1"/>
    <col min="779" max="779" width="10.5546875" style="129" customWidth="1"/>
    <col min="780" max="780" width="14.44140625" style="129" customWidth="1"/>
    <col min="781" max="781" width="16.5546875" style="129" customWidth="1"/>
    <col min="782" max="782" width="11.33203125" style="129" customWidth="1"/>
    <col min="783" max="783" width="17.33203125" style="129" customWidth="1"/>
    <col min="784" max="784" width="10.88671875" style="129" customWidth="1"/>
    <col min="785" max="785" width="10.5546875" style="129" customWidth="1"/>
    <col min="786" max="786" width="10.6640625" style="129" customWidth="1"/>
    <col min="787" max="787" width="10.88671875" style="129" customWidth="1"/>
    <col min="788" max="788" width="12.6640625" style="129" customWidth="1"/>
    <col min="789" max="789" width="17.5546875" style="129" customWidth="1"/>
    <col min="790" max="790" width="12.109375" style="129" customWidth="1"/>
    <col min="791" max="791" width="11.6640625" style="129" customWidth="1"/>
    <col min="792" max="792" width="11.44140625" style="129" bestFit="1" customWidth="1"/>
    <col min="793" max="793" width="11" style="129" customWidth="1"/>
    <col min="794" max="1025" width="9.109375" style="129"/>
    <col min="1026" max="1026" width="10.88671875" style="129" customWidth="1"/>
    <col min="1027" max="1027" width="11" style="129" customWidth="1"/>
    <col min="1028" max="1029" width="10.88671875" style="129" customWidth="1"/>
    <col min="1030" max="1030" width="10.5546875" style="129" customWidth="1"/>
    <col min="1031" max="1031" width="11.5546875" style="129" customWidth="1"/>
    <col min="1032" max="1032" width="10.88671875" style="129" customWidth="1"/>
    <col min="1033" max="1033" width="10.5546875" style="129" customWidth="1"/>
    <col min="1034" max="1034" width="11.88671875" style="129" customWidth="1"/>
    <col min="1035" max="1035" width="10.5546875" style="129" customWidth="1"/>
    <col min="1036" max="1036" width="14.44140625" style="129" customWidth="1"/>
    <col min="1037" max="1037" width="16.5546875" style="129" customWidth="1"/>
    <col min="1038" max="1038" width="11.33203125" style="129" customWidth="1"/>
    <col min="1039" max="1039" width="17.33203125" style="129" customWidth="1"/>
    <col min="1040" max="1040" width="10.88671875" style="129" customWidth="1"/>
    <col min="1041" max="1041" width="10.5546875" style="129" customWidth="1"/>
    <col min="1042" max="1042" width="10.6640625" style="129" customWidth="1"/>
    <col min="1043" max="1043" width="10.88671875" style="129" customWidth="1"/>
    <col min="1044" max="1044" width="12.6640625" style="129" customWidth="1"/>
    <col min="1045" max="1045" width="17.5546875" style="129" customWidth="1"/>
    <col min="1046" max="1046" width="12.109375" style="129" customWidth="1"/>
    <col min="1047" max="1047" width="11.6640625" style="129" customWidth="1"/>
    <col min="1048" max="1048" width="11.44140625" style="129" bestFit="1" customWidth="1"/>
    <col min="1049" max="1049" width="11" style="129" customWidth="1"/>
    <col min="1050" max="1281" width="9.109375" style="129"/>
    <col min="1282" max="1282" width="10.88671875" style="129" customWidth="1"/>
    <col min="1283" max="1283" width="11" style="129" customWidth="1"/>
    <col min="1284" max="1285" width="10.88671875" style="129" customWidth="1"/>
    <col min="1286" max="1286" width="10.5546875" style="129" customWidth="1"/>
    <col min="1287" max="1287" width="11.5546875" style="129" customWidth="1"/>
    <col min="1288" max="1288" width="10.88671875" style="129" customWidth="1"/>
    <col min="1289" max="1289" width="10.5546875" style="129" customWidth="1"/>
    <col min="1290" max="1290" width="11.88671875" style="129" customWidth="1"/>
    <col min="1291" max="1291" width="10.5546875" style="129" customWidth="1"/>
    <col min="1292" max="1292" width="14.44140625" style="129" customWidth="1"/>
    <col min="1293" max="1293" width="16.5546875" style="129" customWidth="1"/>
    <col min="1294" max="1294" width="11.33203125" style="129" customWidth="1"/>
    <col min="1295" max="1295" width="17.33203125" style="129" customWidth="1"/>
    <col min="1296" max="1296" width="10.88671875" style="129" customWidth="1"/>
    <col min="1297" max="1297" width="10.5546875" style="129" customWidth="1"/>
    <col min="1298" max="1298" width="10.6640625" style="129" customWidth="1"/>
    <col min="1299" max="1299" width="10.88671875" style="129" customWidth="1"/>
    <col min="1300" max="1300" width="12.6640625" style="129" customWidth="1"/>
    <col min="1301" max="1301" width="17.5546875" style="129" customWidth="1"/>
    <col min="1302" max="1302" width="12.109375" style="129" customWidth="1"/>
    <col min="1303" max="1303" width="11.6640625" style="129" customWidth="1"/>
    <col min="1304" max="1304" width="11.44140625" style="129" bestFit="1" customWidth="1"/>
    <col min="1305" max="1305" width="11" style="129" customWidth="1"/>
    <col min="1306" max="1537" width="9.109375" style="129"/>
    <col min="1538" max="1538" width="10.88671875" style="129" customWidth="1"/>
    <col min="1539" max="1539" width="11" style="129" customWidth="1"/>
    <col min="1540" max="1541" width="10.88671875" style="129" customWidth="1"/>
    <col min="1542" max="1542" width="10.5546875" style="129" customWidth="1"/>
    <col min="1543" max="1543" width="11.5546875" style="129" customWidth="1"/>
    <col min="1544" max="1544" width="10.88671875" style="129" customWidth="1"/>
    <col min="1545" max="1545" width="10.5546875" style="129" customWidth="1"/>
    <col min="1546" max="1546" width="11.88671875" style="129" customWidth="1"/>
    <col min="1547" max="1547" width="10.5546875" style="129" customWidth="1"/>
    <col min="1548" max="1548" width="14.44140625" style="129" customWidth="1"/>
    <col min="1549" max="1549" width="16.5546875" style="129" customWidth="1"/>
    <col min="1550" max="1550" width="11.33203125" style="129" customWidth="1"/>
    <col min="1551" max="1551" width="17.33203125" style="129" customWidth="1"/>
    <col min="1552" max="1552" width="10.88671875" style="129" customWidth="1"/>
    <col min="1553" max="1553" width="10.5546875" style="129" customWidth="1"/>
    <col min="1554" max="1554" width="10.6640625" style="129" customWidth="1"/>
    <col min="1555" max="1555" width="10.88671875" style="129" customWidth="1"/>
    <col min="1556" max="1556" width="12.6640625" style="129" customWidth="1"/>
    <col min="1557" max="1557" width="17.5546875" style="129" customWidth="1"/>
    <col min="1558" max="1558" width="12.109375" style="129" customWidth="1"/>
    <col min="1559" max="1559" width="11.6640625" style="129" customWidth="1"/>
    <col min="1560" max="1560" width="11.44140625" style="129" bestFit="1" customWidth="1"/>
    <col min="1561" max="1561" width="11" style="129" customWidth="1"/>
    <col min="1562" max="1793" width="9.109375" style="129"/>
    <col min="1794" max="1794" width="10.88671875" style="129" customWidth="1"/>
    <col min="1795" max="1795" width="11" style="129" customWidth="1"/>
    <col min="1796" max="1797" width="10.88671875" style="129" customWidth="1"/>
    <col min="1798" max="1798" width="10.5546875" style="129" customWidth="1"/>
    <col min="1799" max="1799" width="11.5546875" style="129" customWidth="1"/>
    <col min="1800" max="1800" width="10.88671875" style="129" customWidth="1"/>
    <col min="1801" max="1801" width="10.5546875" style="129" customWidth="1"/>
    <col min="1802" max="1802" width="11.88671875" style="129" customWidth="1"/>
    <col min="1803" max="1803" width="10.5546875" style="129" customWidth="1"/>
    <col min="1804" max="1804" width="14.44140625" style="129" customWidth="1"/>
    <col min="1805" max="1805" width="16.5546875" style="129" customWidth="1"/>
    <col min="1806" max="1806" width="11.33203125" style="129" customWidth="1"/>
    <col min="1807" max="1807" width="17.33203125" style="129" customWidth="1"/>
    <col min="1808" max="1808" width="10.88671875" style="129" customWidth="1"/>
    <col min="1809" max="1809" width="10.5546875" style="129" customWidth="1"/>
    <col min="1810" max="1810" width="10.6640625" style="129" customWidth="1"/>
    <col min="1811" max="1811" width="10.88671875" style="129" customWidth="1"/>
    <col min="1812" max="1812" width="12.6640625" style="129" customWidth="1"/>
    <col min="1813" max="1813" width="17.5546875" style="129" customWidth="1"/>
    <col min="1814" max="1814" width="12.109375" style="129" customWidth="1"/>
    <col min="1815" max="1815" width="11.6640625" style="129" customWidth="1"/>
    <col min="1816" max="1816" width="11.44140625" style="129" bestFit="1" customWidth="1"/>
    <col min="1817" max="1817" width="11" style="129" customWidth="1"/>
    <col min="1818" max="2049" width="9.109375" style="129"/>
    <col min="2050" max="2050" width="10.88671875" style="129" customWidth="1"/>
    <col min="2051" max="2051" width="11" style="129" customWidth="1"/>
    <col min="2052" max="2053" width="10.88671875" style="129" customWidth="1"/>
    <col min="2054" max="2054" width="10.5546875" style="129" customWidth="1"/>
    <col min="2055" max="2055" width="11.5546875" style="129" customWidth="1"/>
    <col min="2056" max="2056" width="10.88671875" style="129" customWidth="1"/>
    <col min="2057" max="2057" width="10.5546875" style="129" customWidth="1"/>
    <col min="2058" max="2058" width="11.88671875" style="129" customWidth="1"/>
    <col min="2059" max="2059" width="10.5546875" style="129" customWidth="1"/>
    <col min="2060" max="2060" width="14.44140625" style="129" customWidth="1"/>
    <col min="2061" max="2061" width="16.5546875" style="129" customWidth="1"/>
    <col min="2062" max="2062" width="11.33203125" style="129" customWidth="1"/>
    <col min="2063" max="2063" width="17.33203125" style="129" customWidth="1"/>
    <col min="2064" max="2064" width="10.88671875" style="129" customWidth="1"/>
    <col min="2065" max="2065" width="10.5546875" style="129" customWidth="1"/>
    <col min="2066" max="2066" width="10.6640625" style="129" customWidth="1"/>
    <col min="2067" max="2067" width="10.88671875" style="129" customWidth="1"/>
    <col min="2068" max="2068" width="12.6640625" style="129" customWidth="1"/>
    <col min="2069" max="2069" width="17.5546875" style="129" customWidth="1"/>
    <col min="2070" max="2070" width="12.109375" style="129" customWidth="1"/>
    <col min="2071" max="2071" width="11.6640625" style="129" customWidth="1"/>
    <col min="2072" max="2072" width="11.44140625" style="129" bestFit="1" customWidth="1"/>
    <col min="2073" max="2073" width="11" style="129" customWidth="1"/>
    <col min="2074" max="2305" width="9.109375" style="129"/>
    <col min="2306" max="2306" width="10.88671875" style="129" customWidth="1"/>
    <col min="2307" max="2307" width="11" style="129" customWidth="1"/>
    <col min="2308" max="2309" width="10.88671875" style="129" customWidth="1"/>
    <col min="2310" max="2310" width="10.5546875" style="129" customWidth="1"/>
    <col min="2311" max="2311" width="11.5546875" style="129" customWidth="1"/>
    <col min="2312" max="2312" width="10.88671875" style="129" customWidth="1"/>
    <col min="2313" max="2313" width="10.5546875" style="129" customWidth="1"/>
    <col min="2314" max="2314" width="11.88671875" style="129" customWidth="1"/>
    <col min="2315" max="2315" width="10.5546875" style="129" customWidth="1"/>
    <col min="2316" max="2316" width="14.44140625" style="129" customWidth="1"/>
    <col min="2317" max="2317" width="16.5546875" style="129" customWidth="1"/>
    <col min="2318" max="2318" width="11.33203125" style="129" customWidth="1"/>
    <col min="2319" max="2319" width="17.33203125" style="129" customWidth="1"/>
    <col min="2320" max="2320" width="10.88671875" style="129" customWidth="1"/>
    <col min="2321" max="2321" width="10.5546875" style="129" customWidth="1"/>
    <col min="2322" max="2322" width="10.6640625" style="129" customWidth="1"/>
    <col min="2323" max="2323" width="10.88671875" style="129" customWidth="1"/>
    <col min="2324" max="2324" width="12.6640625" style="129" customWidth="1"/>
    <col min="2325" max="2325" width="17.5546875" style="129" customWidth="1"/>
    <col min="2326" max="2326" width="12.109375" style="129" customWidth="1"/>
    <col min="2327" max="2327" width="11.6640625" style="129" customWidth="1"/>
    <col min="2328" max="2328" width="11.44140625" style="129" bestFit="1" customWidth="1"/>
    <col min="2329" max="2329" width="11" style="129" customWidth="1"/>
    <col min="2330" max="2561" width="9.109375" style="129"/>
    <col min="2562" max="2562" width="10.88671875" style="129" customWidth="1"/>
    <col min="2563" max="2563" width="11" style="129" customWidth="1"/>
    <col min="2564" max="2565" width="10.88671875" style="129" customWidth="1"/>
    <col min="2566" max="2566" width="10.5546875" style="129" customWidth="1"/>
    <col min="2567" max="2567" width="11.5546875" style="129" customWidth="1"/>
    <col min="2568" max="2568" width="10.88671875" style="129" customWidth="1"/>
    <col min="2569" max="2569" width="10.5546875" style="129" customWidth="1"/>
    <col min="2570" max="2570" width="11.88671875" style="129" customWidth="1"/>
    <col min="2571" max="2571" width="10.5546875" style="129" customWidth="1"/>
    <col min="2572" max="2572" width="14.44140625" style="129" customWidth="1"/>
    <col min="2573" max="2573" width="16.5546875" style="129" customWidth="1"/>
    <col min="2574" max="2574" width="11.33203125" style="129" customWidth="1"/>
    <col min="2575" max="2575" width="17.33203125" style="129" customWidth="1"/>
    <col min="2576" max="2576" width="10.88671875" style="129" customWidth="1"/>
    <col min="2577" max="2577" width="10.5546875" style="129" customWidth="1"/>
    <col min="2578" max="2578" width="10.6640625" style="129" customWidth="1"/>
    <col min="2579" max="2579" width="10.88671875" style="129" customWidth="1"/>
    <col min="2580" max="2580" width="12.6640625" style="129" customWidth="1"/>
    <col min="2581" max="2581" width="17.5546875" style="129" customWidth="1"/>
    <col min="2582" max="2582" width="12.109375" style="129" customWidth="1"/>
    <col min="2583" max="2583" width="11.6640625" style="129" customWidth="1"/>
    <col min="2584" max="2584" width="11.44140625" style="129" bestFit="1" customWidth="1"/>
    <col min="2585" max="2585" width="11" style="129" customWidth="1"/>
    <col min="2586" max="2817" width="9.109375" style="129"/>
    <col min="2818" max="2818" width="10.88671875" style="129" customWidth="1"/>
    <col min="2819" max="2819" width="11" style="129" customWidth="1"/>
    <col min="2820" max="2821" width="10.88671875" style="129" customWidth="1"/>
    <col min="2822" max="2822" width="10.5546875" style="129" customWidth="1"/>
    <col min="2823" max="2823" width="11.5546875" style="129" customWidth="1"/>
    <col min="2824" max="2824" width="10.88671875" style="129" customWidth="1"/>
    <col min="2825" max="2825" width="10.5546875" style="129" customWidth="1"/>
    <col min="2826" max="2826" width="11.88671875" style="129" customWidth="1"/>
    <col min="2827" max="2827" width="10.5546875" style="129" customWidth="1"/>
    <col min="2828" max="2828" width="14.44140625" style="129" customWidth="1"/>
    <col min="2829" max="2829" width="16.5546875" style="129" customWidth="1"/>
    <col min="2830" max="2830" width="11.33203125" style="129" customWidth="1"/>
    <col min="2831" max="2831" width="17.33203125" style="129" customWidth="1"/>
    <col min="2832" max="2832" width="10.88671875" style="129" customWidth="1"/>
    <col min="2833" max="2833" width="10.5546875" style="129" customWidth="1"/>
    <col min="2834" max="2834" width="10.6640625" style="129" customWidth="1"/>
    <col min="2835" max="2835" width="10.88671875" style="129" customWidth="1"/>
    <col min="2836" max="2836" width="12.6640625" style="129" customWidth="1"/>
    <col min="2837" max="2837" width="17.5546875" style="129" customWidth="1"/>
    <col min="2838" max="2838" width="12.109375" style="129" customWidth="1"/>
    <col min="2839" max="2839" width="11.6640625" style="129" customWidth="1"/>
    <col min="2840" max="2840" width="11.44140625" style="129" bestFit="1" customWidth="1"/>
    <col min="2841" max="2841" width="11" style="129" customWidth="1"/>
    <col min="2842" max="3073" width="9.109375" style="129"/>
    <col min="3074" max="3074" width="10.88671875" style="129" customWidth="1"/>
    <col min="3075" max="3075" width="11" style="129" customWidth="1"/>
    <col min="3076" max="3077" width="10.88671875" style="129" customWidth="1"/>
    <col min="3078" max="3078" width="10.5546875" style="129" customWidth="1"/>
    <col min="3079" max="3079" width="11.5546875" style="129" customWidth="1"/>
    <col min="3080" max="3080" width="10.88671875" style="129" customWidth="1"/>
    <col min="3081" max="3081" width="10.5546875" style="129" customWidth="1"/>
    <col min="3082" max="3082" width="11.88671875" style="129" customWidth="1"/>
    <col min="3083" max="3083" width="10.5546875" style="129" customWidth="1"/>
    <col min="3084" max="3084" width="14.44140625" style="129" customWidth="1"/>
    <col min="3085" max="3085" width="16.5546875" style="129" customWidth="1"/>
    <col min="3086" max="3086" width="11.33203125" style="129" customWidth="1"/>
    <col min="3087" max="3087" width="17.33203125" style="129" customWidth="1"/>
    <col min="3088" max="3088" width="10.88671875" style="129" customWidth="1"/>
    <col min="3089" max="3089" width="10.5546875" style="129" customWidth="1"/>
    <col min="3090" max="3090" width="10.6640625" style="129" customWidth="1"/>
    <col min="3091" max="3091" width="10.88671875" style="129" customWidth="1"/>
    <col min="3092" max="3092" width="12.6640625" style="129" customWidth="1"/>
    <col min="3093" max="3093" width="17.5546875" style="129" customWidth="1"/>
    <col min="3094" max="3094" width="12.109375" style="129" customWidth="1"/>
    <col min="3095" max="3095" width="11.6640625" style="129" customWidth="1"/>
    <col min="3096" max="3096" width="11.44140625" style="129" bestFit="1" customWidth="1"/>
    <col min="3097" max="3097" width="11" style="129" customWidth="1"/>
    <col min="3098" max="3329" width="9.109375" style="129"/>
    <col min="3330" max="3330" width="10.88671875" style="129" customWidth="1"/>
    <col min="3331" max="3331" width="11" style="129" customWidth="1"/>
    <col min="3332" max="3333" width="10.88671875" style="129" customWidth="1"/>
    <col min="3334" max="3334" width="10.5546875" style="129" customWidth="1"/>
    <col min="3335" max="3335" width="11.5546875" style="129" customWidth="1"/>
    <col min="3336" max="3336" width="10.88671875" style="129" customWidth="1"/>
    <col min="3337" max="3337" width="10.5546875" style="129" customWidth="1"/>
    <col min="3338" max="3338" width="11.88671875" style="129" customWidth="1"/>
    <col min="3339" max="3339" width="10.5546875" style="129" customWidth="1"/>
    <col min="3340" max="3340" width="14.44140625" style="129" customWidth="1"/>
    <col min="3341" max="3341" width="16.5546875" style="129" customWidth="1"/>
    <col min="3342" max="3342" width="11.33203125" style="129" customWidth="1"/>
    <col min="3343" max="3343" width="17.33203125" style="129" customWidth="1"/>
    <col min="3344" max="3344" width="10.88671875" style="129" customWidth="1"/>
    <col min="3345" max="3345" width="10.5546875" style="129" customWidth="1"/>
    <col min="3346" max="3346" width="10.6640625" style="129" customWidth="1"/>
    <col min="3347" max="3347" width="10.88671875" style="129" customWidth="1"/>
    <col min="3348" max="3348" width="12.6640625" style="129" customWidth="1"/>
    <col min="3349" max="3349" width="17.5546875" style="129" customWidth="1"/>
    <col min="3350" max="3350" width="12.109375" style="129" customWidth="1"/>
    <col min="3351" max="3351" width="11.6640625" style="129" customWidth="1"/>
    <col min="3352" max="3352" width="11.44140625" style="129" bestFit="1" customWidth="1"/>
    <col min="3353" max="3353" width="11" style="129" customWidth="1"/>
    <col min="3354" max="3585" width="9.109375" style="129"/>
    <col min="3586" max="3586" width="10.88671875" style="129" customWidth="1"/>
    <col min="3587" max="3587" width="11" style="129" customWidth="1"/>
    <col min="3588" max="3589" width="10.88671875" style="129" customWidth="1"/>
    <col min="3590" max="3590" width="10.5546875" style="129" customWidth="1"/>
    <col min="3591" max="3591" width="11.5546875" style="129" customWidth="1"/>
    <col min="3592" max="3592" width="10.88671875" style="129" customWidth="1"/>
    <col min="3593" max="3593" width="10.5546875" style="129" customWidth="1"/>
    <col min="3594" max="3594" width="11.88671875" style="129" customWidth="1"/>
    <col min="3595" max="3595" width="10.5546875" style="129" customWidth="1"/>
    <col min="3596" max="3596" width="14.44140625" style="129" customWidth="1"/>
    <col min="3597" max="3597" width="16.5546875" style="129" customWidth="1"/>
    <col min="3598" max="3598" width="11.33203125" style="129" customWidth="1"/>
    <col min="3599" max="3599" width="17.33203125" style="129" customWidth="1"/>
    <col min="3600" max="3600" width="10.88671875" style="129" customWidth="1"/>
    <col min="3601" max="3601" width="10.5546875" style="129" customWidth="1"/>
    <col min="3602" max="3602" width="10.6640625" style="129" customWidth="1"/>
    <col min="3603" max="3603" width="10.88671875" style="129" customWidth="1"/>
    <col min="3604" max="3604" width="12.6640625" style="129" customWidth="1"/>
    <col min="3605" max="3605" width="17.5546875" style="129" customWidth="1"/>
    <col min="3606" max="3606" width="12.109375" style="129" customWidth="1"/>
    <col min="3607" max="3607" width="11.6640625" style="129" customWidth="1"/>
    <col min="3608" max="3608" width="11.44140625" style="129" bestFit="1" customWidth="1"/>
    <col min="3609" max="3609" width="11" style="129" customWidth="1"/>
    <col min="3610" max="3841" width="9.109375" style="129"/>
    <col min="3842" max="3842" width="10.88671875" style="129" customWidth="1"/>
    <col min="3843" max="3843" width="11" style="129" customWidth="1"/>
    <col min="3844" max="3845" width="10.88671875" style="129" customWidth="1"/>
    <col min="3846" max="3846" width="10.5546875" style="129" customWidth="1"/>
    <col min="3847" max="3847" width="11.5546875" style="129" customWidth="1"/>
    <col min="3848" max="3848" width="10.88671875" style="129" customWidth="1"/>
    <col min="3849" max="3849" width="10.5546875" style="129" customWidth="1"/>
    <col min="3850" max="3850" width="11.88671875" style="129" customWidth="1"/>
    <col min="3851" max="3851" width="10.5546875" style="129" customWidth="1"/>
    <col min="3852" max="3852" width="14.44140625" style="129" customWidth="1"/>
    <col min="3853" max="3853" width="16.5546875" style="129" customWidth="1"/>
    <col min="3854" max="3854" width="11.33203125" style="129" customWidth="1"/>
    <col min="3855" max="3855" width="17.33203125" style="129" customWidth="1"/>
    <col min="3856" max="3856" width="10.88671875" style="129" customWidth="1"/>
    <col min="3857" max="3857" width="10.5546875" style="129" customWidth="1"/>
    <col min="3858" max="3858" width="10.6640625" style="129" customWidth="1"/>
    <col min="3859" max="3859" width="10.88671875" style="129" customWidth="1"/>
    <col min="3860" max="3860" width="12.6640625" style="129" customWidth="1"/>
    <col min="3861" max="3861" width="17.5546875" style="129" customWidth="1"/>
    <col min="3862" max="3862" width="12.109375" style="129" customWidth="1"/>
    <col min="3863" max="3863" width="11.6640625" style="129" customWidth="1"/>
    <col min="3864" max="3864" width="11.44140625" style="129" bestFit="1" customWidth="1"/>
    <col min="3865" max="3865" width="11" style="129" customWidth="1"/>
    <col min="3866" max="4097" width="9.109375" style="129"/>
    <col min="4098" max="4098" width="10.88671875" style="129" customWidth="1"/>
    <col min="4099" max="4099" width="11" style="129" customWidth="1"/>
    <col min="4100" max="4101" width="10.88671875" style="129" customWidth="1"/>
    <col min="4102" max="4102" width="10.5546875" style="129" customWidth="1"/>
    <col min="4103" max="4103" width="11.5546875" style="129" customWidth="1"/>
    <col min="4104" max="4104" width="10.88671875" style="129" customWidth="1"/>
    <col min="4105" max="4105" width="10.5546875" style="129" customWidth="1"/>
    <col min="4106" max="4106" width="11.88671875" style="129" customWidth="1"/>
    <col min="4107" max="4107" width="10.5546875" style="129" customWidth="1"/>
    <col min="4108" max="4108" width="14.44140625" style="129" customWidth="1"/>
    <col min="4109" max="4109" width="16.5546875" style="129" customWidth="1"/>
    <col min="4110" max="4110" width="11.33203125" style="129" customWidth="1"/>
    <col min="4111" max="4111" width="17.33203125" style="129" customWidth="1"/>
    <col min="4112" max="4112" width="10.88671875" style="129" customWidth="1"/>
    <col min="4113" max="4113" width="10.5546875" style="129" customWidth="1"/>
    <col min="4114" max="4114" width="10.6640625" style="129" customWidth="1"/>
    <col min="4115" max="4115" width="10.88671875" style="129" customWidth="1"/>
    <col min="4116" max="4116" width="12.6640625" style="129" customWidth="1"/>
    <col min="4117" max="4117" width="17.5546875" style="129" customWidth="1"/>
    <col min="4118" max="4118" width="12.109375" style="129" customWidth="1"/>
    <col min="4119" max="4119" width="11.6640625" style="129" customWidth="1"/>
    <col min="4120" max="4120" width="11.44140625" style="129" bestFit="1" customWidth="1"/>
    <col min="4121" max="4121" width="11" style="129" customWidth="1"/>
    <col min="4122" max="4353" width="9.109375" style="129"/>
    <col min="4354" max="4354" width="10.88671875" style="129" customWidth="1"/>
    <col min="4355" max="4355" width="11" style="129" customWidth="1"/>
    <col min="4356" max="4357" width="10.88671875" style="129" customWidth="1"/>
    <col min="4358" max="4358" width="10.5546875" style="129" customWidth="1"/>
    <col min="4359" max="4359" width="11.5546875" style="129" customWidth="1"/>
    <col min="4360" max="4360" width="10.88671875" style="129" customWidth="1"/>
    <col min="4361" max="4361" width="10.5546875" style="129" customWidth="1"/>
    <col min="4362" max="4362" width="11.88671875" style="129" customWidth="1"/>
    <col min="4363" max="4363" width="10.5546875" style="129" customWidth="1"/>
    <col min="4364" max="4364" width="14.44140625" style="129" customWidth="1"/>
    <col min="4365" max="4365" width="16.5546875" style="129" customWidth="1"/>
    <col min="4366" max="4366" width="11.33203125" style="129" customWidth="1"/>
    <col min="4367" max="4367" width="17.33203125" style="129" customWidth="1"/>
    <col min="4368" max="4368" width="10.88671875" style="129" customWidth="1"/>
    <col min="4369" max="4369" width="10.5546875" style="129" customWidth="1"/>
    <col min="4370" max="4370" width="10.6640625" style="129" customWidth="1"/>
    <col min="4371" max="4371" width="10.88671875" style="129" customWidth="1"/>
    <col min="4372" max="4372" width="12.6640625" style="129" customWidth="1"/>
    <col min="4373" max="4373" width="17.5546875" style="129" customWidth="1"/>
    <col min="4374" max="4374" width="12.109375" style="129" customWidth="1"/>
    <col min="4375" max="4375" width="11.6640625" style="129" customWidth="1"/>
    <col min="4376" max="4376" width="11.44140625" style="129" bestFit="1" customWidth="1"/>
    <col min="4377" max="4377" width="11" style="129" customWidth="1"/>
    <col min="4378" max="4609" width="9.109375" style="129"/>
    <col min="4610" max="4610" width="10.88671875" style="129" customWidth="1"/>
    <col min="4611" max="4611" width="11" style="129" customWidth="1"/>
    <col min="4612" max="4613" width="10.88671875" style="129" customWidth="1"/>
    <col min="4614" max="4614" width="10.5546875" style="129" customWidth="1"/>
    <col min="4615" max="4615" width="11.5546875" style="129" customWidth="1"/>
    <col min="4616" max="4616" width="10.88671875" style="129" customWidth="1"/>
    <col min="4617" max="4617" width="10.5546875" style="129" customWidth="1"/>
    <col min="4618" max="4618" width="11.88671875" style="129" customWidth="1"/>
    <col min="4619" max="4619" width="10.5546875" style="129" customWidth="1"/>
    <col min="4620" max="4620" width="14.44140625" style="129" customWidth="1"/>
    <col min="4621" max="4621" width="16.5546875" style="129" customWidth="1"/>
    <col min="4622" max="4622" width="11.33203125" style="129" customWidth="1"/>
    <col min="4623" max="4623" width="17.33203125" style="129" customWidth="1"/>
    <col min="4624" max="4624" width="10.88671875" style="129" customWidth="1"/>
    <col min="4625" max="4625" width="10.5546875" style="129" customWidth="1"/>
    <col min="4626" max="4626" width="10.6640625" style="129" customWidth="1"/>
    <col min="4627" max="4627" width="10.88671875" style="129" customWidth="1"/>
    <col min="4628" max="4628" width="12.6640625" style="129" customWidth="1"/>
    <col min="4629" max="4629" width="17.5546875" style="129" customWidth="1"/>
    <col min="4630" max="4630" width="12.109375" style="129" customWidth="1"/>
    <col min="4631" max="4631" width="11.6640625" style="129" customWidth="1"/>
    <col min="4632" max="4632" width="11.44140625" style="129" bestFit="1" customWidth="1"/>
    <col min="4633" max="4633" width="11" style="129" customWidth="1"/>
    <col min="4634" max="4865" width="9.109375" style="129"/>
    <col min="4866" max="4866" width="10.88671875" style="129" customWidth="1"/>
    <col min="4867" max="4867" width="11" style="129" customWidth="1"/>
    <col min="4868" max="4869" width="10.88671875" style="129" customWidth="1"/>
    <col min="4870" max="4870" width="10.5546875" style="129" customWidth="1"/>
    <col min="4871" max="4871" width="11.5546875" style="129" customWidth="1"/>
    <col min="4872" max="4872" width="10.88671875" style="129" customWidth="1"/>
    <col min="4873" max="4873" width="10.5546875" style="129" customWidth="1"/>
    <col min="4874" max="4874" width="11.88671875" style="129" customWidth="1"/>
    <col min="4875" max="4875" width="10.5546875" style="129" customWidth="1"/>
    <col min="4876" max="4876" width="14.44140625" style="129" customWidth="1"/>
    <col min="4877" max="4877" width="16.5546875" style="129" customWidth="1"/>
    <col min="4878" max="4878" width="11.33203125" style="129" customWidth="1"/>
    <col min="4879" max="4879" width="17.33203125" style="129" customWidth="1"/>
    <col min="4880" max="4880" width="10.88671875" style="129" customWidth="1"/>
    <col min="4881" max="4881" width="10.5546875" style="129" customWidth="1"/>
    <col min="4882" max="4882" width="10.6640625" style="129" customWidth="1"/>
    <col min="4883" max="4883" width="10.88671875" style="129" customWidth="1"/>
    <col min="4884" max="4884" width="12.6640625" style="129" customWidth="1"/>
    <col min="4885" max="4885" width="17.5546875" style="129" customWidth="1"/>
    <col min="4886" max="4886" width="12.109375" style="129" customWidth="1"/>
    <col min="4887" max="4887" width="11.6640625" style="129" customWidth="1"/>
    <col min="4888" max="4888" width="11.44140625" style="129" bestFit="1" customWidth="1"/>
    <col min="4889" max="4889" width="11" style="129" customWidth="1"/>
    <col min="4890" max="5121" width="9.109375" style="129"/>
    <col min="5122" max="5122" width="10.88671875" style="129" customWidth="1"/>
    <col min="5123" max="5123" width="11" style="129" customWidth="1"/>
    <col min="5124" max="5125" width="10.88671875" style="129" customWidth="1"/>
    <col min="5126" max="5126" width="10.5546875" style="129" customWidth="1"/>
    <col min="5127" max="5127" width="11.5546875" style="129" customWidth="1"/>
    <col min="5128" max="5128" width="10.88671875" style="129" customWidth="1"/>
    <col min="5129" max="5129" width="10.5546875" style="129" customWidth="1"/>
    <col min="5130" max="5130" width="11.88671875" style="129" customWidth="1"/>
    <col min="5131" max="5131" width="10.5546875" style="129" customWidth="1"/>
    <col min="5132" max="5132" width="14.44140625" style="129" customWidth="1"/>
    <col min="5133" max="5133" width="16.5546875" style="129" customWidth="1"/>
    <col min="5134" max="5134" width="11.33203125" style="129" customWidth="1"/>
    <col min="5135" max="5135" width="17.33203125" style="129" customWidth="1"/>
    <col min="5136" max="5136" width="10.88671875" style="129" customWidth="1"/>
    <col min="5137" max="5137" width="10.5546875" style="129" customWidth="1"/>
    <col min="5138" max="5138" width="10.6640625" style="129" customWidth="1"/>
    <col min="5139" max="5139" width="10.88671875" style="129" customWidth="1"/>
    <col min="5140" max="5140" width="12.6640625" style="129" customWidth="1"/>
    <col min="5141" max="5141" width="17.5546875" style="129" customWidth="1"/>
    <col min="5142" max="5142" width="12.109375" style="129" customWidth="1"/>
    <col min="5143" max="5143" width="11.6640625" style="129" customWidth="1"/>
    <col min="5144" max="5144" width="11.44140625" style="129" bestFit="1" customWidth="1"/>
    <col min="5145" max="5145" width="11" style="129" customWidth="1"/>
    <col min="5146" max="5377" width="9.109375" style="129"/>
    <col min="5378" max="5378" width="10.88671875" style="129" customWidth="1"/>
    <col min="5379" max="5379" width="11" style="129" customWidth="1"/>
    <col min="5380" max="5381" width="10.88671875" style="129" customWidth="1"/>
    <col min="5382" max="5382" width="10.5546875" style="129" customWidth="1"/>
    <col min="5383" max="5383" width="11.5546875" style="129" customWidth="1"/>
    <col min="5384" max="5384" width="10.88671875" style="129" customWidth="1"/>
    <col min="5385" max="5385" width="10.5546875" style="129" customWidth="1"/>
    <col min="5386" max="5386" width="11.88671875" style="129" customWidth="1"/>
    <col min="5387" max="5387" width="10.5546875" style="129" customWidth="1"/>
    <col min="5388" max="5388" width="14.44140625" style="129" customWidth="1"/>
    <col min="5389" max="5389" width="16.5546875" style="129" customWidth="1"/>
    <col min="5390" max="5390" width="11.33203125" style="129" customWidth="1"/>
    <col min="5391" max="5391" width="17.33203125" style="129" customWidth="1"/>
    <col min="5392" max="5392" width="10.88671875" style="129" customWidth="1"/>
    <col min="5393" max="5393" width="10.5546875" style="129" customWidth="1"/>
    <col min="5394" max="5394" width="10.6640625" style="129" customWidth="1"/>
    <col min="5395" max="5395" width="10.88671875" style="129" customWidth="1"/>
    <col min="5396" max="5396" width="12.6640625" style="129" customWidth="1"/>
    <col min="5397" max="5397" width="17.5546875" style="129" customWidth="1"/>
    <col min="5398" max="5398" width="12.109375" style="129" customWidth="1"/>
    <col min="5399" max="5399" width="11.6640625" style="129" customWidth="1"/>
    <col min="5400" max="5400" width="11.44140625" style="129" bestFit="1" customWidth="1"/>
    <col min="5401" max="5401" width="11" style="129" customWidth="1"/>
    <col min="5402" max="5633" width="9.109375" style="129"/>
    <col min="5634" max="5634" width="10.88671875" style="129" customWidth="1"/>
    <col min="5635" max="5635" width="11" style="129" customWidth="1"/>
    <col min="5636" max="5637" width="10.88671875" style="129" customWidth="1"/>
    <col min="5638" max="5638" width="10.5546875" style="129" customWidth="1"/>
    <col min="5639" max="5639" width="11.5546875" style="129" customWidth="1"/>
    <col min="5640" max="5640" width="10.88671875" style="129" customWidth="1"/>
    <col min="5641" max="5641" width="10.5546875" style="129" customWidth="1"/>
    <col min="5642" max="5642" width="11.88671875" style="129" customWidth="1"/>
    <col min="5643" max="5643" width="10.5546875" style="129" customWidth="1"/>
    <col min="5644" max="5644" width="14.44140625" style="129" customWidth="1"/>
    <col min="5645" max="5645" width="16.5546875" style="129" customWidth="1"/>
    <col min="5646" max="5646" width="11.33203125" style="129" customWidth="1"/>
    <col min="5647" max="5647" width="17.33203125" style="129" customWidth="1"/>
    <col min="5648" max="5648" width="10.88671875" style="129" customWidth="1"/>
    <col min="5649" max="5649" width="10.5546875" style="129" customWidth="1"/>
    <col min="5650" max="5650" width="10.6640625" style="129" customWidth="1"/>
    <col min="5651" max="5651" width="10.88671875" style="129" customWidth="1"/>
    <col min="5652" max="5652" width="12.6640625" style="129" customWidth="1"/>
    <col min="5653" max="5653" width="17.5546875" style="129" customWidth="1"/>
    <col min="5654" max="5654" width="12.109375" style="129" customWidth="1"/>
    <col min="5655" max="5655" width="11.6640625" style="129" customWidth="1"/>
    <col min="5656" max="5656" width="11.44140625" style="129" bestFit="1" customWidth="1"/>
    <col min="5657" max="5657" width="11" style="129" customWidth="1"/>
    <col min="5658" max="5889" width="9.109375" style="129"/>
    <col min="5890" max="5890" width="10.88671875" style="129" customWidth="1"/>
    <col min="5891" max="5891" width="11" style="129" customWidth="1"/>
    <col min="5892" max="5893" width="10.88671875" style="129" customWidth="1"/>
    <col min="5894" max="5894" width="10.5546875" style="129" customWidth="1"/>
    <col min="5895" max="5895" width="11.5546875" style="129" customWidth="1"/>
    <col min="5896" max="5896" width="10.88671875" style="129" customWidth="1"/>
    <col min="5897" max="5897" width="10.5546875" style="129" customWidth="1"/>
    <col min="5898" max="5898" width="11.88671875" style="129" customWidth="1"/>
    <col min="5899" max="5899" width="10.5546875" style="129" customWidth="1"/>
    <col min="5900" max="5900" width="14.44140625" style="129" customWidth="1"/>
    <col min="5901" max="5901" width="16.5546875" style="129" customWidth="1"/>
    <col min="5902" max="5902" width="11.33203125" style="129" customWidth="1"/>
    <col min="5903" max="5903" width="17.33203125" style="129" customWidth="1"/>
    <col min="5904" max="5904" width="10.88671875" style="129" customWidth="1"/>
    <col min="5905" max="5905" width="10.5546875" style="129" customWidth="1"/>
    <col min="5906" max="5906" width="10.6640625" style="129" customWidth="1"/>
    <col min="5907" max="5907" width="10.88671875" style="129" customWidth="1"/>
    <col min="5908" max="5908" width="12.6640625" style="129" customWidth="1"/>
    <col min="5909" max="5909" width="17.5546875" style="129" customWidth="1"/>
    <col min="5910" max="5910" width="12.109375" style="129" customWidth="1"/>
    <col min="5911" max="5911" width="11.6640625" style="129" customWidth="1"/>
    <col min="5912" max="5912" width="11.44140625" style="129" bestFit="1" customWidth="1"/>
    <col min="5913" max="5913" width="11" style="129" customWidth="1"/>
    <col min="5914" max="6145" width="9.109375" style="129"/>
    <col min="6146" max="6146" width="10.88671875" style="129" customWidth="1"/>
    <col min="6147" max="6147" width="11" style="129" customWidth="1"/>
    <col min="6148" max="6149" width="10.88671875" style="129" customWidth="1"/>
    <col min="6150" max="6150" width="10.5546875" style="129" customWidth="1"/>
    <col min="6151" max="6151" width="11.5546875" style="129" customWidth="1"/>
    <col min="6152" max="6152" width="10.88671875" style="129" customWidth="1"/>
    <col min="6153" max="6153" width="10.5546875" style="129" customWidth="1"/>
    <col min="6154" max="6154" width="11.88671875" style="129" customWidth="1"/>
    <col min="6155" max="6155" width="10.5546875" style="129" customWidth="1"/>
    <col min="6156" max="6156" width="14.44140625" style="129" customWidth="1"/>
    <col min="6157" max="6157" width="16.5546875" style="129" customWidth="1"/>
    <col min="6158" max="6158" width="11.33203125" style="129" customWidth="1"/>
    <col min="6159" max="6159" width="17.33203125" style="129" customWidth="1"/>
    <col min="6160" max="6160" width="10.88671875" style="129" customWidth="1"/>
    <col min="6161" max="6161" width="10.5546875" style="129" customWidth="1"/>
    <col min="6162" max="6162" width="10.6640625" style="129" customWidth="1"/>
    <col min="6163" max="6163" width="10.88671875" style="129" customWidth="1"/>
    <col min="6164" max="6164" width="12.6640625" style="129" customWidth="1"/>
    <col min="6165" max="6165" width="17.5546875" style="129" customWidth="1"/>
    <col min="6166" max="6166" width="12.109375" style="129" customWidth="1"/>
    <col min="6167" max="6167" width="11.6640625" style="129" customWidth="1"/>
    <col min="6168" max="6168" width="11.44140625" style="129" bestFit="1" customWidth="1"/>
    <col min="6169" max="6169" width="11" style="129" customWidth="1"/>
    <col min="6170" max="6401" width="9.109375" style="129"/>
    <col min="6402" max="6402" width="10.88671875" style="129" customWidth="1"/>
    <col min="6403" max="6403" width="11" style="129" customWidth="1"/>
    <col min="6404" max="6405" width="10.88671875" style="129" customWidth="1"/>
    <col min="6406" max="6406" width="10.5546875" style="129" customWidth="1"/>
    <col min="6407" max="6407" width="11.5546875" style="129" customWidth="1"/>
    <col min="6408" max="6408" width="10.88671875" style="129" customWidth="1"/>
    <col min="6409" max="6409" width="10.5546875" style="129" customWidth="1"/>
    <col min="6410" max="6410" width="11.88671875" style="129" customWidth="1"/>
    <col min="6411" max="6411" width="10.5546875" style="129" customWidth="1"/>
    <col min="6412" max="6412" width="14.44140625" style="129" customWidth="1"/>
    <col min="6413" max="6413" width="16.5546875" style="129" customWidth="1"/>
    <col min="6414" max="6414" width="11.33203125" style="129" customWidth="1"/>
    <col min="6415" max="6415" width="17.33203125" style="129" customWidth="1"/>
    <col min="6416" max="6416" width="10.88671875" style="129" customWidth="1"/>
    <col min="6417" max="6417" width="10.5546875" style="129" customWidth="1"/>
    <col min="6418" max="6418" width="10.6640625" style="129" customWidth="1"/>
    <col min="6419" max="6419" width="10.88671875" style="129" customWidth="1"/>
    <col min="6420" max="6420" width="12.6640625" style="129" customWidth="1"/>
    <col min="6421" max="6421" width="17.5546875" style="129" customWidth="1"/>
    <col min="6422" max="6422" width="12.109375" style="129" customWidth="1"/>
    <col min="6423" max="6423" width="11.6640625" style="129" customWidth="1"/>
    <col min="6424" max="6424" width="11.44140625" style="129" bestFit="1" customWidth="1"/>
    <col min="6425" max="6425" width="11" style="129" customWidth="1"/>
    <col min="6426" max="6657" width="9.109375" style="129"/>
    <col min="6658" max="6658" width="10.88671875" style="129" customWidth="1"/>
    <col min="6659" max="6659" width="11" style="129" customWidth="1"/>
    <col min="6660" max="6661" width="10.88671875" style="129" customWidth="1"/>
    <col min="6662" max="6662" width="10.5546875" style="129" customWidth="1"/>
    <col min="6663" max="6663" width="11.5546875" style="129" customWidth="1"/>
    <col min="6664" max="6664" width="10.88671875" style="129" customWidth="1"/>
    <col min="6665" max="6665" width="10.5546875" style="129" customWidth="1"/>
    <col min="6666" max="6666" width="11.88671875" style="129" customWidth="1"/>
    <col min="6667" max="6667" width="10.5546875" style="129" customWidth="1"/>
    <col min="6668" max="6668" width="14.44140625" style="129" customWidth="1"/>
    <col min="6669" max="6669" width="16.5546875" style="129" customWidth="1"/>
    <col min="6670" max="6670" width="11.33203125" style="129" customWidth="1"/>
    <col min="6671" max="6671" width="17.33203125" style="129" customWidth="1"/>
    <col min="6672" max="6672" width="10.88671875" style="129" customWidth="1"/>
    <col min="6673" max="6673" width="10.5546875" style="129" customWidth="1"/>
    <col min="6674" max="6674" width="10.6640625" style="129" customWidth="1"/>
    <col min="6675" max="6675" width="10.88671875" style="129" customWidth="1"/>
    <col min="6676" max="6676" width="12.6640625" style="129" customWidth="1"/>
    <col min="6677" max="6677" width="17.5546875" style="129" customWidth="1"/>
    <col min="6678" max="6678" width="12.109375" style="129" customWidth="1"/>
    <col min="6679" max="6679" width="11.6640625" style="129" customWidth="1"/>
    <col min="6680" max="6680" width="11.44140625" style="129" bestFit="1" customWidth="1"/>
    <col min="6681" max="6681" width="11" style="129" customWidth="1"/>
    <col min="6682" max="6913" width="9.109375" style="129"/>
    <col min="6914" max="6914" width="10.88671875" style="129" customWidth="1"/>
    <col min="6915" max="6915" width="11" style="129" customWidth="1"/>
    <col min="6916" max="6917" width="10.88671875" style="129" customWidth="1"/>
    <col min="6918" max="6918" width="10.5546875" style="129" customWidth="1"/>
    <col min="6919" max="6919" width="11.5546875" style="129" customWidth="1"/>
    <col min="6920" max="6920" width="10.88671875" style="129" customWidth="1"/>
    <col min="6921" max="6921" width="10.5546875" style="129" customWidth="1"/>
    <col min="6922" max="6922" width="11.88671875" style="129" customWidth="1"/>
    <col min="6923" max="6923" width="10.5546875" style="129" customWidth="1"/>
    <col min="6924" max="6924" width="14.44140625" style="129" customWidth="1"/>
    <col min="6925" max="6925" width="16.5546875" style="129" customWidth="1"/>
    <col min="6926" max="6926" width="11.33203125" style="129" customWidth="1"/>
    <col min="6927" max="6927" width="17.33203125" style="129" customWidth="1"/>
    <col min="6928" max="6928" width="10.88671875" style="129" customWidth="1"/>
    <col min="6929" max="6929" width="10.5546875" style="129" customWidth="1"/>
    <col min="6930" max="6930" width="10.6640625" style="129" customWidth="1"/>
    <col min="6931" max="6931" width="10.88671875" style="129" customWidth="1"/>
    <col min="6932" max="6932" width="12.6640625" style="129" customWidth="1"/>
    <col min="6933" max="6933" width="17.5546875" style="129" customWidth="1"/>
    <col min="6934" max="6934" width="12.109375" style="129" customWidth="1"/>
    <col min="6935" max="6935" width="11.6640625" style="129" customWidth="1"/>
    <col min="6936" max="6936" width="11.44140625" style="129" bestFit="1" customWidth="1"/>
    <col min="6937" max="6937" width="11" style="129" customWidth="1"/>
    <col min="6938" max="7169" width="9.109375" style="129"/>
    <col min="7170" max="7170" width="10.88671875" style="129" customWidth="1"/>
    <col min="7171" max="7171" width="11" style="129" customWidth="1"/>
    <col min="7172" max="7173" width="10.88671875" style="129" customWidth="1"/>
    <col min="7174" max="7174" width="10.5546875" style="129" customWidth="1"/>
    <col min="7175" max="7175" width="11.5546875" style="129" customWidth="1"/>
    <col min="7176" max="7176" width="10.88671875" style="129" customWidth="1"/>
    <col min="7177" max="7177" width="10.5546875" style="129" customWidth="1"/>
    <col min="7178" max="7178" width="11.88671875" style="129" customWidth="1"/>
    <col min="7179" max="7179" width="10.5546875" style="129" customWidth="1"/>
    <col min="7180" max="7180" width="14.44140625" style="129" customWidth="1"/>
    <col min="7181" max="7181" width="16.5546875" style="129" customWidth="1"/>
    <col min="7182" max="7182" width="11.33203125" style="129" customWidth="1"/>
    <col min="7183" max="7183" width="17.33203125" style="129" customWidth="1"/>
    <col min="7184" max="7184" width="10.88671875" style="129" customWidth="1"/>
    <col min="7185" max="7185" width="10.5546875" style="129" customWidth="1"/>
    <col min="7186" max="7186" width="10.6640625" style="129" customWidth="1"/>
    <col min="7187" max="7187" width="10.88671875" style="129" customWidth="1"/>
    <col min="7188" max="7188" width="12.6640625" style="129" customWidth="1"/>
    <col min="7189" max="7189" width="17.5546875" style="129" customWidth="1"/>
    <col min="7190" max="7190" width="12.109375" style="129" customWidth="1"/>
    <col min="7191" max="7191" width="11.6640625" style="129" customWidth="1"/>
    <col min="7192" max="7192" width="11.44140625" style="129" bestFit="1" customWidth="1"/>
    <col min="7193" max="7193" width="11" style="129" customWidth="1"/>
    <col min="7194" max="7425" width="9.109375" style="129"/>
    <col min="7426" max="7426" width="10.88671875" style="129" customWidth="1"/>
    <col min="7427" max="7427" width="11" style="129" customWidth="1"/>
    <col min="7428" max="7429" width="10.88671875" style="129" customWidth="1"/>
    <col min="7430" max="7430" width="10.5546875" style="129" customWidth="1"/>
    <col min="7431" max="7431" width="11.5546875" style="129" customWidth="1"/>
    <col min="7432" max="7432" width="10.88671875" style="129" customWidth="1"/>
    <col min="7433" max="7433" width="10.5546875" style="129" customWidth="1"/>
    <col min="7434" max="7434" width="11.88671875" style="129" customWidth="1"/>
    <col min="7435" max="7435" width="10.5546875" style="129" customWidth="1"/>
    <col min="7436" max="7436" width="14.44140625" style="129" customWidth="1"/>
    <col min="7437" max="7437" width="16.5546875" style="129" customWidth="1"/>
    <col min="7438" max="7438" width="11.33203125" style="129" customWidth="1"/>
    <col min="7439" max="7439" width="17.33203125" style="129" customWidth="1"/>
    <col min="7440" max="7440" width="10.88671875" style="129" customWidth="1"/>
    <col min="7441" max="7441" width="10.5546875" style="129" customWidth="1"/>
    <col min="7442" max="7442" width="10.6640625" style="129" customWidth="1"/>
    <col min="7443" max="7443" width="10.88671875" style="129" customWidth="1"/>
    <col min="7444" max="7444" width="12.6640625" style="129" customWidth="1"/>
    <col min="7445" max="7445" width="17.5546875" style="129" customWidth="1"/>
    <col min="7446" max="7446" width="12.109375" style="129" customWidth="1"/>
    <col min="7447" max="7447" width="11.6640625" style="129" customWidth="1"/>
    <col min="7448" max="7448" width="11.44140625" style="129" bestFit="1" customWidth="1"/>
    <col min="7449" max="7449" width="11" style="129" customWidth="1"/>
    <col min="7450" max="7681" width="9.109375" style="129"/>
    <col min="7682" max="7682" width="10.88671875" style="129" customWidth="1"/>
    <col min="7683" max="7683" width="11" style="129" customWidth="1"/>
    <col min="7684" max="7685" width="10.88671875" style="129" customWidth="1"/>
    <col min="7686" max="7686" width="10.5546875" style="129" customWidth="1"/>
    <col min="7687" max="7687" width="11.5546875" style="129" customWidth="1"/>
    <col min="7688" max="7688" width="10.88671875" style="129" customWidth="1"/>
    <col min="7689" max="7689" width="10.5546875" style="129" customWidth="1"/>
    <col min="7690" max="7690" width="11.88671875" style="129" customWidth="1"/>
    <col min="7691" max="7691" width="10.5546875" style="129" customWidth="1"/>
    <col min="7692" max="7692" width="14.44140625" style="129" customWidth="1"/>
    <col min="7693" max="7693" width="16.5546875" style="129" customWidth="1"/>
    <col min="7694" max="7694" width="11.33203125" style="129" customWidth="1"/>
    <col min="7695" max="7695" width="17.33203125" style="129" customWidth="1"/>
    <col min="7696" max="7696" width="10.88671875" style="129" customWidth="1"/>
    <col min="7697" max="7697" width="10.5546875" style="129" customWidth="1"/>
    <col min="7698" max="7698" width="10.6640625" style="129" customWidth="1"/>
    <col min="7699" max="7699" width="10.88671875" style="129" customWidth="1"/>
    <col min="7700" max="7700" width="12.6640625" style="129" customWidth="1"/>
    <col min="7701" max="7701" width="17.5546875" style="129" customWidth="1"/>
    <col min="7702" max="7702" width="12.109375" style="129" customWidth="1"/>
    <col min="7703" max="7703" width="11.6640625" style="129" customWidth="1"/>
    <col min="7704" max="7704" width="11.44140625" style="129" bestFit="1" customWidth="1"/>
    <col min="7705" max="7705" width="11" style="129" customWidth="1"/>
    <col min="7706" max="7937" width="9.109375" style="129"/>
    <col min="7938" max="7938" width="10.88671875" style="129" customWidth="1"/>
    <col min="7939" max="7939" width="11" style="129" customWidth="1"/>
    <col min="7940" max="7941" width="10.88671875" style="129" customWidth="1"/>
    <col min="7942" max="7942" width="10.5546875" style="129" customWidth="1"/>
    <col min="7943" max="7943" width="11.5546875" style="129" customWidth="1"/>
    <col min="7944" max="7944" width="10.88671875" style="129" customWidth="1"/>
    <col min="7945" max="7945" width="10.5546875" style="129" customWidth="1"/>
    <col min="7946" max="7946" width="11.88671875" style="129" customWidth="1"/>
    <col min="7947" max="7947" width="10.5546875" style="129" customWidth="1"/>
    <col min="7948" max="7948" width="14.44140625" style="129" customWidth="1"/>
    <col min="7949" max="7949" width="16.5546875" style="129" customWidth="1"/>
    <col min="7950" max="7950" width="11.33203125" style="129" customWidth="1"/>
    <col min="7951" max="7951" width="17.33203125" style="129" customWidth="1"/>
    <col min="7952" max="7952" width="10.88671875" style="129" customWidth="1"/>
    <col min="7953" max="7953" width="10.5546875" style="129" customWidth="1"/>
    <col min="7954" max="7954" width="10.6640625" style="129" customWidth="1"/>
    <col min="7955" max="7955" width="10.88671875" style="129" customWidth="1"/>
    <col min="7956" max="7956" width="12.6640625" style="129" customWidth="1"/>
    <col min="7957" max="7957" width="17.5546875" style="129" customWidth="1"/>
    <col min="7958" max="7958" width="12.109375" style="129" customWidth="1"/>
    <col min="7959" max="7959" width="11.6640625" style="129" customWidth="1"/>
    <col min="7960" max="7960" width="11.44140625" style="129" bestFit="1" customWidth="1"/>
    <col min="7961" max="7961" width="11" style="129" customWidth="1"/>
    <col min="7962" max="8193" width="9.109375" style="129"/>
    <col min="8194" max="8194" width="10.88671875" style="129" customWidth="1"/>
    <col min="8195" max="8195" width="11" style="129" customWidth="1"/>
    <col min="8196" max="8197" width="10.88671875" style="129" customWidth="1"/>
    <col min="8198" max="8198" width="10.5546875" style="129" customWidth="1"/>
    <col min="8199" max="8199" width="11.5546875" style="129" customWidth="1"/>
    <col min="8200" max="8200" width="10.88671875" style="129" customWidth="1"/>
    <col min="8201" max="8201" width="10.5546875" style="129" customWidth="1"/>
    <col min="8202" max="8202" width="11.88671875" style="129" customWidth="1"/>
    <col min="8203" max="8203" width="10.5546875" style="129" customWidth="1"/>
    <col min="8204" max="8204" width="14.44140625" style="129" customWidth="1"/>
    <col min="8205" max="8205" width="16.5546875" style="129" customWidth="1"/>
    <col min="8206" max="8206" width="11.33203125" style="129" customWidth="1"/>
    <col min="8207" max="8207" width="17.33203125" style="129" customWidth="1"/>
    <col min="8208" max="8208" width="10.88671875" style="129" customWidth="1"/>
    <col min="8209" max="8209" width="10.5546875" style="129" customWidth="1"/>
    <col min="8210" max="8210" width="10.6640625" style="129" customWidth="1"/>
    <col min="8211" max="8211" width="10.88671875" style="129" customWidth="1"/>
    <col min="8212" max="8212" width="12.6640625" style="129" customWidth="1"/>
    <col min="8213" max="8213" width="17.5546875" style="129" customWidth="1"/>
    <col min="8214" max="8214" width="12.109375" style="129" customWidth="1"/>
    <col min="8215" max="8215" width="11.6640625" style="129" customWidth="1"/>
    <col min="8216" max="8216" width="11.44140625" style="129" bestFit="1" customWidth="1"/>
    <col min="8217" max="8217" width="11" style="129" customWidth="1"/>
    <col min="8218" max="8449" width="9.109375" style="129"/>
    <col min="8450" max="8450" width="10.88671875" style="129" customWidth="1"/>
    <col min="8451" max="8451" width="11" style="129" customWidth="1"/>
    <col min="8452" max="8453" width="10.88671875" style="129" customWidth="1"/>
    <col min="8454" max="8454" width="10.5546875" style="129" customWidth="1"/>
    <col min="8455" max="8455" width="11.5546875" style="129" customWidth="1"/>
    <col min="8456" max="8456" width="10.88671875" style="129" customWidth="1"/>
    <col min="8457" max="8457" width="10.5546875" style="129" customWidth="1"/>
    <col min="8458" max="8458" width="11.88671875" style="129" customWidth="1"/>
    <col min="8459" max="8459" width="10.5546875" style="129" customWidth="1"/>
    <col min="8460" max="8460" width="14.44140625" style="129" customWidth="1"/>
    <col min="8461" max="8461" width="16.5546875" style="129" customWidth="1"/>
    <col min="8462" max="8462" width="11.33203125" style="129" customWidth="1"/>
    <col min="8463" max="8463" width="17.33203125" style="129" customWidth="1"/>
    <col min="8464" max="8464" width="10.88671875" style="129" customWidth="1"/>
    <col min="8465" max="8465" width="10.5546875" style="129" customWidth="1"/>
    <col min="8466" max="8466" width="10.6640625" style="129" customWidth="1"/>
    <col min="8467" max="8467" width="10.88671875" style="129" customWidth="1"/>
    <col min="8468" max="8468" width="12.6640625" style="129" customWidth="1"/>
    <col min="8469" max="8469" width="17.5546875" style="129" customWidth="1"/>
    <col min="8470" max="8470" width="12.109375" style="129" customWidth="1"/>
    <col min="8471" max="8471" width="11.6640625" style="129" customWidth="1"/>
    <col min="8472" max="8472" width="11.44140625" style="129" bestFit="1" customWidth="1"/>
    <col min="8473" max="8473" width="11" style="129" customWidth="1"/>
    <col min="8474" max="8705" width="9.109375" style="129"/>
    <col min="8706" max="8706" width="10.88671875" style="129" customWidth="1"/>
    <col min="8707" max="8707" width="11" style="129" customWidth="1"/>
    <col min="8708" max="8709" width="10.88671875" style="129" customWidth="1"/>
    <col min="8710" max="8710" width="10.5546875" style="129" customWidth="1"/>
    <col min="8711" max="8711" width="11.5546875" style="129" customWidth="1"/>
    <col min="8712" max="8712" width="10.88671875" style="129" customWidth="1"/>
    <col min="8713" max="8713" width="10.5546875" style="129" customWidth="1"/>
    <col min="8714" max="8714" width="11.88671875" style="129" customWidth="1"/>
    <col min="8715" max="8715" width="10.5546875" style="129" customWidth="1"/>
    <col min="8716" max="8716" width="14.44140625" style="129" customWidth="1"/>
    <col min="8717" max="8717" width="16.5546875" style="129" customWidth="1"/>
    <col min="8718" max="8718" width="11.33203125" style="129" customWidth="1"/>
    <col min="8719" max="8719" width="17.33203125" style="129" customWidth="1"/>
    <col min="8720" max="8720" width="10.88671875" style="129" customWidth="1"/>
    <col min="8721" max="8721" width="10.5546875" style="129" customWidth="1"/>
    <col min="8722" max="8722" width="10.6640625" style="129" customWidth="1"/>
    <col min="8723" max="8723" width="10.88671875" style="129" customWidth="1"/>
    <col min="8724" max="8724" width="12.6640625" style="129" customWidth="1"/>
    <col min="8725" max="8725" width="17.5546875" style="129" customWidth="1"/>
    <col min="8726" max="8726" width="12.109375" style="129" customWidth="1"/>
    <col min="8727" max="8727" width="11.6640625" style="129" customWidth="1"/>
    <col min="8728" max="8728" width="11.44140625" style="129" bestFit="1" customWidth="1"/>
    <col min="8729" max="8729" width="11" style="129" customWidth="1"/>
    <col min="8730" max="8961" width="9.109375" style="129"/>
    <col min="8962" max="8962" width="10.88671875" style="129" customWidth="1"/>
    <col min="8963" max="8963" width="11" style="129" customWidth="1"/>
    <col min="8964" max="8965" width="10.88671875" style="129" customWidth="1"/>
    <col min="8966" max="8966" width="10.5546875" style="129" customWidth="1"/>
    <col min="8967" max="8967" width="11.5546875" style="129" customWidth="1"/>
    <col min="8968" max="8968" width="10.88671875" style="129" customWidth="1"/>
    <col min="8969" max="8969" width="10.5546875" style="129" customWidth="1"/>
    <col min="8970" max="8970" width="11.88671875" style="129" customWidth="1"/>
    <col min="8971" max="8971" width="10.5546875" style="129" customWidth="1"/>
    <col min="8972" max="8972" width="14.44140625" style="129" customWidth="1"/>
    <col min="8973" max="8973" width="16.5546875" style="129" customWidth="1"/>
    <col min="8974" max="8974" width="11.33203125" style="129" customWidth="1"/>
    <col min="8975" max="8975" width="17.33203125" style="129" customWidth="1"/>
    <col min="8976" max="8976" width="10.88671875" style="129" customWidth="1"/>
    <col min="8977" max="8977" width="10.5546875" style="129" customWidth="1"/>
    <col min="8978" max="8978" width="10.6640625" style="129" customWidth="1"/>
    <col min="8979" max="8979" width="10.88671875" style="129" customWidth="1"/>
    <col min="8980" max="8980" width="12.6640625" style="129" customWidth="1"/>
    <col min="8981" max="8981" width="17.5546875" style="129" customWidth="1"/>
    <col min="8982" max="8982" width="12.109375" style="129" customWidth="1"/>
    <col min="8983" max="8983" width="11.6640625" style="129" customWidth="1"/>
    <col min="8984" max="8984" width="11.44140625" style="129" bestFit="1" customWidth="1"/>
    <col min="8985" max="8985" width="11" style="129" customWidth="1"/>
    <col min="8986" max="9217" width="9.109375" style="129"/>
    <col min="9218" max="9218" width="10.88671875" style="129" customWidth="1"/>
    <col min="9219" max="9219" width="11" style="129" customWidth="1"/>
    <col min="9220" max="9221" width="10.88671875" style="129" customWidth="1"/>
    <col min="9222" max="9222" width="10.5546875" style="129" customWidth="1"/>
    <col min="9223" max="9223" width="11.5546875" style="129" customWidth="1"/>
    <col min="9224" max="9224" width="10.88671875" style="129" customWidth="1"/>
    <col min="9225" max="9225" width="10.5546875" style="129" customWidth="1"/>
    <col min="9226" max="9226" width="11.88671875" style="129" customWidth="1"/>
    <col min="9227" max="9227" width="10.5546875" style="129" customWidth="1"/>
    <col min="9228" max="9228" width="14.44140625" style="129" customWidth="1"/>
    <col min="9229" max="9229" width="16.5546875" style="129" customWidth="1"/>
    <col min="9230" max="9230" width="11.33203125" style="129" customWidth="1"/>
    <col min="9231" max="9231" width="17.33203125" style="129" customWidth="1"/>
    <col min="9232" max="9232" width="10.88671875" style="129" customWidth="1"/>
    <col min="9233" max="9233" width="10.5546875" style="129" customWidth="1"/>
    <col min="9234" max="9234" width="10.6640625" style="129" customWidth="1"/>
    <col min="9235" max="9235" width="10.88671875" style="129" customWidth="1"/>
    <col min="9236" max="9236" width="12.6640625" style="129" customWidth="1"/>
    <col min="9237" max="9237" width="17.5546875" style="129" customWidth="1"/>
    <col min="9238" max="9238" width="12.109375" style="129" customWidth="1"/>
    <col min="9239" max="9239" width="11.6640625" style="129" customWidth="1"/>
    <col min="9240" max="9240" width="11.44140625" style="129" bestFit="1" customWidth="1"/>
    <col min="9241" max="9241" width="11" style="129" customWidth="1"/>
    <col min="9242" max="9473" width="9.109375" style="129"/>
    <col min="9474" max="9474" width="10.88671875" style="129" customWidth="1"/>
    <col min="9475" max="9475" width="11" style="129" customWidth="1"/>
    <col min="9476" max="9477" width="10.88671875" style="129" customWidth="1"/>
    <col min="9478" max="9478" width="10.5546875" style="129" customWidth="1"/>
    <col min="9479" max="9479" width="11.5546875" style="129" customWidth="1"/>
    <col min="9480" max="9480" width="10.88671875" style="129" customWidth="1"/>
    <col min="9481" max="9481" width="10.5546875" style="129" customWidth="1"/>
    <col min="9482" max="9482" width="11.88671875" style="129" customWidth="1"/>
    <col min="9483" max="9483" width="10.5546875" style="129" customWidth="1"/>
    <col min="9484" max="9484" width="14.44140625" style="129" customWidth="1"/>
    <col min="9485" max="9485" width="16.5546875" style="129" customWidth="1"/>
    <col min="9486" max="9486" width="11.33203125" style="129" customWidth="1"/>
    <col min="9487" max="9487" width="17.33203125" style="129" customWidth="1"/>
    <col min="9488" max="9488" width="10.88671875" style="129" customWidth="1"/>
    <col min="9489" max="9489" width="10.5546875" style="129" customWidth="1"/>
    <col min="9490" max="9490" width="10.6640625" style="129" customWidth="1"/>
    <col min="9491" max="9491" width="10.88671875" style="129" customWidth="1"/>
    <col min="9492" max="9492" width="12.6640625" style="129" customWidth="1"/>
    <col min="9493" max="9493" width="17.5546875" style="129" customWidth="1"/>
    <col min="9494" max="9494" width="12.109375" style="129" customWidth="1"/>
    <col min="9495" max="9495" width="11.6640625" style="129" customWidth="1"/>
    <col min="9496" max="9496" width="11.44140625" style="129" bestFit="1" customWidth="1"/>
    <col min="9497" max="9497" width="11" style="129" customWidth="1"/>
    <col min="9498" max="9729" width="9.109375" style="129"/>
    <col min="9730" max="9730" width="10.88671875" style="129" customWidth="1"/>
    <col min="9731" max="9731" width="11" style="129" customWidth="1"/>
    <col min="9732" max="9733" width="10.88671875" style="129" customWidth="1"/>
    <col min="9734" max="9734" width="10.5546875" style="129" customWidth="1"/>
    <col min="9735" max="9735" width="11.5546875" style="129" customWidth="1"/>
    <col min="9736" max="9736" width="10.88671875" style="129" customWidth="1"/>
    <col min="9737" max="9737" width="10.5546875" style="129" customWidth="1"/>
    <col min="9738" max="9738" width="11.88671875" style="129" customWidth="1"/>
    <col min="9739" max="9739" width="10.5546875" style="129" customWidth="1"/>
    <col min="9740" max="9740" width="14.44140625" style="129" customWidth="1"/>
    <col min="9741" max="9741" width="16.5546875" style="129" customWidth="1"/>
    <col min="9742" max="9742" width="11.33203125" style="129" customWidth="1"/>
    <col min="9743" max="9743" width="17.33203125" style="129" customWidth="1"/>
    <col min="9744" max="9744" width="10.88671875" style="129" customWidth="1"/>
    <col min="9745" max="9745" width="10.5546875" style="129" customWidth="1"/>
    <col min="9746" max="9746" width="10.6640625" style="129" customWidth="1"/>
    <col min="9747" max="9747" width="10.88671875" style="129" customWidth="1"/>
    <col min="9748" max="9748" width="12.6640625" style="129" customWidth="1"/>
    <col min="9749" max="9749" width="17.5546875" style="129" customWidth="1"/>
    <col min="9750" max="9750" width="12.109375" style="129" customWidth="1"/>
    <col min="9751" max="9751" width="11.6640625" style="129" customWidth="1"/>
    <col min="9752" max="9752" width="11.44140625" style="129" bestFit="1" customWidth="1"/>
    <col min="9753" max="9753" width="11" style="129" customWidth="1"/>
    <col min="9754" max="9985" width="9.109375" style="129"/>
    <col min="9986" max="9986" width="10.88671875" style="129" customWidth="1"/>
    <col min="9987" max="9987" width="11" style="129" customWidth="1"/>
    <col min="9988" max="9989" width="10.88671875" style="129" customWidth="1"/>
    <col min="9990" max="9990" width="10.5546875" style="129" customWidth="1"/>
    <col min="9991" max="9991" width="11.5546875" style="129" customWidth="1"/>
    <col min="9992" max="9992" width="10.88671875" style="129" customWidth="1"/>
    <col min="9993" max="9993" width="10.5546875" style="129" customWidth="1"/>
    <col min="9994" max="9994" width="11.88671875" style="129" customWidth="1"/>
    <col min="9995" max="9995" width="10.5546875" style="129" customWidth="1"/>
    <col min="9996" max="9996" width="14.44140625" style="129" customWidth="1"/>
    <col min="9997" max="9997" width="16.5546875" style="129" customWidth="1"/>
    <col min="9998" max="9998" width="11.33203125" style="129" customWidth="1"/>
    <col min="9999" max="9999" width="17.33203125" style="129" customWidth="1"/>
    <col min="10000" max="10000" width="10.88671875" style="129" customWidth="1"/>
    <col min="10001" max="10001" width="10.5546875" style="129" customWidth="1"/>
    <col min="10002" max="10002" width="10.6640625" style="129" customWidth="1"/>
    <col min="10003" max="10003" width="10.88671875" style="129" customWidth="1"/>
    <col min="10004" max="10004" width="12.6640625" style="129" customWidth="1"/>
    <col min="10005" max="10005" width="17.5546875" style="129" customWidth="1"/>
    <col min="10006" max="10006" width="12.109375" style="129" customWidth="1"/>
    <col min="10007" max="10007" width="11.6640625" style="129" customWidth="1"/>
    <col min="10008" max="10008" width="11.44140625" style="129" bestFit="1" customWidth="1"/>
    <col min="10009" max="10009" width="11" style="129" customWidth="1"/>
    <col min="10010" max="10241" width="9.109375" style="129"/>
    <col min="10242" max="10242" width="10.88671875" style="129" customWidth="1"/>
    <col min="10243" max="10243" width="11" style="129" customWidth="1"/>
    <col min="10244" max="10245" width="10.88671875" style="129" customWidth="1"/>
    <col min="10246" max="10246" width="10.5546875" style="129" customWidth="1"/>
    <col min="10247" max="10247" width="11.5546875" style="129" customWidth="1"/>
    <col min="10248" max="10248" width="10.88671875" style="129" customWidth="1"/>
    <col min="10249" max="10249" width="10.5546875" style="129" customWidth="1"/>
    <col min="10250" max="10250" width="11.88671875" style="129" customWidth="1"/>
    <col min="10251" max="10251" width="10.5546875" style="129" customWidth="1"/>
    <col min="10252" max="10252" width="14.44140625" style="129" customWidth="1"/>
    <col min="10253" max="10253" width="16.5546875" style="129" customWidth="1"/>
    <col min="10254" max="10254" width="11.33203125" style="129" customWidth="1"/>
    <col min="10255" max="10255" width="17.33203125" style="129" customWidth="1"/>
    <col min="10256" max="10256" width="10.88671875" style="129" customWidth="1"/>
    <col min="10257" max="10257" width="10.5546875" style="129" customWidth="1"/>
    <col min="10258" max="10258" width="10.6640625" style="129" customWidth="1"/>
    <col min="10259" max="10259" width="10.88671875" style="129" customWidth="1"/>
    <col min="10260" max="10260" width="12.6640625" style="129" customWidth="1"/>
    <col min="10261" max="10261" width="17.5546875" style="129" customWidth="1"/>
    <col min="10262" max="10262" width="12.109375" style="129" customWidth="1"/>
    <col min="10263" max="10263" width="11.6640625" style="129" customWidth="1"/>
    <col min="10264" max="10264" width="11.44140625" style="129" bestFit="1" customWidth="1"/>
    <col min="10265" max="10265" width="11" style="129" customWidth="1"/>
    <col min="10266" max="10497" width="9.109375" style="129"/>
    <col min="10498" max="10498" width="10.88671875" style="129" customWidth="1"/>
    <col min="10499" max="10499" width="11" style="129" customWidth="1"/>
    <col min="10500" max="10501" width="10.88671875" style="129" customWidth="1"/>
    <col min="10502" max="10502" width="10.5546875" style="129" customWidth="1"/>
    <col min="10503" max="10503" width="11.5546875" style="129" customWidth="1"/>
    <col min="10504" max="10504" width="10.88671875" style="129" customWidth="1"/>
    <col min="10505" max="10505" width="10.5546875" style="129" customWidth="1"/>
    <col min="10506" max="10506" width="11.88671875" style="129" customWidth="1"/>
    <col min="10507" max="10507" width="10.5546875" style="129" customWidth="1"/>
    <col min="10508" max="10508" width="14.44140625" style="129" customWidth="1"/>
    <col min="10509" max="10509" width="16.5546875" style="129" customWidth="1"/>
    <col min="10510" max="10510" width="11.33203125" style="129" customWidth="1"/>
    <col min="10511" max="10511" width="17.33203125" style="129" customWidth="1"/>
    <col min="10512" max="10512" width="10.88671875" style="129" customWidth="1"/>
    <col min="10513" max="10513" width="10.5546875" style="129" customWidth="1"/>
    <col min="10514" max="10514" width="10.6640625" style="129" customWidth="1"/>
    <col min="10515" max="10515" width="10.88671875" style="129" customWidth="1"/>
    <col min="10516" max="10516" width="12.6640625" style="129" customWidth="1"/>
    <col min="10517" max="10517" width="17.5546875" style="129" customWidth="1"/>
    <col min="10518" max="10518" width="12.109375" style="129" customWidth="1"/>
    <col min="10519" max="10519" width="11.6640625" style="129" customWidth="1"/>
    <col min="10520" max="10520" width="11.44140625" style="129" bestFit="1" customWidth="1"/>
    <col min="10521" max="10521" width="11" style="129" customWidth="1"/>
    <col min="10522" max="10753" width="9.109375" style="129"/>
    <col min="10754" max="10754" width="10.88671875" style="129" customWidth="1"/>
    <col min="10755" max="10755" width="11" style="129" customWidth="1"/>
    <col min="10756" max="10757" width="10.88671875" style="129" customWidth="1"/>
    <col min="10758" max="10758" width="10.5546875" style="129" customWidth="1"/>
    <col min="10759" max="10759" width="11.5546875" style="129" customWidth="1"/>
    <col min="10760" max="10760" width="10.88671875" style="129" customWidth="1"/>
    <col min="10761" max="10761" width="10.5546875" style="129" customWidth="1"/>
    <col min="10762" max="10762" width="11.88671875" style="129" customWidth="1"/>
    <col min="10763" max="10763" width="10.5546875" style="129" customWidth="1"/>
    <col min="10764" max="10764" width="14.44140625" style="129" customWidth="1"/>
    <col min="10765" max="10765" width="16.5546875" style="129" customWidth="1"/>
    <col min="10766" max="10766" width="11.33203125" style="129" customWidth="1"/>
    <col min="10767" max="10767" width="17.33203125" style="129" customWidth="1"/>
    <col min="10768" max="10768" width="10.88671875" style="129" customWidth="1"/>
    <col min="10769" max="10769" width="10.5546875" style="129" customWidth="1"/>
    <col min="10770" max="10770" width="10.6640625" style="129" customWidth="1"/>
    <col min="10771" max="10771" width="10.88671875" style="129" customWidth="1"/>
    <col min="10772" max="10772" width="12.6640625" style="129" customWidth="1"/>
    <col min="10773" max="10773" width="17.5546875" style="129" customWidth="1"/>
    <col min="10774" max="10774" width="12.109375" style="129" customWidth="1"/>
    <col min="10775" max="10775" width="11.6640625" style="129" customWidth="1"/>
    <col min="10776" max="10776" width="11.44140625" style="129" bestFit="1" customWidth="1"/>
    <col min="10777" max="10777" width="11" style="129" customWidth="1"/>
    <col min="10778" max="11009" width="9.109375" style="129"/>
    <col min="11010" max="11010" width="10.88671875" style="129" customWidth="1"/>
    <col min="11011" max="11011" width="11" style="129" customWidth="1"/>
    <col min="11012" max="11013" width="10.88671875" style="129" customWidth="1"/>
    <col min="11014" max="11014" width="10.5546875" style="129" customWidth="1"/>
    <col min="11015" max="11015" width="11.5546875" style="129" customWidth="1"/>
    <col min="11016" max="11016" width="10.88671875" style="129" customWidth="1"/>
    <col min="11017" max="11017" width="10.5546875" style="129" customWidth="1"/>
    <col min="11018" max="11018" width="11.88671875" style="129" customWidth="1"/>
    <col min="11019" max="11019" width="10.5546875" style="129" customWidth="1"/>
    <col min="11020" max="11020" width="14.44140625" style="129" customWidth="1"/>
    <col min="11021" max="11021" width="16.5546875" style="129" customWidth="1"/>
    <col min="11022" max="11022" width="11.33203125" style="129" customWidth="1"/>
    <col min="11023" max="11023" width="17.33203125" style="129" customWidth="1"/>
    <col min="11024" max="11024" width="10.88671875" style="129" customWidth="1"/>
    <col min="11025" max="11025" width="10.5546875" style="129" customWidth="1"/>
    <col min="11026" max="11026" width="10.6640625" style="129" customWidth="1"/>
    <col min="11027" max="11027" width="10.88671875" style="129" customWidth="1"/>
    <col min="11028" max="11028" width="12.6640625" style="129" customWidth="1"/>
    <col min="11029" max="11029" width="17.5546875" style="129" customWidth="1"/>
    <col min="11030" max="11030" width="12.109375" style="129" customWidth="1"/>
    <col min="11031" max="11031" width="11.6640625" style="129" customWidth="1"/>
    <col min="11032" max="11032" width="11.44140625" style="129" bestFit="1" customWidth="1"/>
    <col min="11033" max="11033" width="11" style="129" customWidth="1"/>
    <col min="11034" max="11265" width="9.109375" style="129"/>
    <col min="11266" max="11266" width="10.88671875" style="129" customWidth="1"/>
    <col min="11267" max="11267" width="11" style="129" customWidth="1"/>
    <col min="11268" max="11269" width="10.88671875" style="129" customWidth="1"/>
    <col min="11270" max="11270" width="10.5546875" style="129" customWidth="1"/>
    <col min="11271" max="11271" width="11.5546875" style="129" customWidth="1"/>
    <col min="11272" max="11272" width="10.88671875" style="129" customWidth="1"/>
    <col min="11273" max="11273" width="10.5546875" style="129" customWidth="1"/>
    <col min="11274" max="11274" width="11.88671875" style="129" customWidth="1"/>
    <col min="11275" max="11275" width="10.5546875" style="129" customWidth="1"/>
    <col min="11276" max="11276" width="14.44140625" style="129" customWidth="1"/>
    <col min="11277" max="11277" width="16.5546875" style="129" customWidth="1"/>
    <col min="11278" max="11278" width="11.33203125" style="129" customWidth="1"/>
    <col min="11279" max="11279" width="17.33203125" style="129" customWidth="1"/>
    <col min="11280" max="11280" width="10.88671875" style="129" customWidth="1"/>
    <col min="11281" max="11281" width="10.5546875" style="129" customWidth="1"/>
    <col min="11282" max="11282" width="10.6640625" style="129" customWidth="1"/>
    <col min="11283" max="11283" width="10.88671875" style="129" customWidth="1"/>
    <col min="11284" max="11284" width="12.6640625" style="129" customWidth="1"/>
    <col min="11285" max="11285" width="17.5546875" style="129" customWidth="1"/>
    <col min="11286" max="11286" width="12.109375" style="129" customWidth="1"/>
    <col min="11287" max="11287" width="11.6640625" style="129" customWidth="1"/>
    <col min="11288" max="11288" width="11.44140625" style="129" bestFit="1" customWidth="1"/>
    <col min="11289" max="11289" width="11" style="129" customWidth="1"/>
    <col min="11290" max="11521" width="9.109375" style="129"/>
    <col min="11522" max="11522" width="10.88671875" style="129" customWidth="1"/>
    <col min="11523" max="11523" width="11" style="129" customWidth="1"/>
    <col min="11524" max="11525" width="10.88671875" style="129" customWidth="1"/>
    <col min="11526" max="11526" width="10.5546875" style="129" customWidth="1"/>
    <col min="11527" max="11527" width="11.5546875" style="129" customWidth="1"/>
    <col min="11528" max="11528" width="10.88671875" style="129" customWidth="1"/>
    <col min="11529" max="11529" width="10.5546875" style="129" customWidth="1"/>
    <col min="11530" max="11530" width="11.88671875" style="129" customWidth="1"/>
    <col min="11531" max="11531" width="10.5546875" style="129" customWidth="1"/>
    <col min="11532" max="11532" width="14.44140625" style="129" customWidth="1"/>
    <col min="11533" max="11533" width="16.5546875" style="129" customWidth="1"/>
    <col min="11534" max="11534" width="11.33203125" style="129" customWidth="1"/>
    <col min="11535" max="11535" width="17.33203125" style="129" customWidth="1"/>
    <col min="11536" max="11536" width="10.88671875" style="129" customWidth="1"/>
    <col min="11537" max="11537" width="10.5546875" style="129" customWidth="1"/>
    <col min="11538" max="11538" width="10.6640625" style="129" customWidth="1"/>
    <col min="11539" max="11539" width="10.88671875" style="129" customWidth="1"/>
    <col min="11540" max="11540" width="12.6640625" style="129" customWidth="1"/>
    <col min="11541" max="11541" width="17.5546875" style="129" customWidth="1"/>
    <col min="11542" max="11542" width="12.109375" style="129" customWidth="1"/>
    <col min="11543" max="11543" width="11.6640625" style="129" customWidth="1"/>
    <col min="11544" max="11544" width="11.44140625" style="129" bestFit="1" customWidth="1"/>
    <col min="11545" max="11545" width="11" style="129" customWidth="1"/>
    <col min="11546" max="11777" width="9.109375" style="129"/>
    <col min="11778" max="11778" width="10.88671875" style="129" customWidth="1"/>
    <col min="11779" max="11779" width="11" style="129" customWidth="1"/>
    <col min="11780" max="11781" width="10.88671875" style="129" customWidth="1"/>
    <col min="11782" max="11782" width="10.5546875" style="129" customWidth="1"/>
    <col min="11783" max="11783" width="11.5546875" style="129" customWidth="1"/>
    <col min="11784" max="11784" width="10.88671875" style="129" customWidth="1"/>
    <col min="11785" max="11785" width="10.5546875" style="129" customWidth="1"/>
    <col min="11786" max="11786" width="11.88671875" style="129" customWidth="1"/>
    <col min="11787" max="11787" width="10.5546875" style="129" customWidth="1"/>
    <col min="11788" max="11788" width="14.44140625" style="129" customWidth="1"/>
    <col min="11789" max="11789" width="16.5546875" style="129" customWidth="1"/>
    <col min="11790" max="11790" width="11.33203125" style="129" customWidth="1"/>
    <col min="11791" max="11791" width="17.33203125" style="129" customWidth="1"/>
    <col min="11792" max="11792" width="10.88671875" style="129" customWidth="1"/>
    <col min="11793" max="11793" width="10.5546875" style="129" customWidth="1"/>
    <col min="11794" max="11794" width="10.6640625" style="129" customWidth="1"/>
    <col min="11795" max="11795" width="10.88671875" style="129" customWidth="1"/>
    <col min="11796" max="11796" width="12.6640625" style="129" customWidth="1"/>
    <col min="11797" max="11797" width="17.5546875" style="129" customWidth="1"/>
    <col min="11798" max="11798" width="12.109375" style="129" customWidth="1"/>
    <col min="11799" max="11799" width="11.6640625" style="129" customWidth="1"/>
    <col min="11800" max="11800" width="11.44140625" style="129" bestFit="1" customWidth="1"/>
    <col min="11801" max="11801" width="11" style="129" customWidth="1"/>
    <col min="11802" max="12033" width="9.109375" style="129"/>
    <col min="12034" max="12034" width="10.88671875" style="129" customWidth="1"/>
    <col min="12035" max="12035" width="11" style="129" customWidth="1"/>
    <col min="12036" max="12037" width="10.88671875" style="129" customWidth="1"/>
    <col min="12038" max="12038" width="10.5546875" style="129" customWidth="1"/>
    <col min="12039" max="12039" width="11.5546875" style="129" customWidth="1"/>
    <col min="12040" max="12040" width="10.88671875" style="129" customWidth="1"/>
    <col min="12041" max="12041" width="10.5546875" style="129" customWidth="1"/>
    <col min="12042" max="12042" width="11.88671875" style="129" customWidth="1"/>
    <col min="12043" max="12043" width="10.5546875" style="129" customWidth="1"/>
    <col min="12044" max="12044" width="14.44140625" style="129" customWidth="1"/>
    <col min="12045" max="12045" width="16.5546875" style="129" customWidth="1"/>
    <col min="12046" max="12046" width="11.33203125" style="129" customWidth="1"/>
    <col min="12047" max="12047" width="17.33203125" style="129" customWidth="1"/>
    <col min="12048" max="12048" width="10.88671875" style="129" customWidth="1"/>
    <col min="12049" max="12049" width="10.5546875" style="129" customWidth="1"/>
    <col min="12050" max="12050" width="10.6640625" style="129" customWidth="1"/>
    <col min="12051" max="12051" width="10.88671875" style="129" customWidth="1"/>
    <col min="12052" max="12052" width="12.6640625" style="129" customWidth="1"/>
    <col min="12053" max="12053" width="17.5546875" style="129" customWidth="1"/>
    <col min="12054" max="12054" width="12.109375" style="129" customWidth="1"/>
    <col min="12055" max="12055" width="11.6640625" style="129" customWidth="1"/>
    <col min="12056" max="12056" width="11.44140625" style="129" bestFit="1" customWidth="1"/>
    <col min="12057" max="12057" width="11" style="129" customWidth="1"/>
    <col min="12058" max="12289" width="9.109375" style="129"/>
    <col min="12290" max="12290" width="10.88671875" style="129" customWidth="1"/>
    <col min="12291" max="12291" width="11" style="129" customWidth="1"/>
    <col min="12292" max="12293" width="10.88671875" style="129" customWidth="1"/>
    <col min="12294" max="12294" width="10.5546875" style="129" customWidth="1"/>
    <col min="12295" max="12295" width="11.5546875" style="129" customWidth="1"/>
    <col min="12296" max="12296" width="10.88671875" style="129" customWidth="1"/>
    <col min="12297" max="12297" width="10.5546875" style="129" customWidth="1"/>
    <col min="12298" max="12298" width="11.88671875" style="129" customWidth="1"/>
    <col min="12299" max="12299" width="10.5546875" style="129" customWidth="1"/>
    <col min="12300" max="12300" width="14.44140625" style="129" customWidth="1"/>
    <col min="12301" max="12301" width="16.5546875" style="129" customWidth="1"/>
    <col min="12302" max="12302" width="11.33203125" style="129" customWidth="1"/>
    <col min="12303" max="12303" width="17.33203125" style="129" customWidth="1"/>
    <col min="12304" max="12304" width="10.88671875" style="129" customWidth="1"/>
    <col min="12305" max="12305" width="10.5546875" style="129" customWidth="1"/>
    <col min="12306" max="12306" width="10.6640625" style="129" customWidth="1"/>
    <col min="12307" max="12307" width="10.88671875" style="129" customWidth="1"/>
    <col min="12308" max="12308" width="12.6640625" style="129" customWidth="1"/>
    <col min="12309" max="12309" width="17.5546875" style="129" customWidth="1"/>
    <col min="12310" max="12310" width="12.109375" style="129" customWidth="1"/>
    <col min="12311" max="12311" width="11.6640625" style="129" customWidth="1"/>
    <col min="12312" max="12312" width="11.44140625" style="129" bestFit="1" customWidth="1"/>
    <col min="12313" max="12313" width="11" style="129" customWidth="1"/>
    <col min="12314" max="12545" width="9.109375" style="129"/>
    <col min="12546" max="12546" width="10.88671875" style="129" customWidth="1"/>
    <col min="12547" max="12547" width="11" style="129" customWidth="1"/>
    <col min="12548" max="12549" width="10.88671875" style="129" customWidth="1"/>
    <col min="12550" max="12550" width="10.5546875" style="129" customWidth="1"/>
    <col min="12551" max="12551" width="11.5546875" style="129" customWidth="1"/>
    <col min="12552" max="12552" width="10.88671875" style="129" customWidth="1"/>
    <col min="12553" max="12553" width="10.5546875" style="129" customWidth="1"/>
    <col min="12554" max="12554" width="11.88671875" style="129" customWidth="1"/>
    <col min="12555" max="12555" width="10.5546875" style="129" customWidth="1"/>
    <col min="12556" max="12556" width="14.44140625" style="129" customWidth="1"/>
    <col min="12557" max="12557" width="16.5546875" style="129" customWidth="1"/>
    <col min="12558" max="12558" width="11.33203125" style="129" customWidth="1"/>
    <col min="12559" max="12559" width="17.33203125" style="129" customWidth="1"/>
    <col min="12560" max="12560" width="10.88671875" style="129" customWidth="1"/>
    <col min="12561" max="12561" width="10.5546875" style="129" customWidth="1"/>
    <col min="12562" max="12562" width="10.6640625" style="129" customWidth="1"/>
    <col min="12563" max="12563" width="10.88671875" style="129" customWidth="1"/>
    <col min="12564" max="12564" width="12.6640625" style="129" customWidth="1"/>
    <col min="12565" max="12565" width="17.5546875" style="129" customWidth="1"/>
    <col min="12566" max="12566" width="12.109375" style="129" customWidth="1"/>
    <col min="12567" max="12567" width="11.6640625" style="129" customWidth="1"/>
    <col min="12568" max="12568" width="11.44140625" style="129" bestFit="1" customWidth="1"/>
    <col min="12569" max="12569" width="11" style="129" customWidth="1"/>
    <col min="12570" max="12801" width="9.109375" style="129"/>
    <col min="12802" max="12802" width="10.88671875" style="129" customWidth="1"/>
    <col min="12803" max="12803" width="11" style="129" customWidth="1"/>
    <col min="12804" max="12805" width="10.88671875" style="129" customWidth="1"/>
    <col min="12806" max="12806" width="10.5546875" style="129" customWidth="1"/>
    <col min="12807" max="12807" width="11.5546875" style="129" customWidth="1"/>
    <col min="12808" max="12808" width="10.88671875" style="129" customWidth="1"/>
    <col min="12809" max="12809" width="10.5546875" style="129" customWidth="1"/>
    <col min="12810" max="12810" width="11.88671875" style="129" customWidth="1"/>
    <col min="12811" max="12811" width="10.5546875" style="129" customWidth="1"/>
    <col min="12812" max="12812" width="14.44140625" style="129" customWidth="1"/>
    <col min="12813" max="12813" width="16.5546875" style="129" customWidth="1"/>
    <col min="12814" max="12814" width="11.33203125" style="129" customWidth="1"/>
    <col min="12815" max="12815" width="17.33203125" style="129" customWidth="1"/>
    <col min="12816" max="12816" width="10.88671875" style="129" customWidth="1"/>
    <col min="12817" max="12817" width="10.5546875" style="129" customWidth="1"/>
    <col min="12818" max="12818" width="10.6640625" style="129" customWidth="1"/>
    <col min="12819" max="12819" width="10.88671875" style="129" customWidth="1"/>
    <col min="12820" max="12820" width="12.6640625" style="129" customWidth="1"/>
    <col min="12821" max="12821" width="17.5546875" style="129" customWidth="1"/>
    <col min="12822" max="12822" width="12.109375" style="129" customWidth="1"/>
    <col min="12823" max="12823" width="11.6640625" style="129" customWidth="1"/>
    <col min="12824" max="12824" width="11.44140625" style="129" bestFit="1" customWidth="1"/>
    <col min="12825" max="12825" width="11" style="129" customWidth="1"/>
    <col min="12826" max="13057" width="9.109375" style="129"/>
    <col min="13058" max="13058" width="10.88671875" style="129" customWidth="1"/>
    <col min="13059" max="13059" width="11" style="129" customWidth="1"/>
    <col min="13060" max="13061" width="10.88671875" style="129" customWidth="1"/>
    <col min="13062" max="13062" width="10.5546875" style="129" customWidth="1"/>
    <col min="13063" max="13063" width="11.5546875" style="129" customWidth="1"/>
    <col min="13064" max="13064" width="10.88671875" style="129" customWidth="1"/>
    <col min="13065" max="13065" width="10.5546875" style="129" customWidth="1"/>
    <col min="13066" max="13066" width="11.88671875" style="129" customWidth="1"/>
    <col min="13067" max="13067" width="10.5546875" style="129" customWidth="1"/>
    <col min="13068" max="13068" width="14.44140625" style="129" customWidth="1"/>
    <col min="13069" max="13069" width="16.5546875" style="129" customWidth="1"/>
    <col min="13070" max="13070" width="11.33203125" style="129" customWidth="1"/>
    <col min="13071" max="13071" width="17.33203125" style="129" customWidth="1"/>
    <col min="13072" max="13072" width="10.88671875" style="129" customWidth="1"/>
    <col min="13073" max="13073" width="10.5546875" style="129" customWidth="1"/>
    <col min="13074" max="13074" width="10.6640625" style="129" customWidth="1"/>
    <col min="13075" max="13075" width="10.88671875" style="129" customWidth="1"/>
    <col min="13076" max="13076" width="12.6640625" style="129" customWidth="1"/>
    <col min="13077" max="13077" width="17.5546875" style="129" customWidth="1"/>
    <col min="13078" max="13078" width="12.109375" style="129" customWidth="1"/>
    <col min="13079" max="13079" width="11.6640625" style="129" customWidth="1"/>
    <col min="13080" max="13080" width="11.44140625" style="129" bestFit="1" customWidth="1"/>
    <col min="13081" max="13081" width="11" style="129" customWidth="1"/>
    <col min="13082" max="13313" width="9.109375" style="129"/>
    <col min="13314" max="13314" width="10.88671875" style="129" customWidth="1"/>
    <col min="13315" max="13315" width="11" style="129" customWidth="1"/>
    <col min="13316" max="13317" width="10.88671875" style="129" customWidth="1"/>
    <col min="13318" max="13318" width="10.5546875" style="129" customWidth="1"/>
    <col min="13319" max="13319" width="11.5546875" style="129" customWidth="1"/>
    <col min="13320" max="13320" width="10.88671875" style="129" customWidth="1"/>
    <col min="13321" max="13321" width="10.5546875" style="129" customWidth="1"/>
    <col min="13322" max="13322" width="11.88671875" style="129" customWidth="1"/>
    <col min="13323" max="13323" width="10.5546875" style="129" customWidth="1"/>
    <col min="13324" max="13324" width="14.44140625" style="129" customWidth="1"/>
    <col min="13325" max="13325" width="16.5546875" style="129" customWidth="1"/>
    <col min="13326" max="13326" width="11.33203125" style="129" customWidth="1"/>
    <col min="13327" max="13327" width="17.33203125" style="129" customWidth="1"/>
    <col min="13328" max="13328" width="10.88671875" style="129" customWidth="1"/>
    <col min="13329" max="13329" width="10.5546875" style="129" customWidth="1"/>
    <col min="13330" max="13330" width="10.6640625" style="129" customWidth="1"/>
    <col min="13331" max="13331" width="10.88671875" style="129" customWidth="1"/>
    <col min="13332" max="13332" width="12.6640625" style="129" customWidth="1"/>
    <col min="13333" max="13333" width="17.5546875" style="129" customWidth="1"/>
    <col min="13334" max="13334" width="12.109375" style="129" customWidth="1"/>
    <col min="13335" max="13335" width="11.6640625" style="129" customWidth="1"/>
    <col min="13336" max="13336" width="11.44140625" style="129" bestFit="1" customWidth="1"/>
    <col min="13337" max="13337" width="11" style="129" customWidth="1"/>
    <col min="13338" max="13569" width="9.109375" style="129"/>
    <col min="13570" max="13570" width="10.88671875" style="129" customWidth="1"/>
    <col min="13571" max="13571" width="11" style="129" customWidth="1"/>
    <col min="13572" max="13573" width="10.88671875" style="129" customWidth="1"/>
    <col min="13574" max="13574" width="10.5546875" style="129" customWidth="1"/>
    <col min="13575" max="13575" width="11.5546875" style="129" customWidth="1"/>
    <col min="13576" max="13576" width="10.88671875" style="129" customWidth="1"/>
    <col min="13577" max="13577" width="10.5546875" style="129" customWidth="1"/>
    <col min="13578" max="13578" width="11.88671875" style="129" customWidth="1"/>
    <col min="13579" max="13579" width="10.5546875" style="129" customWidth="1"/>
    <col min="13580" max="13580" width="14.44140625" style="129" customWidth="1"/>
    <col min="13581" max="13581" width="16.5546875" style="129" customWidth="1"/>
    <col min="13582" max="13582" width="11.33203125" style="129" customWidth="1"/>
    <col min="13583" max="13583" width="17.33203125" style="129" customWidth="1"/>
    <col min="13584" max="13584" width="10.88671875" style="129" customWidth="1"/>
    <col min="13585" max="13585" width="10.5546875" style="129" customWidth="1"/>
    <col min="13586" max="13586" width="10.6640625" style="129" customWidth="1"/>
    <col min="13587" max="13587" width="10.88671875" style="129" customWidth="1"/>
    <col min="13588" max="13588" width="12.6640625" style="129" customWidth="1"/>
    <col min="13589" max="13589" width="17.5546875" style="129" customWidth="1"/>
    <col min="13590" max="13590" width="12.109375" style="129" customWidth="1"/>
    <col min="13591" max="13591" width="11.6640625" style="129" customWidth="1"/>
    <col min="13592" max="13592" width="11.44140625" style="129" bestFit="1" customWidth="1"/>
    <col min="13593" max="13593" width="11" style="129" customWidth="1"/>
    <col min="13594" max="13825" width="9.109375" style="129"/>
    <col min="13826" max="13826" width="10.88671875" style="129" customWidth="1"/>
    <col min="13827" max="13827" width="11" style="129" customWidth="1"/>
    <col min="13828" max="13829" width="10.88671875" style="129" customWidth="1"/>
    <col min="13830" max="13830" width="10.5546875" style="129" customWidth="1"/>
    <col min="13831" max="13831" width="11.5546875" style="129" customWidth="1"/>
    <col min="13832" max="13832" width="10.88671875" style="129" customWidth="1"/>
    <col min="13833" max="13833" width="10.5546875" style="129" customWidth="1"/>
    <col min="13834" max="13834" width="11.88671875" style="129" customWidth="1"/>
    <col min="13835" max="13835" width="10.5546875" style="129" customWidth="1"/>
    <col min="13836" max="13836" width="14.44140625" style="129" customWidth="1"/>
    <col min="13837" max="13837" width="16.5546875" style="129" customWidth="1"/>
    <col min="13838" max="13838" width="11.33203125" style="129" customWidth="1"/>
    <col min="13839" max="13839" width="17.33203125" style="129" customWidth="1"/>
    <col min="13840" max="13840" width="10.88671875" style="129" customWidth="1"/>
    <col min="13841" max="13841" width="10.5546875" style="129" customWidth="1"/>
    <col min="13842" max="13842" width="10.6640625" style="129" customWidth="1"/>
    <col min="13843" max="13843" width="10.88671875" style="129" customWidth="1"/>
    <col min="13844" max="13844" width="12.6640625" style="129" customWidth="1"/>
    <col min="13845" max="13845" width="17.5546875" style="129" customWidth="1"/>
    <col min="13846" max="13846" width="12.109375" style="129" customWidth="1"/>
    <col min="13847" max="13847" width="11.6640625" style="129" customWidth="1"/>
    <col min="13848" max="13848" width="11.44140625" style="129" bestFit="1" customWidth="1"/>
    <col min="13849" max="13849" width="11" style="129" customWidth="1"/>
    <col min="13850" max="14081" width="9.109375" style="129"/>
    <col min="14082" max="14082" width="10.88671875" style="129" customWidth="1"/>
    <col min="14083" max="14083" width="11" style="129" customWidth="1"/>
    <col min="14084" max="14085" width="10.88671875" style="129" customWidth="1"/>
    <col min="14086" max="14086" width="10.5546875" style="129" customWidth="1"/>
    <col min="14087" max="14087" width="11.5546875" style="129" customWidth="1"/>
    <col min="14088" max="14088" width="10.88671875" style="129" customWidth="1"/>
    <col min="14089" max="14089" width="10.5546875" style="129" customWidth="1"/>
    <col min="14090" max="14090" width="11.88671875" style="129" customWidth="1"/>
    <col min="14091" max="14091" width="10.5546875" style="129" customWidth="1"/>
    <col min="14092" max="14092" width="14.44140625" style="129" customWidth="1"/>
    <col min="14093" max="14093" width="16.5546875" style="129" customWidth="1"/>
    <col min="14094" max="14094" width="11.33203125" style="129" customWidth="1"/>
    <col min="14095" max="14095" width="17.33203125" style="129" customWidth="1"/>
    <col min="14096" max="14096" width="10.88671875" style="129" customWidth="1"/>
    <col min="14097" max="14097" width="10.5546875" style="129" customWidth="1"/>
    <col min="14098" max="14098" width="10.6640625" style="129" customWidth="1"/>
    <col min="14099" max="14099" width="10.88671875" style="129" customWidth="1"/>
    <col min="14100" max="14100" width="12.6640625" style="129" customWidth="1"/>
    <col min="14101" max="14101" width="17.5546875" style="129" customWidth="1"/>
    <col min="14102" max="14102" width="12.109375" style="129" customWidth="1"/>
    <col min="14103" max="14103" width="11.6640625" style="129" customWidth="1"/>
    <col min="14104" max="14104" width="11.44140625" style="129" bestFit="1" customWidth="1"/>
    <col min="14105" max="14105" width="11" style="129" customWidth="1"/>
    <col min="14106" max="14337" width="9.109375" style="129"/>
    <col min="14338" max="14338" width="10.88671875" style="129" customWidth="1"/>
    <col min="14339" max="14339" width="11" style="129" customWidth="1"/>
    <col min="14340" max="14341" width="10.88671875" style="129" customWidth="1"/>
    <col min="14342" max="14342" width="10.5546875" style="129" customWidth="1"/>
    <col min="14343" max="14343" width="11.5546875" style="129" customWidth="1"/>
    <col min="14344" max="14344" width="10.88671875" style="129" customWidth="1"/>
    <col min="14345" max="14345" width="10.5546875" style="129" customWidth="1"/>
    <col min="14346" max="14346" width="11.88671875" style="129" customWidth="1"/>
    <col min="14347" max="14347" width="10.5546875" style="129" customWidth="1"/>
    <col min="14348" max="14348" width="14.44140625" style="129" customWidth="1"/>
    <col min="14349" max="14349" width="16.5546875" style="129" customWidth="1"/>
    <col min="14350" max="14350" width="11.33203125" style="129" customWidth="1"/>
    <col min="14351" max="14351" width="17.33203125" style="129" customWidth="1"/>
    <col min="14352" max="14352" width="10.88671875" style="129" customWidth="1"/>
    <col min="14353" max="14353" width="10.5546875" style="129" customWidth="1"/>
    <col min="14354" max="14354" width="10.6640625" style="129" customWidth="1"/>
    <col min="14355" max="14355" width="10.88671875" style="129" customWidth="1"/>
    <col min="14356" max="14356" width="12.6640625" style="129" customWidth="1"/>
    <col min="14357" max="14357" width="17.5546875" style="129" customWidth="1"/>
    <col min="14358" max="14358" width="12.109375" style="129" customWidth="1"/>
    <col min="14359" max="14359" width="11.6640625" style="129" customWidth="1"/>
    <col min="14360" max="14360" width="11.44140625" style="129" bestFit="1" customWidth="1"/>
    <col min="14361" max="14361" width="11" style="129" customWidth="1"/>
    <col min="14362" max="14593" width="9.109375" style="129"/>
    <col min="14594" max="14594" width="10.88671875" style="129" customWidth="1"/>
    <col min="14595" max="14595" width="11" style="129" customWidth="1"/>
    <col min="14596" max="14597" width="10.88671875" style="129" customWidth="1"/>
    <col min="14598" max="14598" width="10.5546875" style="129" customWidth="1"/>
    <col min="14599" max="14599" width="11.5546875" style="129" customWidth="1"/>
    <col min="14600" max="14600" width="10.88671875" style="129" customWidth="1"/>
    <col min="14601" max="14601" width="10.5546875" style="129" customWidth="1"/>
    <col min="14602" max="14602" width="11.88671875" style="129" customWidth="1"/>
    <col min="14603" max="14603" width="10.5546875" style="129" customWidth="1"/>
    <col min="14604" max="14604" width="14.44140625" style="129" customWidth="1"/>
    <col min="14605" max="14605" width="16.5546875" style="129" customWidth="1"/>
    <col min="14606" max="14606" width="11.33203125" style="129" customWidth="1"/>
    <col min="14607" max="14607" width="17.33203125" style="129" customWidth="1"/>
    <col min="14608" max="14608" width="10.88671875" style="129" customWidth="1"/>
    <col min="14609" max="14609" width="10.5546875" style="129" customWidth="1"/>
    <col min="14610" max="14610" width="10.6640625" style="129" customWidth="1"/>
    <col min="14611" max="14611" width="10.88671875" style="129" customWidth="1"/>
    <col min="14612" max="14612" width="12.6640625" style="129" customWidth="1"/>
    <col min="14613" max="14613" width="17.5546875" style="129" customWidth="1"/>
    <col min="14614" max="14614" width="12.109375" style="129" customWidth="1"/>
    <col min="14615" max="14615" width="11.6640625" style="129" customWidth="1"/>
    <col min="14616" max="14616" width="11.44140625" style="129" bestFit="1" customWidth="1"/>
    <col min="14617" max="14617" width="11" style="129" customWidth="1"/>
    <col min="14618" max="14849" width="9.109375" style="129"/>
    <col min="14850" max="14850" width="10.88671875" style="129" customWidth="1"/>
    <col min="14851" max="14851" width="11" style="129" customWidth="1"/>
    <col min="14852" max="14853" width="10.88671875" style="129" customWidth="1"/>
    <col min="14854" max="14854" width="10.5546875" style="129" customWidth="1"/>
    <col min="14855" max="14855" width="11.5546875" style="129" customWidth="1"/>
    <col min="14856" max="14856" width="10.88671875" style="129" customWidth="1"/>
    <col min="14857" max="14857" width="10.5546875" style="129" customWidth="1"/>
    <col min="14858" max="14858" width="11.88671875" style="129" customWidth="1"/>
    <col min="14859" max="14859" width="10.5546875" style="129" customWidth="1"/>
    <col min="14860" max="14860" width="14.44140625" style="129" customWidth="1"/>
    <col min="14861" max="14861" width="16.5546875" style="129" customWidth="1"/>
    <col min="14862" max="14862" width="11.33203125" style="129" customWidth="1"/>
    <col min="14863" max="14863" width="17.33203125" style="129" customWidth="1"/>
    <col min="14864" max="14864" width="10.88671875" style="129" customWidth="1"/>
    <col min="14865" max="14865" width="10.5546875" style="129" customWidth="1"/>
    <col min="14866" max="14866" width="10.6640625" style="129" customWidth="1"/>
    <col min="14867" max="14867" width="10.88671875" style="129" customWidth="1"/>
    <col min="14868" max="14868" width="12.6640625" style="129" customWidth="1"/>
    <col min="14869" max="14869" width="17.5546875" style="129" customWidth="1"/>
    <col min="14870" max="14870" width="12.109375" style="129" customWidth="1"/>
    <col min="14871" max="14871" width="11.6640625" style="129" customWidth="1"/>
    <col min="14872" max="14872" width="11.44140625" style="129" bestFit="1" customWidth="1"/>
    <col min="14873" max="14873" width="11" style="129" customWidth="1"/>
    <col min="14874" max="15105" width="9.109375" style="129"/>
    <col min="15106" max="15106" width="10.88671875" style="129" customWidth="1"/>
    <col min="15107" max="15107" width="11" style="129" customWidth="1"/>
    <col min="15108" max="15109" width="10.88671875" style="129" customWidth="1"/>
    <col min="15110" max="15110" width="10.5546875" style="129" customWidth="1"/>
    <col min="15111" max="15111" width="11.5546875" style="129" customWidth="1"/>
    <col min="15112" max="15112" width="10.88671875" style="129" customWidth="1"/>
    <col min="15113" max="15113" width="10.5546875" style="129" customWidth="1"/>
    <col min="15114" max="15114" width="11.88671875" style="129" customWidth="1"/>
    <col min="15115" max="15115" width="10.5546875" style="129" customWidth="1"/>
    <col min="15116" max="15116" width="14.44140625" style="129" customWidth="1"/>
    <col min="15117" max="15117" width="16.5546875" style="129" customWidth="1"/>
    <col min="15118" max="15118" width="11.33203125" style="129" customWidth="1"/>
    <col min="15119" max="15119" width="17.33203125" style="129" customWidth="1"/>
    <col min="15120" max="15120" width="10.88671875" style="129" customWidth="1"/>
    <col min="15121" max="15121" width="10.5546875" style="129" customWidth="1"/>
    <col min="15122" max="15122" width="10.6640625" style="129" customWidth="1"/>
    <col min="15123" max="15123" width="10.88671875" style="129" customWidth="1"/>
    <col min="15124" max="15124" width="12.6640625" style="129" customWidth="1"/>
    <col min="15125" max="15125" width="17.5546875" style="129" customWidth="1"/>
    <col min="15126" max="15126" width="12.109375" style="129" customWidth="1"/>
    <col min="15127" max="15127" width="11.6640625" style="129" customWidth="1"/>
    <col min="15128" max="15128" width="11.44140625" style="129" bestFit="1" customWidth="1"/>
    <col min="15129" max="15129" width="11" style="129" customWidth="1"/>
    <col min="15130" max="15361" width="9.109375" style="129"/>
    <col min="15362" max="15362" width="10.88671875" style="129" customWidth="1"/>
    <col min="15363" max="15363" width="11" style="129" customWidth="1"/>
    <col min="15364" max="15365" width="10.88671875" style="129" customWidth="1"/>
    <col min="15366" max="15366" width="10.5546875" style="129" customWidth="1"/>
    <col min="15367" max="15367" width="11.5546875" style="129" customWidth="1"/>
    <col min="15368" max="15368" width="10.88671875" style="129" customWidth="1"/>
    <col min="15369" max="15369" width="10.5546875" style="129" customWidth="1"/>
    <col min="15370" max="15370" width="11.88671875" style="129" customWidth="1"/>
    <col min="15371" max="15371" width="10.5546875" style="129" customWidth="1"/>
    <col min="15372" max="15372" width="14.44140625" style="129" customWidth="1"/>
    <col min="15373" max="15373" width="16.5546875" style="129" customWidth="1"/>
    <col min="15374" max="15374" width="11.33203125" style="129" customWidth="1"/>
    <col min="15375" max="15375" width="17.33203125" style="129" customWidth="1"/>
    <col min="15376" max="15376" width="10.88671875" style="129" customWidth="1"/>
    <col min="15377" max="15377" width="10.5546875" style="129" customWidth="1"/>
    <col min="15378" max="15378" width="10.6640625" style="129" customWidth="1"/>
    <col min="15379" max="15379" width="10.88671875" style="129" customWidth="1"/>
    <col min="15380" max="15380" width="12.6640625" style="129" customWidth="1"/>
    <col min="15381" max="15381" width="17.5546875" style="129" customWidth="1"/>
    <col min="15382" max="15382" width="12.109375" style="129" customWidth="1"/>
    <col min="15383" max="15383" width="11.6640625" style="129" customWidth="1"/>
    <col min="15384" max="15384" width="11.44140625" style="129" bestFit="1" customWidth="1"/>
    <col min="15385" max="15385" width="11" style="129" customWidth="1"/>
    <col min="15386" max="15617" width="9.109375" style="129"/>
    <col min="15618" max="15618" width="10.88671875" style="129" customWidth="1"/>
    <col min="15619" max="15619" width="11" style="129" customWidth="1"/>
    <col min="15620" max="15621" width="10.88671875" style="129" customWidth="1"/>
    <col min="15622" max="15622" width="10.5546875" style="129" customWidth="1"/>
    <col min="15623" max="15623" width="11.5546875" style="129" customWidth="1"/>
    <col min="15624" max="15624" width="10.88671875" style="129" customWidth="1"/>
    <col min="15625" max="15625" width="10.5546875" style="129" customWidth="1"/>
    <col min="15626" max="15626" width="11.88671875" style="129" customWidth="1"/>
    <col min="15627" max="15627" width="10.5546875" style="129" customWidth="1"/>
    <col min="15628" max="15628" width="14.44140625" style="129" customWidth="1"/>
    <col min="15629" max="15629" width="16.5546875" style="129" customWidth="1"/>
    <col min="15630" max="15630" width="11.33203125" style="129" customWidth="1"/>
    <col min="15631" max="15631" width="17.33203125" style="129" customWidth="1"/>
    <col min="15632" max="15632" width="10.88671875" style="129" customWidth="1"/>
    <col min="15633" max="15633" width="10.5546875" style="129" customWidth="1"/>
    <col min="15634" max="15634" width="10.6640625" style="129" customWidth="1"/>
    <col min="15635" max="15635" width="10.88671875" style="129" customWidth="1"/>
    <col min="15636" max="15636" width="12.6640625" style="129" customWidth="1"/>
    <col min="15637" max="15637" width="17.5546875" style="129" customWidth="1"/>
    <col min="15638" max="15638" width="12.109375" style="129" customWidth="1"/>
    <col min="15639" max="15639" width="11.6640625" style="129" customWidth="1"/>
    <col min="15640" max="15640" width="11.44140625" style="129" bestFit="1" customWidth="1"/>
    <col min="15641" max="15641" width="11" style="129" customWidth="1"/>
    <col min="15642" max="15873" width="9.109375" style="129"/>
    <col min="15874" max="15874" width="10.88671875" style="129" customWidth="1"/>
    <col min="15875" max="15875" width="11" style="129" customWidth="1"/>
    <col min="15876" max="15877" width="10.88671875" style="129" customWidth="1"/>
    <col min="15878" max="15878" width="10.5546875" style="129" customWidth="1"/>
    <col min="15879" max="15879" width="11.5546875" style="129" customWidth="1"/>
    <col min="15880" max="15880" width="10.88671875" style="129" customWidth="1"/>
    <col min="15881" max="15881" width="10.5546875" style="129" customWidth="1"/>
    <col min="15882" max="15882" width="11.88671875" style="129" customWidth="1"/>
    <col min="15883" max="15883" width="10.5546875" style="129" customWidth="1"/>
    <col min="15884" max="15884" width="14.44140625" style="129" customWidth="1"/>
    <col min="15885" max="15885" width="16.5546875" style="129" customWidth="1"/>
    <col min="15886" max="15886" width="11.33203125" style="129" customWidth="1"/>
    <col min="15887" max="15887" width="17.33203125" style="129" customWidth="1"/>
    <col min="15888" max="15888" width="10.88671875" style="129" customWidth="1"/>
    <col min="15889" max="15889" width="10.5546875" style="129" customWidth="1"/>
    <col min="15890" max="15890" width="10.6640625" style="129" customWidth="1"/>
    <col min="15891" max="15891" width="10.88671875" style="129" customWidth="1"/>
    <col min="15892" max="15892" width="12.6640625" style="129" customWidth="1"/>
    <col min="15893" max="15893" width="17.5546875" style="129" customWidth="1"/>
    <col min="15894" max="15894" width="12.109375" style="129" customWidth="1"/>
    <col min="15895" max="15895" width="11.6640625" style="129" customWidth="1"/>
    <col min="15896" max="15896" width="11.44140625" style="129" bestFit="1" customWidth="1"/>
    <col min="15897" max="15897" width="11" style="129" customWidth="1"/>
    <col min="15898" max="16129" width="9.109375" style="129"/>
    <col min="16130" max="16130" width="10.88671875" style="129" customWidth="1"/>
    <col min="16131" max="16131" width="11" style="129" customWidth="1"/>
    <col min="16132" max="16133" width="10.88671875" style="129" customWidth="1"/>
    <col min="16134" max="16134" width="10.5546875" style="129" customWidth="1"/>
    <col min="16135" max="16135" width="11.5546875" style="129" customWidth="1"/>
    <col min="16136" max="16136" width="10.88671875" style="129" customWidth="1"/>
    <col min="16137" max="16137" width="10.5546875" style="129" customWidth="1"/>
    <col min="16138" max="16138" width="11.88671875" style="129" customWidth="1"/>
    <col min="16139" max="16139" width="10.5546875" style="129" customWidth="1"/>
    <col min="16140" max="16140" width="14.44140625" style="129" customWidth="1"/>
    <col min="16141" max="16141" width="16.5546875" style="129" customWidth="1"/>
    <col min="16142" max="16142" width="11.33203125" style="129" customWidth="1"/>
    <col min="16143" max="16143" width="17.33203125" style="129" customWidth="1"/>
    <col min="16144" max="16144" width="10.88671875" style="129" customWidth="1"/>
    <col min="16145" max="16145" width="10.5546875" style="129" customWidth="1"/>
    <col min="16146" max="16146" width="10.6640625" style="129" customWidth="1"/>
    <col min="16147" max="16147" width="10.88671875" style="129" customWidth="1"/>
    <col min="16148" max="16148" width="12.6640625" style="129" customWidth="1"/>
    <col min="16149" max="16149" width="17.5546875" style="129" customWidth="1"/>
    <col min="16150" max="16150" width="12.109375" style="129" customWidth="1"/>
    <col min="16151" max="16151" width="11.6640625" style="129" customWidth="1"/>
    <col min="16152" max="16152" width="11.44140625" style="129" bestFit="1" customWidth="1"/>
    <col min="16153" max="16153" width="11" style="129" customWidth="1"/>
    <col min="16154" max="16384" width="9.109375" style="129"/>
  </cols>
  <sheetData>
    <row r="1" spans="1:31" x14ac:dyDescent="0.25">
      <c r="A1" s="129" t="s">
        <v>471</v>
      </c>
      <c r="E1" s="129" t="s">
        <v>472</v>
      </c>
      <c r="I1" s="1173" t="s">
        <v>3634</v>
      </c>
      <c r="J1" s="1173"/>
      <c r="K1" s="1173"/>
      <c r="L1" s="1173"/>
      <c r="M1" s="1173"/>
      <c r="N1" s="1173"/>
      <c r="AA1" s="129" t="s">
        <v>363</v>
      </c>
      <c r="AB1" s="129" t="s">
        <v>3635</v>
      </c>
    </row>
    <row r="2" spans="1:31" x14ac:dyDescent="0.25">
      <c r="B2" s="129" t="s">
        <v>473</v>
      </c>
      <c r="C2" s="129" t="s">
        <v>474</v>
      </c>
      <c r="D2" s="129" t="s">
        <v>475</v>
      </c>
      <c r="E2" s="129" t="s">
        <v>476</v>
      </c>
      <c r="F2" s="129" t="s">
        <v>477</v>
      </c>
      <c r="G2" s="129" t="s">
        <v>478</v>
      </c>
      <c r="H2" s="129" t="s">
        <v>479</v>
      </c>
      <c r="I2" s="129" t="s">
        <v>480</v>
      </c>
      <c r="J2" s="129" t="s">
        <v>481</v>
      </c>
      <c r="K2" s="137" t="s">
        <v>482</v>
      </c>
      <c r="L2" s="129" t="s">
        <v>483</v>
      </c>
      <c r="M2" s="129" t="s">
        <v>484</v>
      </c>
      <c r="N2" s="129" t="s">
        <v>485</v>
      </c>
      <c r="O2" s="129" t="s">
        <v>486</v>
      </c>
      <c r="P2" s="129" t="s">
        <v>487</v>
      </c>
      <c r="Q2" s="129" t="s">
        <v>488</v>
      </c>
      <c r="R2" s="129" t="s">
        <v>489</v>
      </c>
      <c r="S2" s="129" t="s">
        <v>490</v>
      </c>
      <c r="T2" s="129" t="s">
        <v>491</v>
      </c>
      <c r="U2" s="129" t="s">
        <v>492</v>
      </c>
      <c r="V2" s="129" t="s">
        <v>493</v>
      </c>
      <c r="W2" s="129" t="s">
        <v>494</v>
      </c>
      <c r="X2" s="129" t="s">
        <v>495</v>
      </c>
      <c r="Y2" s="129" t="s">
        <v>496</v>
      </c>
      <c r="Z2" s="129" t="s">
        <v>705</v>
      </c>
      <c r="AA2" s="129" t="s">
        <v>1230</v>
      </c>
      <c r="AB2" s="129" t="s">
        <v>1234</v>
      </c>
      <c r="AC2" s="129" t="s">
        <v>3679</v>
      </c>
      <c r="AD2" s="129" t="s">
        <v>5275</v>
      </c>
      <c r="AE2" s="129" t="s">
        <v>5276</v>
      </c>
    </row>
    <row r="3" spans="1:31" x14ac:dyDescent="0.25">
      <c r="A3" s="129" t="s">
        <v>497</v>
      </c>
      <c r="B3" s="129">
        <v>8</v>
      </c>
      <c r="C3" s="129">
        <v>8</v>
      </c>
      <c r="D3" s="129">
        <v>2</v>
      </c>
      <c r="E3" s="129">
        <v>9</v>
      </c>
      <c r="F3" s="129">
        <v>7</v>
      </c>
      <c r="G3" s="129">
        <v>9</v>
      </c>
      <c r="H3" s="129">
        <v>4</v>
      </c>
      <c r="I3" s="129">
        <v>7</v>
      </c>
      <c r="J3" s="129">
        <v>13</v>
      </c>
      <c r="K3" s="129">
        <v>11</v>
      </c>
      <c r="L3" s="129">
        <v>10</v>
      </c>
      <c r="M3" s="129">
        <v>8</v>
      </c>
      <c r="N3" s="129">
        <v>12</v>
      </c>
      <c r="O3" s="129">
        <v>12</v>
      </c>
      <c r="P3" s="129">
        <v>5</v>
      </c>
      <c r="Q3" s="129">
        <v>6</v>
      </c>
      <c r="R3" s="129">
        <v>10</v>
      </c>
      <c r="S3" s="129">
        <v>8</v>
      </c>
      <c r="T3" s="129">
        <v>13</v>
      </c>
      <c r="U3" s="129">
        <v>6</v>
      </c>
      <c r="V3" s="129">
        <v>11</v>
      </c>
      <c r="W3" s="129">
        <v>1</v>
      </c>
      <c r="X3" s="129">
        <v>13</v>
      </c>
      <c r="Y3" s="129">
        <v>7</v>
      </c>
      <c r="Z3" s="129">
        <v>13</v>
      </c>
      <c r="AA3" s="129">
        <v>11</v>
      </c>
      <c r="AB3" s="129">
        <v>12</v>
      </c>
      <c r="AC3" s="129">
        <v>12</v>
      </c>
    </row>
    <row r="4" spans="1:31" x14ac:dyDescent="0.25">
      <c r="A4" s="129" t="s">
        <v>325</v>
      </c>
      <c r="B4" s="129">
        <v>4</v>
      </c>
      <c r="C4" s="129">
        <v>9</v>
      </c>
      <c r="D4" s="129" t="s">
        <v>498</v>
      </c>
      <c r="E4" s="129">
        <v>3</v>
      </c>
      <c r="F4" s="129">
        <v>4</v>
      </c>
      <c r="G4" s="129">
        <v>4</v>
      </c>
      <c r="H4" s="129" t="s">
        <v>499</v>
      </c>
      <c r="I4" s="129">
        <v>2</v>
      </c>
      <c r="J4" s="129" t="s">
        <v>500</v>
      </c>
      <c r="K4" s="129">
        <v>3</v>
      </c>
      <c r="L4" s="129">
        <v>3</v>
      </c>
      <c r="M4" s="129">
        <v>5</v>
      </c>
      <c r="N4" s="129">
        <v>1</v>
      </c>
      <c r="O4" s="129">
        <v>1</v>
      </c>
      <c r="P4" s="129">
        <v>6</v>
      </c>
      <c r="Q4" s="129">
        <v>3</v>
      </c>
      <c r="R4" s="129">
        <v>7</v>
      </c>
      <c r="S4" s="129">
        <v>12</v>
      </c>
      <c r="T4" s="129" t="s">
        <v>501</v>
      </c>
      <c r="U4" s="129">
        <v>5</v>
      </c>
      <c r="V4" s="129" t="s">
        <v>502</v>
      </c>
      <c r="W4" s="129">
        <v>4</v>
      </c>
      <c r="X4" s="129">
        <v>2</v>
      </c>
      <c r="Y4" s="129">
        <v>5</v>
      </c>
      <c r="Z4" s="129">
        <v>10</v>
      </c>
      <c r="AA4" s="129">
        <v>10</v>
      </c>
      <c r="AB4" s="129">
        <v>3</v>
      </c>
      <c r="AC4" s="129" t="s">
        <v>498</v>
      </c>
    </row>
    <row r="5" spans="1:31" x14ac:dyDescent="0.25">
      <c r="A5" s="129" t="s">
        <v>6091</v>
      </c>
      <c r="B5" s="129">
        <v>5</v>
      </c>
      <c r="C5" s="129">
        <v>3</v>
      </c>
      <c r="D5" s="129">
        <v>4</v>
      </c>
      <c r="E5" s="129">
        <v>7</v>
      </c>
      <c r="F5" s="129">
        <v>10</v>
      </c>
      <c r="G5" s="129">
        <v>5</v>
      </c>
      <c r="H5" s="129">
        <v>7</v>
      </c>
      <c r="I5" s="129">
        <v>11</v>
      </c>
      <c r="J5" s="129">
        <v>12</v>
      </c>
      <c r="K5" s="129">
        <v>6</v>
      </c>
      <c r="L5" s="129" t="s">
        <v>514</v>
      </c>
      <c r="M5" s="129" t="s">
        <v>505</v>
      </c>
      <c r="N5" s="129">
        <v>4</v>
      </c>
      <c r="O5" s="129">
        <v>4</v>
      </c>
      <c r="P5" s="129" t="s">
        <v>498</v>
      </c>
      <c r="Q5" s="129">
        <v>11</v>
      </c>
      <c r="R5" s="129">
        <v>9</v>
      </c>
      <c r="S5" s="129">
        <v>7</v>
      </c>
      <c r="T5" s="129">
        <v>6</v>
      </c>
      <c r="U5" s="129" t="s">
        <v>376</v>
      </c>
      <c r="V5" s="129" t="s">
        <v>506</v>
      </c>
      <c r="W5" s="129" t="s">
        <v>506</v>
      </c>
      <c r="X5" s="129" t="s">
        <v>506</v>
      </c>
      <c r="Y5" s="129" t="s">
        <v>506</v>
      </c>
      <c r="Z5" s="129" t="s">
        <v>506</v>
      </c>
      <c r="AA5" s="129" t="s">
        <v>506</v>
      </c>
      <c r="AB5" s="129" t="s">
        <v>505</v>
      </c>
      <c r="AC5" s="129">
        <v>14</v>
      </c>
    </row>
    <row r="6" spans="1:31" x14ac:dyDescent="0.25">
      <c r="A6" s="129" t="s">
        <v>610</v>
      </c>
      <c r="B6" s="129" t="s">
        <v>506</v>
      </c>
      <c r="C6" s="129" t="s">
        <v>506</v>
      </c>
      <c r="D6" s="129" t="s">
        <v>506</v>
      </c>
      <c r="E6" s="129" t="s">
        <v>506</v>
      </c>
      <c r="F6" s="129" t="s">
        <v>506</v>
      </c>
      <c r="G6" s="129" t="s">
        <v>506</v>
      </c>
      <c r="H6" s="129" t="s">
        <v>506</v>
      </c>
      <c r="I6" s="129" t="s">
        <v>506</v>
      </c>
      <c r="J6" s="129" t="s">
        <v>505</v>
      </c>
      <c r="K6" s="129">
        <v>12</v>
      </c>
      <c r="L6" s="129">
        <v>11</v>
      </c>
      <c r="M6" s="129">
        <v>3</v>
      </c>
      <c r="N6" s="129" t="s">
        <v>507</v>
      </c>
      <c r="O6" s="129" t="s">
        <v>498</v>
      </c>
      <c r="P6" s="129">
        <v>4</v>
      </c>
      <c r="Q6" s="129">
        <v>9</v>
      </c>
      <c r="R6" s="129">
        <v>4</v>
      </c>
      <c r="S6" s="129">
        <v>5</v>
      </c>
      <c r="T6" s="129">
        <v>4</v>
      </c>
      <c r="U6" s="129">
        <v>13</v>
      </c>
      <c r="V6" s="129">
        <v>9</v>
      </c>
      <c r="W6" s="129">
        <v>12</v>
      </c>
      <c r="X6" s="129" t="s">
        <v>500</v>
      </c>
      <c r="Y6" s="129" t="s">
        <v>508</v>
      </c>
      <c r="Z6" s="129">
        <v>7</v>
      </c>
      <c r="AA6" s="129" t="s">
        <v>509</v>
      </c>
      <c r="AB6" s="129" t="s">
        <v>3678</v>
      </c>
      <c r="AC6" s="129">
        <v>2</v>
      </c>
    </row>
    <row r="7" spans="1:31" x14ac:dyDescent="0.25">
      <c r="A7" s="129" t="s">
        <v>327</v>
      </c>
      <c r="B7" s="129">
        <v>2</v>
      </c>
      <c r="C7" s="129">
        <v>10</v>
      </c>
      <c r="D7" s="129">
        <v>13</v>
      </c>
      <c r="E7" s="129">
        <v>4</v>
      </c>
      <c r="F7" s="129">
        <v>8</v>
      </c>
      <c r="G7" s="129">
        <v>7</v>
      </c>
      <c r="H7" s="129">
        <v>8</v>
      </c>
      <c r="I7" s="129">
        <v>6</v>
      </c>
      <c r="J7" s="129">
        <v>5</v>
      </c>
      <c r="K7" s="129" t="s">
        <v>509</v>
      </c>
      <c r="L7" s="129" t="s">
        <v>507</v>
      </c>
      <c r="M7" s="129">
        <v>1</v>
      </c>
      <c r="N7" s="129">
        <v>9</v>
      </c>
      <c r="O7" s="129">
        <v>2</v>
      </c>
      <c r="P7" s="129">
        <v>12</v>
      </c>
      <c r="Q7" s="129" t="s">
        <v>510</v>
      </c>
      <c r="R7" s="129">
        <v>1</v>
      </c>
      <c r="S7" s="129">
        <v>3</v>
      </c>
      <c r="T7" s="129">
        <v>1</v>
      </c>
      <c r="U7" s="129">
        <v>10</v>
      </c>
      <c r="V7" s="129">
        <v>7</v>
      </c>
      <c r="W7" s="129">
        <v>7</v>
      </c>
      <c r="X7" s="129">
        <v>12</v>
      </c>
      <c r="Y7" s="129">
        <v>14</v>
      </c>
      <c r="Z7" s="129">
        <v>6</v>
      </c>
      <c r="AA7" s="129">
        <v>13</v>
      </c>
      <c r="AB7" s="129">
        <v>11</v>
      </c>
      <c r="AC7" s="129">
        <v>6</v>
      </c>
    </row>
    <row r="8" spans="1:31" x14ac:dyDescent="0.25">
      <c r="A8" s="129" t="s">
        <v>331</v>
      </c>
      <c r="B8" s="129">
        <v>9</v>
      </c>
      <c r="C8" s="129">
        <v>6</v>
      </c>
      <c r="D8" s="129">
        <v>11</v>
      </c>
      <c r="E8" s="129">
        <v>11</v>
      </c>
      <c r="F8" s="129">
        <v>5</v>
      </c>
      <c r="G8" s="129">
        <v>6</v>
      </c>
      <c r="H8" s="129">
        <v>3</v>
      </c>
      <c r="I8" s="129">
        <v>10</v>
      </c>
      <c r="J8" s="129">
        <v>6</v>
      </c>
      <c r="K8" s="129">
        <v>9</v>
      </c>
      <c r="L8" s="129">
        <v>4</v>
      </c>
      <c r="M8" s="129">
        <v>9</v>
      </c>
      <c r="N8" s="129">
        <v>11</v>
      </c>
      <c r="O8" s="129">
        <v>13</v>
      </c>
      <c r="P8" s="129">
        <v>9</v>
      </c>
      <c r="Q8" s="129">
        <v>4</v>
      </c>
      <c r="R8" s="129" t="s">
        <v>507</v>
      </c>
      <c r="S8" s="129">
        <v>9</v>
      </c>
      <c r="T8" s="129">
        <v>3</v>
      </c>
      <c r="U8" s="129">
        <v>1</v>
      </c>
      <c r="V8" s="129">
        <v>5</v>
      </c>
      <c r="W8" s="129">
        <v>9</v>
      </c>
      <c r="X8" s="129">
        <v>3</v>
      </c>
      <c r="Y8" s="129">
        <v>8</v>
      </c>
      <c r="Z8" s="129" t="s">
        <v>498</v>
      </c>
      <c r="AA8" s="129">
        <v>3</v>
      </c>
      <c r="AB8" s="129">
        <v>5</v>
      </c>
      <c r="AC8" s="129">
        <v>9</v>
      </c>
    </row>
    <row r="9" spans="1:31" x14ac:dyDescent="0.25">
      <c r="A9" s="129" t="s">
        <v>328</v>
      </c>
      <c r="B9" s="129">
        <v>6</v>
      </c>
      <c r="C9" s="129">
        <v>11</v>
      </c>
      <c r="D9" s="129">
        <v>10</v>
      </c>
      <c r="E9" s="129">
        <v>2</v>
      </c>
      <c r="F9" s="129">
        <v>3</v>
      </c>
      <c r="G9" s="129">
        <v>8</v>
      </c>
      <c r="H9" s="129">
        <v>14</v>
      </c>
      <c r="I9" s="129">
        <v>3</v>
      </c>
      <c r="J9" s="129">
        <v>2</v>
      </c>
      <c r="K9" s="129">
        <v>5</v>
      </c>
      <c r="L9" s="129">
        <v>7</v>
      </c>
      <c r="M9" s="129">
        <v>4</v>
      </c>
      <c r="N9" s="129">
        <v>7</v>
      </c>
      <c r="O9" s="129">
        <v>11</v>
      </c>
      <c r="P9" s="129">
        <v>11</v>
      </c>
      <c r="Q9" s="129">
        <v>8</v>
      </c>
      <c r="R9" s="129">
        <v>2</v>
      </c>
      <c r="S9" s="129">
        <v>2</v>
      </c>
      <c r="T9" s="129">
        <v>7</v>
      </c>
      <c r="U9" s="129">
        <v>8</v>
      </c>
      <c r="V9" s="129">
        <v>8</v>
      </c>
      <c r="W9" s="129">
        <v>10</v>
      </c>
      <c r="X9" s="129">
        <v>11</v>
      </c>
      <c r="Y9" s="129">
        <v>9</v>
      </c>
      <c r="Z9" s="129">
        <v>5</v>
      </c>
      <c r="AA9" s="129">
        <v>7</v>
      </c>
      <c r="AB9" s="129">
        <v>13</v>
      </c>
      <c r="AC9" s="129">
        <v>10</v>
      </c>
    </row>
    <row r="10" spans="1:31" x14ac:dyDescent="0.25">
      <c r="A10" s="129" t="s">
        <v>334</v>
      </c>
      <c r="B10" s="129" t="s">
        <v>506</v>
      </c>
      <c r="C10" s="129" t="s">
        <v>505</v>
      </c>
      <c r="D10" s="129">
        <v>12</v>
      </c>
      <c r="E10" s="129">
        <v>5</v>
      </c>
      <c r="F10" s="129">
        <v>2</v>
      </c>
      <c r="G10" s="129">
        <v>3</v>
      </c>
      <c r="H10" s="129">
        <v>6</v>
      </c>
      <c r="I10" s="129">
        <v>9</v>
      </c>
      <c r="J10" s="129">
        <v>8</v>
      </c>
      <c r="K10" s="129">
        <v>4</v>
      </c>
      <c r="L10" s="129">
        <v>8</v>
      </c>
      <c r="M10" s="129">
        <v>13</v>
      </c>
      <c r="N10" s="129">
        <v>8</v>
      </c>
      <c r="O10" s="129">
        <v>8</v>
      </c>
      <c r="P10" s="129">
        <v>7</v>
      </c>
      <c r="Q10" s="129">
        <v>10</v>
      </c>
      <c r="R10" s="129">
        <v>8</v>
      </c>
      <c r="S10" s="129" t="s">
        <v>511</v>
      </c>
      <c r="T10" s="129">
        <v>10</v>
      </c>
      <c r="U10" s="129">
        <v>4</v>
      </c>
      <c r="V10" s="129">
        <v>4</v>
      </c>
      <c r="W10" s="129" t="s">
        <v>512</v>
      </c>
      <c r="X10" s="129">
        <v>10</v>
      </c>
      <c r="Y10" s="129">
        <v>6</v>
      </c>
      <c r="Z10" s="129">
        <v>2</v>
      </c>
      <c r="AA10" s="129">
        <v>1</v>
      </c>
      <c r="AB10" s="129">
        <v>2</v>
      </c>
      <c r="AC10" s="129">
        <v>1</v>
      </c>
    </row>
    <row r="11" spans="1:31" x14ac:dyDescent="0.25">
      <c r="A11" s="129" t="s">
        <v>626</v>
      </c>
      <c r="B11" s="129">
        <v>1</v>
      </c>
      <c r="C11" s="129">
        <v>5</v>
      </c>
      <c r="D11" s="129">
        <v>9</v>
      </c>
      <c r="E11" s="129" t="s">
        <v>513</v>
      </c>
      <c r="F11" s="129" t="s">
        <v>506</v>
      </c>
      <c r="G11" s="129" t="s">
        <v>506</v>
      </c>
      <c r="H11" s="129" t="s">
        <v>506</v>
      </c>
      <c r="I11" s="129" t="s">
        <v>506</v>
      </c>
      <c r="J11" s="129" t="s">
        <v>506</v>
      </c>
      <c r="K11" s="129" t="s">
        <v>506</v>
      </c>
      <c r="L11" s="129" t="s">
        <v>506</v>
      </c>
      <c r="M11" s="129" t="s">
        <v>506</v>
      </c>
      <c r="N11" s="129" t="s">
        <v>506</v>
      </c>
      <c r="O11" s="129" t="s">
        <v>506</v>
      </c>
      <c r="P11" s="129" t="s">
        <v>506</v>
      </c>
      <c r="Q11" s="129" t="s">
        <v>506</v>
      </c>
      <c r="R11" s="129" t="s">
        <v>506</v>
      </c>
      <c r="S11" s="129" t="s">
        <v>506</v>
      </c>
      <c r="T11" s="129" t="s">
        <v>506</v>
      </c>
      <c r="U11" s="129" t="s">
        <v>506</v>
      </c>
      <c r="V11" s="129" t="s">
        <v>505</v>
      </c>
      <c r="W11" s="129">
        <v>13</v>
      </c>
      <c r="X11" s="129">
        <v>6</v>
      </c>
      <c r="Y11" s="129">
        <v>11</v>
      </c>
      <c r="Z11" s="129">
        <v>8</v>
      </c>
      <c r="AA11" s="129">
        <v>6</v>
      </c>
      <c r="AB11" s="129">
        <v>7</v>
      </c>
      <c r="AC11" s="129">
        <v>8</v>
      </c>
    </row>
    <row r="12" spans="1:31" x14ac:dyDescent="0.25">
      <c r="A12" s="129" t="s">
        <v>6076</v>
      </c>
      <c r="B12" s="129" t="s">
        <v>506</v>
      </c>
      <c r="C12" s="129" t="s">
        <v>506</v>
      </c>
      <c r="D12" s="129" t="s">
        <v>506</v>
      </c>
      <c r="E12" s="129" t="s">
        <v>518</v>
      </c>
      <c r="F12" s="129">
        <v>13</v>
      </c>
      <c r="G12" s="129">
        <v>11</v>
      </c>
      <c r="H12" s="129">
        <v>11</v>
      </c>
      <c r="I12" s="129">
        <v>14</v>
      </c>
      <c r="J12" s="129">
        <v>10</v>
      </c>
      <c r="K12" s="129">
        <v>10</v>
      </c>
      <c r="L12" s="129">
        <v>12</v>
      </c>
      <c r="M12" s="129">
        <v>10</v>
      </c>
      <c r="N12" s="129">
        <v>10</v>
      </c>
      <c r="O12" s="129">
        <v>9</v>
      </c>
      <c r="P12" s="129">
        <v>2</v>
      </c>
      <c r="Q12" s="129">
        <v>1</v>
      </c>
      <c r="R12" s="129">
        <v>13</v>
      </c>
      <c r="S12" s="129">
        <v>10</v>
      </c>
      <c r="T12" s="129">
        <v>11</v>
      </c>
      <c r="U12" s="129">
        <v>12</v>
      </c>
      <c r="V12" s="129">
        <v>12</v>
      </c>
      <c r="W12" s="129">
        <v>11</v>
      </c>
      <c r="X12" s="129">
        <v>14</v>
      </c>
      <c r="Y12" s="129" t="s">
        <v>527</v>
      </c>
      <c r="Z12" s="129" t="s">
        <v>505</v>
      </c>
      <c r="AA12" s="129">
        <v>12</v>
      </c>
      <c r="AB12" s="129">
        <v>9</v>
      </c>
      <c r="AC12" s="129">
        <v>11</v>
      </c>
    </row>
    <row r="13" spans="1:31" x14ac:dyDescent="0.25">
      <c r="A13" s="129" t="s">
        <v>326</v>
      </c>
      <c r="B13" s="129">
        <v>7</v>
      </c>
      <c r="C13" s="129">
        <v>2</v>
      </c>
      <c r="D13" s="129">
        <v>5</v>
      </c>
      <c r="E13" s="129">
        <v>10</v>
      </c>
      <c r="F13" s="129">
        <v>11</v>
      </c>
      <c r="G13" s="129">
        <v>2</v>
      </c>
      <c r="H13" s="129">
        <v>5</v>
      </c>
      <c r="I13" s="129">
        <v>8</v>
      </c>
      <c r="J13" s="129">
        <v>3</v>
      </c>
      <c r="K13" s="129">
        <v>13</v>
      </c>
      <c r="L13" s="129">
        <v>1</v>
      </c>
      <c r="M13" s="129" t="s">
        <v>509</v>
      </c>
      <c r="N13" s="129">
        <v>6</v>
      </c>
      <c r="O13" s="129">
        <v>5</v>
      </c>
      <c r="P13" s="129">
        <v>13</v>
      </c>
      <c r="Q13" s="129">
        <v>7</v>
      </c>
      <c r="R13" s="129">
        <v>6</v>
      </c>
      <c r="S13" s="129">
        <v>6</v>
      </c>
      <c r="T13" s="129">
        <v>8</v>
      </c>
      <c r="U13" s="129" t="s">
        <v>517</v>
      </c>
      <c r="V13" s="129">
        <v>1</v>
      </c>
      <c r="W13" s="129">
        <v>6</v>
      </c>
      <c r="X13" s="129">
        <v>7</v>
      </c>
      <c r="Y13" s="129">
        <v>12</v>
      </c>
      <c r="Z13" s="129">
        <v>9</v>
      </c>
      <c r="AA13" s="129">
        <v>9</v>
      </c>
      <c r="AB13" s="129">
        <v>10</v>
      </c>
      <c r="AC13" s="129">
        <v>13</v>
      </c>
    </row>
    <row r="14" spans="1:31" x14ac:dyDescent="0.25">
      <c r="A14" s="129" t="s">
        <v>6179</v>
      </c>
      <c r="B14" s="129" t="s">
        <v>506</v>
      </c>
      <c r="C14" s="129" t="s">
        <v>505</v>
      </c>
      <c r="D14" s="129" t="s">
        <v>514</v>
      </c>
      <c r="E14" s="129" t="s">
        <v>506</v>
      </c>
      <c r="F14" s="129" t="s">
        <v>506</v>
      </c>
      <c r="G14" s="129" t="s">
        <v>506</v>
      </c>
      <c r="H14" s="129" t="s">
        <v>506</v>
      </c>
      <c r="I14" s="129" t="s">
        <v>506</v>
      </c>
      <c r="J14" s="129" t="s">
        <v>506</v>
      </c>
      <c r="K14" s="129" t="s">
        <v>506</v>
      </c>
      <c r="L14" s="129" t="s">
        <v>506</v>
      </c>
      <c r="M14" s="129" t="s">
        <v>506</v>
      </c>
      <c r="N14" s="129" t="s">
        <v>506</v>
      </c>
      <c r="O14" s="129" t="s">
        <v>506</v>
      </c>
      <c r="P14" s="129" t="s">
        <v>506</v>
      </c>
      <c r="Q14" s="129" t="s">
        <v>518</v>
      </c>
      <c r="R14" s="129">
        <v>11</v>
      </c>
      <c r="S14" s="129">
        <v>11</v>
      </c>
      <c r="T14" s="129">
        <v>2</v>
      </c>
      <c r="U14" s="129">
        <v>11</v>
      </c>
      <c r="V14" s="129">
        <v>2</v>
      </c>
      <c r="W14" s="129">
        <v>3</v>
      </c>
      <c r="X14" s="129">
        <v>9</v>
      </c>
      <c r="Y14" s="129">
        <v>1</v>
      </c>
      <c r="Z14" s="129">
        <v>1</v>
      </c>
      <c r="AA14" s="129">
        <v>4</v>
      </c>
      <c r="AB14" s="129">
        <v>6</v>
      </c>
      <c r="AC14" s="129">
        <v>7</v>
      </c>
    </row>
    <row r="15" spans="1:31" x14ac:dyDescent="0.25">
      <c r="A15" s="129" t="s">
        <v>6086</v>
      </c>
      <c r="B15" s="129" t="s">
        <v>506</v>
      </c>
      <c r="C15" s="129" t="s">
        <v>506</v>
      </c>
      <c r="D15" s="129" t="s">
        <v>506</v>
      </c>
      <c r="E15" s="129" t="s">
        <v>506</v>
      </c>
      <c r="F15" s="129" t="s">
        <v>506</v>
      </c>
      <c r="G15" s="129" t="s">
        <v>506</v>
      </c>
      <c r="H15" s="129" t="s">
        <v>506</v>
      </c>
      <c r="I15" s="129" t="s">
        <v>506</v>
      </c>
      <c r="J15" s="129" t="s">
        <v>506</v>
      </c>
      <c r="K15" s="129" t="s">
        <v>506</v>
      </c>
      <c r="L15" s="129" t="s">
        <v>506</v>
      </c>
      <c r="M15" s="129" t="s">
        <v>506</v>
      </c>
      <c r="N15" s="129" t="s">
        <v>506</v>
      </c>
      <c r="O15" s="129" t="s">
        <v>506</v>
      </c>
      <c r="P15" s="129" t="s">
        <v>505</v>
      </c>
      <c r="Q15" s="129">
        <v>14</v>
      </c>
      <c r="R15" s="129">
        <v>14</v>
      </c>
      <c r="S15" s="129">
        <v>14</v>
      </c>
      <c r="T15" s="129" t="s">
        <v>514</v>
      </c>
      <c r="U15" s="129" t="s">
        <v>506</v>
      </c>
      <c r="V15" s="129" t="s">
        <v>519</v>
      </c>
      <c r="W15" s="129">
        <v>8</v>
      </c>
      <c r="X15" s="129">
        <v>4</v>
      </c>
      <c r="Y15" s="129">
        <v>10</v>
      </c>
      <c r="Z15" s="129">
        <v>11</v>
      </c>
      <c r="AA15" s="129">
        <v>8</v>
      </c>
      <c r="AB15" s="129">
        <v>4</v>
      </c>
      <c r="AC15" s="129">
        <v>4</v>
      </c>
    </row>
    <row r="16" spans="1:31" x14ac:dyDescent="0.25">
      <c r="A16" s="129" t="s">
        <v>1274</v>
      </c>
      <c r="B16" s="129" t="s">
        <v>520</v>
      </c>
      <c r="C16" s="129" t="s">
        <v>506</v>
      </c>
      <c r="D16" s="129" t="s">
        <v>506</v>
      </c>
      <c r="E16" s="129" t="s">
        <v>506</v>
      </c>
      <c r="F16" s="129" t="s">
        <v>506</v>
      </c>
      <c r="G16" s="129" t="s">
        <v>506</v>
      </c>
      <c r="H16" s="129" t="s">
        <v>506</v>
      </c>
      <c r="I16" s="129" t="s">
        <v>506</v>
      </c>
      <c r="J16" s="129" t="s">
        <v>506</v>
      </c>
      <c r="K16" s="129" t="s">
        <v>506</v>
      </c>
      <c r="L16" s="129" t="s">
        <v>506</v>
      </c>
      <c r="M16" s="129" t="s">
        <v>506</v>
      </c>
      <c r="N16" s="129" t="s">
        <v>506</v>
      </c>
      <c r="O16" s="129" t="s">
        <v>506</v>
      </c>
      <c r="P16" s="129" t="s">
        <v>506</v>
      </c>
      <c r="Q16" s="129" t="s">
        <v>506</v>
      </c>
      <c r="R16" s="129" t="s">
        <v>506</v>
      </c>
      <c r="S16" s="129" t="s">
        <v>506</v>
      </c>
      <c r="T16" s="129" t="s">
        <v>506</v>
      </c>
      <c r="U16" s="129" t="s">
        <v>506</v>
      </c>
      <c r="V16" s="129">
        <v>6</v>
      </c>
      <c r="W16" s="129">
        <v>5</v>
      </c>
      <c r="X16" s="129">
        <v>5</v>
      </c>
      <c r="Y16" s="129">
        <v>3</v>
      </c>
      <c r="Z16" s="129">
        <v>4</v>
      </c>
      <c r="AA16" s="129">
        <v>5</v>
      </c>
      <c r="AB16" s="129">
        <v>8</v>
      </c>
      <c r="AC16" s="129">
        <v>5</v>
      </c>
    </row>
    <row r="17" spans="1:29" x14ac:dyDescent="0.25">
      <c r="A17" s="129" t="s">
        <v>332</v>
      </c>
      <c r="B17" s="129" t="s">
        <v>498</v>
      </c>
      <c r="C17" s="129">
        <v>4</v>
      </c>
      <c r="D17" s="129">
        <v>7</v>
      </c>
      <c r="E17" s="129">
        <v>6</v>
      </c>
      <c r="F17" s="129">
        <v>12</v>
      </c>
      <c r="G17" s="129">
        <v>13</v>
      </c>
      <c r="H17" s="129">
        <v>13</v>
      </c>
      <c r="I17" s="129">
        <v>12</v>
      </c>
      <c r="J17" s="129" t="s">
        <v>514</v>
      </c>
      <c r="K17" s="129" t="s">
        <v>505</v>
      </c>
      <c r="L17" s="129">
        <v>9</v>
      </c>
      <c r="M17" s="129">
        <v>7</v>
      </c>
      <c r="N17" s="129">
        <v>13</v>
      </c>
      <c r="O17" s="129">
        <v>10</v>
      </c>
      <c r="P17" s="129">
        <v>8</v>
      </c>
      <c r="Q17" s="129">
        <v>12</v>
      </c>
      <c r="R17" s="129">
        <v>12</v>
      </c>
      <c r="S17" s="129">
        <v>13</v>
      </c>
      <c r="T17" s="129">
        <v>9</v>
      </c>
      <c r="U17" s="129">
        <v>7</v>
      </c>
      <c r="V17" s="129" t="s">
        <v>521</v>
      </c>
      <c r="AA17" s="129" t="s">
        <v>505</v>
      </c>
      <c r="AB17" s="129" t="s">
        <v>514</v>
      </c>
      <c r="AC17" s="129" t="s">
        <v>505</v>
      </c>
    </row>
    <row r="20" spans="1:29" x14ac:dyDescent="0.25">
      <c r="A20" s="129" t="s">
        <v>6224</v>
      </c>
      <c r="B20" s="129">
        <v>10</v>
      </c>
      <c r="C20" s="129">
        <v>12</v>
      </c>
      <c r="D20" s="129">
        <v>8</v>
      </c>
      <c r="E20" s="129">
        <v>13</v>
      </c>
      <c r="F20" s="129">
        <v>9</v>
      </c>
      <c r="G20" s="129" t="s">
        <v>514</v>
      </c>
      <c r="H20" s="129" t="s">
        <v>506</v>
      </c>
      <c r="I20" s="129" t="s">
        <v>506</v>
      </c>
      <c r="J20" s="129" t="s">
        <v>506</v>
      </c>
      <c r="K20" s="129" t="s">
        <v>506</v>
      </c>
      <c r="L20" s="129" t="s">
        <v>505</v>
      </c>
      <c r="M20" s="129" t="s">
        <v>514</v>
      </c>
      <c r="N20" s="129" t="s">
        <v>506</v>
      </c>
      <c r="O20" s="129" t="s">
        <v>506</v>
      </c>
      <c r="P20" s="129" t="s">
        <v>506</v>
      </c>
      <c r="Q20" s="129" t="s">
        <v>506</v>
      </c>
      <c r="R20" s="129" t="s">
        <v>506</v>
      </c>
      <c r="S20" s="129" t="s">
        <v>506</v>
      </c>
      <c r="T20" s="129" t="s">
        <v>506</v>
      </c>
      <c r="U20" s="129" t="s">
        <v>506</v>
      </c>
      <c r="V20" s="129" t="s">
        <v>506</v>
      </c>
      <c r="W20" s="129" t="s">
        <v>516</v>
      </c>
      <c r="X20" s="129" t="s">
        <v>506</v>
      </c>
      <c r="Y20" s="129" t="s">
        <v>505</v>
      </c>
      <c r="Z20" s="129" t="s">
        <v>514</v>
      </c>
    </row>
    <row r="22" spans="1:29" x14ac:dyDescent="0.25">
      <c r="A22" s="129" t="s">
        <v>522</v>
      </c>
      <c r="B22" s="129" t="s">
        <v>506</v>
      </c>
      <c r="C22" s="129" t="s">
        <v>506</v>
      </c>
      <c r="D22" s="129" t="s">
        <v>506</v>
      </c>
      <c r="E22" s="129" t="s">
        <v>506</v>
      </c>
      <c r="F22" s="129" t="s">
        <v>506</v>
      </c>
      <c r="G22" s="129" t="s">
        <v>505</v>
      </c>
      <c r="H22" s="129">
        <v>9</v>
      </c>
      <c r="I22" s="129">
        <v>5</v>
      </c>
      <c r="J22" s="129">
        <v>7</v>
      </c>
      <c r="K22" s="129">
        <v>8</v>
      </c>
      <c r="L22" s="129">
        <v>6</v>
      </c>
      <c r="M22" s="129">
        <v>11</v>
      </c>
      <c r="N22" s="129">
        <v>3</v>
      </c>
      <c r="O22" s="129">
        <v>7</v>
      </c>
      <c r="P22" s="129">
        <v>10</v>
      </c>
      <c r="Q22" s="129" t="s">
        <v>523</v>
      </c>
    </row>
    <row r="23" spans="1:29" x14ac:dyDescent="0.25">
      <c r="A23" s="129" t="s">
        <v>524</v>
      </c>
      <c r="B23" s="129" t="s">
        <v>505</v>
      </c>
      <c r="C23" s="129" t="s">
        <v>499</v>
      </c>
      <c r="D23" s="129">
        <v>1</v>
      </c>
      <c r="E23" s="129" t="s">
        <v>499</v>
      </c>
      <c r="F23" s="129" t="s">
        <v>499</v>
      </c>
      <c r="G23" s="129" t="s">
        <v>499</v>
      </c>
      <c r="H23" s="129">
        <v>2</v>
      </c>
      <c r="I23" s="129" t="s">
        <v>499</v>
      </c>
      <c r="J23" s="129">
        <v>9</v>
      </c>
      <c r="K23" s="129">
        <v>7</v>
      </c>
      <c r="L23" s="129">
        <v>13</v>
      </c>
      <c r="M23" s="129">
        <v>12</v>
      </c>
      <c r="N23" s="129">
        <v>14</v>
      </c>
      <c r="O23" s="129" t="s">
        <v>525</v>
      </c>
      <c r="P23" s="129" t="s">
        <v>506</v>
      </c>
      <c r="Q23" s="129" t="s">
        <v>506</v>
      </c>
    </row>
    <row r="24" spans="1:29" x14ac:dyDescent="0.25">
      <c r="A24" s="129" t="s">
        <v>526</v>
      </c>
      <c r="B24" s="129" t="s">
        <v>506</v>
      </c>
      <c r="C24" s="129" t="s">
        <v>506</v>
      </c>
      <c r="D24" s="129" t="s">
        <v>506</v>
      </c>
      <c r="E24" s="129" t="s">
        <v>506</v>
      </c>
      <c r="F24" s="129" t="s">
        <v>506</v>
      </c>
      <c r="G24" s="129" t="s">
        <v>518</v>
      </c>
      <c r="H24" s="129">
        <v>13</v>
      </c>
      <c r="I24" s="129">
        <v>13</v>
      </c>
      <c r="J24" s="129">
        <v>11</v>
      </c>
      <c r="K24" s="129" t="s">
        <v>514</v>
      </c>
      <c r="L24" s="129" t="s">
        <v>506</v>
      </c>
      <c r="M24" s="129" t="s">
        <v>506</v>
      </c>
      <c r="N24" s="129" t="s">
        <v>506</v>
      </c>
      <c r="O24" s="129" t="s">
        <v>506</v>
      </c>
      <c r="P24" s="129" t="s">
        <v>506</v>
      </c>
      <c r="Q24" s="129" t="s">
        <v>506</v>
      </c>
    </row>
    <row r="25" spans="1:29" x14ac:dyDescent="0.25">
      <c r="A25" s="129" t="s">
        <v>612</v>
      </c>
      <c r="T25" s="129" t="s">
        <v>503</v>
      </c>
      <c r="U25" s="129">
        <v>14</v>
      </c>
      <c r="V25" s="129" t="s">
        <v>504</v>
      </c>
      <c r="W25" s="129" t="s">
        <v>505</v>
      </c>
      <c r="X25" s="129">
        <v>8</v>
      </c>
      <c r="Y25" s="129">
        <v>4</v>
      </c>
      <c r="Z25" s="129">
        <v>12</v>
      </c>
      <c r="AA25" s="129" t="s">
        <v>514</v>
      </c>
    </row>
    <row r="27" spans="1:29" x14ac:dyDescent="0.25">
      <c r="A27" s="129" t="s">
        <v>528</v>
      </c>
      <c r="B27" s="129" t="s">
        <v>506</v>
      </c>
      <c r="C27" s="129" t="s">
        <v>506</v>
      </c>
      <c r="D27" s="129" t="s">
        <v>505</v>
      </c>
      <c r="E27" s="129">
        <v>14</v>
      </c>
      <c r="F27" s="129">
        <v>14</v>
      </c>
      <c r="G27" s="129" t="s">
        <v>513</v>
      </c>
      <c r="H27" s="129" t="s">
        <v>506</v>
      </c>
      <c r="I27" s="129" t="s">
        <v>506</v>
      </c>
      <c r="J27" s="129" t="s">
        <v>506</v>
      </c>
      <c r="K27" s="129" t="s">
        <v>506</v>
      </c>
      <c r="L27" s="129" t="s">
        <v>506</v>
      </c>
      <c r="M27" s="129" t="s">
        <v>506</v>
      </c>
      <c r="N27" s="129" t="s">
        <v>506</v>
      </c>
      <c r="O27" s="129" t="s">
        <v>506</v>
      </c>
      <c r="P27" s="129" t="s">
        <v>506</v>
      </c>
      <c r="Q27" s="129" t="s">
        <v>506</v>
      </c>
    </row>
    <row r="29" spans="1:29" x14ac:dyDescent="0.25">
      <c r="A29" s="129" t="s">
        <v>529</v>
      </c>
      <c r="B29" s="129" t="s">
        <v>530</v>
      </c>
      <c r="C29" s="129" t="s">
        <v>506</v>
      </c>
      <c r="D29" s="129" t="s">
        <v>506</v>
      </c>
      <c r="E29" s="129" t="s">
        <v>506</v>
      </c>
      <c r="F29" s="129" t="s">
        <v>506</v>
      </c>
      <c r="G29" s="129" t="s">
        <v>506</v>
      </c>
      <c r="H29" s="129" t="s">
        <v>506</v>
      </c>
      <c r="I29" s="129" t="s">
        <v>506</v>
      </c>
      <c r="J29" s="129" t="s">
        <v>506</v>
      </c>
      <c r="K29" s="129" t="s">
        <v>506</v>
      </c>
      <c r="L29" s="129" t="s">
        <v>506</v>
      </c>
      <c r="M29" s="129" t="s">
        <v>506</v>
      </c>
      <c r="N29" s="129" t="s">
        <v>506</v>
      </c>
      <c r="O29" s="129" t="s">
        <v>506</v>
      </c>
      <c r="P29" s="129" t="s">
        <v>506</v>
      </c>
      <c r="Q29" s="129" t="s">
        <v>506</v>
      </c>
    </row>
    <row r="30" spans="1:29" x14ac:dyDescent="0.25">
      <c r="A30" s="129" t="s">
        <v>531</v>
      </c>
      <c r="B30" s="129" t="s">
        <v>506</v>
      </c>
      <c r="C30" s="129" t="s">
        <v>506</v>
      </c>
      <c r="D30" s="129" t="s">
        <v>506</v>
      </c>
      <c r="E30" s="129" t="s">
        <v>506</v>
      </c>
      <c r="F30" s="129" t="s">
        <v>506</v>
      </c>
      <c r="G30" s="129" t="s">
        <v>506</v>
      </c>
      <c r="H30" s="129" t="s">
        <v>506</v>
      </c>
      <c r="I30" s="129" t="s">
        <v>506</v>
      </c>
      <c r="J30" s="129" t="s">
        <v>506</v>
      </c>
      <c r="K30" s="129" t="s">
        <v>506</v>
      </c>
      <c r="L30" s="129" t="s">
        <v>506</v>
      </c>
      <c r="M30" s="129" t="s">
        <v>506</v>
      </c>
      <c r="N30" s="129" t="s">
        <v>506</v>
      </c>
      <c r="O30" s="129" t="s">
        <v>505</v>
      </c>
      <c r="P30" s="129" t="s">
        <v>514</v>
      </c>
      <c r="Q30" s="129" t="s">
        <v>506</v>
      </c>
      <c r="R30" s="129" t="s">
        <v>506</v>
      </c>
      <c r="S30" s="129" t="s">
        <v>516</v>
      </c>
    </row>
    <row r="31" spans="1:29" x14ac:dyDescent="0.25">
      <c r="A31" s="129" t="s">
        <v>333</v>
      </c>
      <c r="B31" s="129" t="s">
        <v>505</v>
      </c>
      <c r="C31" s="129">
        <v>7</v>
      </c>
      <c r="D31" s="129">
        <v>6</v>
      </c>
      <c r="E31" s="129">
        <v>8</v>
      </c>
      <c r="F31" s="129">
        <v>6</v>
      </c>
      <c r="G31" s="129">
        <v>10</v>
      </c>
      <c r="H31" s="129">
        <v>10</v>
      </c>
      <c r="I31" s="129">
        <v>4</v>
      </c>
      <c r="J31" s="129">
        <v>4</v>
      </c>
      <c r="K31" s="129">
        <v>1</v>
      </c>
      <c r="L31" s="129">
        <v>2</v>
      </c>
      <c r="M31" s="129">
        <v>6</v>
      </c>
      <c r="N31" s="129">
        <v>2</v>
      </c>
      <c r="O31" s="129">
        <v>6</v>
      </c>
      <c r="P31" s="129">
        <v>1</v>
      </c>
      <c r="Q31" s="129" t="s">
        <v>509</v>
      </c>
      <c r="R31" s="129">
        <v>3</v>
      </c>
      <c r="S31" s="129">
        <v>4</v>
      </c>
      <c r="T31" s="129">
        <v>12</v>
      </c>
      <c r="U31" s="129">
        <v>3</v>
      </c>
      <c r="V31" s="129">
        <v>10</v>
      </c>
      <c r="W31" s="129" t="s">
        <v>514</v>
      </c>
    </row>
    <row r="32" spans="1:29" ht="13.8" thickBot="1" x14ac:dyDescent="0.3"/>
    <row r="33" spans="1:23" ht="15.75" customHeight="1" thickBot="1" x14ac:dyDescent="0.3">
      <c r="M33" s="1174" t="s">
        <v>1143</v>
      </c>
      <c r="N33" s="1175"/>
      <c r="O33" s="1175"/>
      <c r="P33" s="1175"/>
      <c r="Q33" s="1175"/>
      <c r="R33" s="1175"/>
      <c r="S33" s="1175"/>
      <c r="T33" s="1175"/>
      <c r="U33" s="1176"/>
      <c r="V33" s="128"/>
      <c r="W33" s="128"/>
    </row>
    <row r="34" spans="1:23" ht="13.8" thickBot="1" x14ac:dyDescent="0.3">
      <c r="A34" s="134" t="s">
        <v>532</v>
      </c>
      <c r="E34" s="314" t="s">
        <v>4017</v>
      </c>
      <c r="F34" s="134" t="s">
        <v>533</v>
      </c>
    </row>
    <row r="35" spans="1:23" ht="13.8" thickBot="1" x14ac:dyDescent="0.3">
      <c r="B35" s="129" t="s">
        <v>534</v>
      </c>
      <c r="C35" s="129" t="s">
        <v>535</v>
      </c>
      <c r="D35" s="129" t="s">
        <v>536</v>
      </c>
      <c r="E35" s="129" t="s">
        <v>537</v>
      </c>
      <c r="F35" s="129" t="s">
        <v>538</v>
      </c>
      <c r="G35" s="129" t="s">
        <v>539</v>
      </c>
      <c r="H35" s="129" t="s">
        <v>470</v>
      </c>
      <c r="I35" s="129" t="s">
        <v>706</v>
      </c>
      <c r="M35" s="325" t="s">
        <v>1053</v>
      </c>
      <c r="N35" s="326" t="s">
        <v>1144</v>
      </c>
      <c r="O35" s="327" t="s">
        <v>1151</v>
      </c>
      <c r="P35" s="326" t="s">
        <v>1145</v>
      </c>
      <c r="Q35" s="327" t="s">
        <v>1150</v>
      </c>
      <c r="R35" s="326" t="s">
        <v>1146</v>
      </c>
      <c r="S35" s="327" t="s">
        <v>1149</v>
      </c>
      <c r="T35" s="326" t="s">
        <v>1147</v>
      </c>
      <c r="U35" s="327" t="s">
        <v>1148</v>
      </c>
    </row>
    <row r="36" spans="1:23" x14ac:dyDescent="0.25">
      <c r="A36" s="129" t="s">
        <v>1274</v>
      </c>
      <c r="B36" s="129">
        <v>7</v>
      </c>
      <c r="C36" s="129">
        <v>2</v>
      </c>
      <c r="D36" s="129">
        <v>0</v>
      </c>
      <c r="E36" s="129">
        <v>0</v>
      </c>
      <c r="F36" s="129">
        <v>1</v>
      </c>
      <c r="G36" s="129">
        <v>0</v>
      </c>
      <c r="H36" s="129">
        <v>9</v>
      </c>
      <c r="I36" s="138">
        <f>B36/(H36-1)</f>
        <v>0.875</v>
      </c>
      <c r="M36" s="319" t="s">
        <v>447</v>
      </c>
      <c r="N36" s="317">
        <v>100</v>
      </c>
      <c r="O36" s="318">
        <v>93</v>
      </c>
      <c r="P36" s="328">
        <v>87</v>
      </c>
      <c r="Q36" s="318">
        <v>87</v>
      </c>
      <c r="R36" s="317">
        <v>81</v>
      </c>
      <c r="S36" s="318">
        <v>81</v>
      </c>
      <c r="T36" s="317">
        <v>76</v>
      </c>
      <c r="U36" s="320">
        <v>76</v>
      </c>
    </row>
    <row r="37" spans="1:23" x14ac:dyDescent="0.25">
      <c r="A37" s="129" t="s">
        <v>325</v>
      </c>
      <c r="B37" s="129">
        <v>23</v>
      </c>
      <c r="C37" s="129">
        <v>17</v>
      </c>
      <c r="D37" s="129">
        <v>6</v>
      </c>
      <c r="E37" s="129">
        <v>4</v>
      </c>
      <c r="F37" s="129">
        <v>0</v>
      </c>
      <c r="G37" s="129">
        <v>6</v>
      </c>
      <c r="H37" s="129">
        <v>28</v>
      </c>
      <c r="I37" s="138">
        <f t="shared" ref="I37:I57" si="0">B37/(H37-1)</f>
        <v>0.85185185185185186</v>
      </c>
      <c r="M37" s="252" t="s">
        <v>449</v>
      </c>
      <c r="N37" s="316">
        <v>106</v>
      </c>
      <c r="O37" s="315">
        <v>99</v>
      </c>
      <c r="P37" s="329">
        <v>85</v>
      </c>
      <c r="Q37" s="315">
        <v>81</v>
      </c>
      <c r="R37" s="316">
        <v>79</v>
      </c>
      <c r="S37" s="315">
        <v>79</v>
      </c>
      <c r="T37" s="316">
        <v>76</v>
      </c>
      <c r="U37" s="172">
        <v>73</v>
      </c>
    </row>
    <row r="38" spans="1:23" x14ac:dyDescent="0.25">
      <c r="A38" s="129" t="s">
        <v>333</v>
      </c>
      <c r="B38" s="129">
        <v>16</v>
      </c>
      <c r="C38" s="129">
        <v>10</v>
      </c>
      <c r="D38" s="129">
        <v>5</v>
      </c>
      <c r="E38" s="129">
        <v>2</v>
      </c>
      <c r="F38" s="129">
        <v>1</v>
      </c>
      <c r="G38" s="129">
        <v>1</v>
      </c>
      <c r="H38" s="129">
        <v>21</v>
      </c>
      <c r="I38" s="138">
        <f t="shared" si="0"/>
        <v>0.8</v>
      </c>
      <c r="M38" s="252" t="s">
        <v>452</v>
      </c>
      <c r="N38" s="316">
        <v>93</v>
      </c>
      <c r="O38" s="315">
        <v>91</v>
      </c>
      <c r="P38" s="329">
        <v>86</v>
      </c>
      <c r="Q38" s="315">
        <v>85</v>
      </c>
      <c r="R38" s="316">
        <v>83</v>
      </c>
      <c r="S38" s="315">
        <v>83</v>
      </c>
      <c r="T38" s="316">
        <v>71</v>
      </c>
      <c r="U38" s="172">
        <v>71</v>
      </c>
    </row>
    <row r="39" spans="1:23" x14ac:dyDescent="0.25">
      <c r="A39" s="129" t="s">
        <v>334</v>
      </c>
      <c r="B39" s="129">
        <v>19</v>
      </c>
      <c r="C39" s="129">
        <v>10</v>
      </c>
      <c r="D39" s="129">
        <v>6</v>
      </c>
      <c r="E39" s="129">
        <v>3</v>
      </c>
      <c r="F39" s="129">
        <v>0</v>
      </c>
      <c r="G39" s="129">
        <v>2</v>
      </c>
      <c r="H39" s="129">
        <v>26</v>
      </c>
      <c r="I39" s="138">
        <f t="shared" si="0"/>
        <v>0.76</v>
      </c>
      <c r="M39" s="252" t="s">
        <v>455</v>
      </c>
      <c r="N39" s="316">
        <v>106</v>
      </c>
      <c r="O39" s="315">
        <v>95</v>
      </c>
      <c r="P39" s="329">
        <v>88</v>
      </c>
      <c r="Q39" s="315">
        <v>88</v>
      </c>
      <c r="R39" s="316">
        <v>83</v>
      </c>
      <c r="S39" s="315">
        <v>75</v>
      </c>
      <c r="T39" s="316">
        <v>70</v>
      </c>
      <c r="U39" s="172">
        <v>67</v>
      </c>
    </row>
    <row r="40" spans="1:23" x14ac:dyDescent="0.25">
      <c r="A40" s="129" t="s">
        <v>326</v>
      </c>
      <c r="B40" s="129">
        <v>19</v>
      </c>
      <c r="C40" s="129">
        <v>7</v>
      </c>
      <c r="D40" s="129">
        <v>6</v>
      </c>
      <c r="E40" s="129">
        <v>2</v>
      </c>
      <c r="F40" s="129">
        <v>0</v>
      </c>
      <c r="G40" s="129">
        <v>2</v>
      </c>
      <c r="H40" s="129">
        <v>28</v>
      </c>
      <c r="I40" s="138">
        <f t="shared" si="0"/>
        <v>0.70370370370370372</v>
      </c>
      <c r="M40" s="252" t="s">
        <v>458</v>
      </c>
      <c r="N40" s="316">
        <v>96</v>
      </c>
      <c r="O40" s="315">
        <v>95</v>
      </c>
      <c r="P40" s="329">
        <v>88</v>
      </c>
      <c r="Q40" s="315">
        <v>88</v>
      </c>
      <c r="R40" s="316">
        <v>85</v>
      </c>
      <c r="S40" s="315">
        <v>85</v>
      </c>
      <c r="T40" s="316">
        <v>71</v>
      </c>
      <c r="U40" s="172">
        <v>69</v>
      </c>
    </row>
    <row r="41" spans="1:23" x14ac:dyDescent="0.25">
      <c r="A41" s="129" t="s">
        <v>327</v>
      </c>
      <c r="B41" s="129">
        <v>19</v>
      </c>
      <c r="C41" s="129">
        <v>8</v>
      </c>
      <c r="D41" s="129">
        <v>6</v>
      </c>
      <c r="E41" s="129">
        <v>3</v>
      </c>
      <c r="F41" s="129">
        <v>0</v>
      </c>
      <c r="G41" s="129">
        <v>2</v>
      </c>
      <c r="H41" s="129">
        <v>28</v>
      </c>
      <c r="I41" s="138">
        <f t="shared" si="0"/>
        <v>0.70370370370370372</v>
      </c>
      <c r="M41" s="252" t="s">
        <v>372</v>
      </c>
      <c r="N41" s="316">
        <v>107</v>
      </c>
      <c r="O41" s="315">
        <v>100</v>
      </c>
      <c r="P41" s="329">
        <v>84</v>
      </c>
      <c r="Q41" s="315">
        <v>84</v>
      </c>
      <c r="R41" s="316">
        <v>77</v>
      </c>
      <c r="S41" s="315">
        <v>77</v>
      </c>
      <c r="T41" s="316">
        <v>73</v>
      </c>
      <c r="U41" s="172">
        <v>68</v>
      </c>
    </row>
    <row r="42" spans="1:23" x14ac:dyDescent="0.25">
      <c r="A42" s="129" t="s">
        <v>328</v>
      </c>
      <c r="B42" s="129">
        <v>18</v>
      </c>
      <c r="C42" s="129">
        <v>7</v>
      </c>
      <c r="D42" s="129">
        <v>4</v>
      </c>
      <c r="E42" s="129">
        <v>0</v>
      </c>
      <c r="F42" s="129">
        <v>0</v>
      </c>
      <c r="G42" s="129">
        <v>0</v>
      </c>
      <c r="H42" s="129">
        <v>28</v>
      </c>
      <c r="I42" s="138">
        <f t="shared" si="0"/>
        <v>0.66666666666666663</v>
      </c>
      <c r="M42" s="252" t="s">
        <v>379</v>
      </c>
      <c r="N42" s="316">
        <v>94</v>
      </c>
      <c r="O42" s="315">
        <v>94</v>
      </c>
      <c r="P42" s="329">
        <v>86</v>
      </c>
      <c r="Q42" s="315">
        <v>86</v>
      </c>
      <c r="R42" s="316">
        <v>83</v>
      </c>
      <c r="S42" s="315">
        <v>78</v>
      </c>
      <c r="T42" s="316">
        <v>73</v>
      </c>
      <c r="U42" s="172">
        <v>73</v>
      </c>
    </row>
    <row r="43" spans="1:23" x14ac:dyDescent="0.25">
      <c r="A43" s="129" t="s">
        <v>610</v>
      </c>
      <c r="B43" s="129">
        <v>12</v>
      </c>
      <c r="C43" s="129">
        <v>9</v>
      </c>
      <c r="D43" s="129">
        <v>4</v>
      </c>
      <c r="E43" s="129">
        <v>1</v>
      </c>
      <c r="F43" s="129">
        <v>0</v>
      </c>
      <c r="G43" s="129">
        <v>6</v>
      </c>
      <c r="H43" s="129">
        <v>19</v>
      </c>
      <c r="I43" s="138">
        <f t="shared" si="0"/>
        <v>0.66666666666666663</v>
      </c>
      <c r="M43" s="252" t="s">
        <v>386</v>
      </c>
      <c r="N43" s="316">
        <v>110</v>
      </c>
      <c r="O43" s="315">
        <v>96</v>
      </c>
      <c r="P43" s="329">
        <v>90</v>
      </c>
      <c r="Q43" s="315">
        <v>90</v>
      </c>
      <c r="R43" s="316">
        <v>87</v>
      </c>
      <c r="S43" s="315">
        <v>84</v>
      </c>
      <c r="T43" s="316">
        <v>72</v>
      </c>
      <c r="U43" s="172">
        <v>72</v>
      </c>
    </row>
    <row r="44" spans="1:23" x14ac:dyDescent="0.25">
      <c r="A44" s="129" t="s">
        <v>524</v>
      </c>
      <c r="B44" s="129">
        <v>8</v>
      </c>
      <c r="C44" s="129">
        <v>7</v>
      </c>
      <c r="D44" s="129">
        <v>7</v>
      </c>
      <c r="E44" s="129">
        <v>6</v>
      </c>
      <c r="F44" s="129">
        <v>0</v>
      </c>
      <c r="G44" s="129">
        <v>5</v>
      </c>
      <c r="H44" s="129">
        <v>13</v>
      </c>
      <c r="I44" s="138">
        <f t="shared" si="0"/>
        <v>0.66666666666666663</v>
      </c>
      <c r="M44" s="252" t="s">
        <v>390</v>
      </c>
      <c r="N44" s="316">
        <v>107</v>
      </c>
      <c r="O44" s="315">
        <v>106</v>
      </c>
      <c r="P44" s="329">
        <v>94</v>
      </c>
      <c r="Q44" s="315">
        <v>86</v>
      </c>
      <c r="R44" s="316">
        <v>81</v>
      </c>
      <c r="S44" s="315">
        <v>76</v>
      </c>
      <c r="T44" s="316">
        <v>72</v>
      </c>
      <c r="U44" s="172">
        <v>70</v>
      </c>
    </row>
    <row r="45" spans="1:23" x14ac:dyDescent="0.25">
      <c r="A45" s="129" t="s">
        <v>6091</v>
      </c>
      <c r="B45" s="129">
        <v>12</v>
      </c>
      <c r="C45" s="129">
        <v>5</v>
      </c>
      <c r="D45" s="129">
        <v>0</v>
      </c>
      <c r="E45" s="129">
        <v>0</v>
      </c>
      <c r="F45" s="129">
        <v>1</v>
      </c>
      <c r="G45" s="129">
        <v>1</v>
      </c>
      <c r="H45" s="129">
        <v>22</v>
      </c>
      <c r="I45" s="138">
        <f t="shared" si="0"/>
        <v>0.5714285714285714</v>
      </c>
      <c r="M45" s="252" t="s">
        <v>395</v>
      </c>
      <c r="N45" s="316">
        <v>118</v>
      </c>
      <c r="O45" s="315">
        <v>111</v>
      </c>
      <c r="P45" s="329">
        <v>87</v>
      </c>
      <c r="Q45" s="315">
        <v>86</v>
      </c>
      <c r="R45" s="316">
        <v>83</v>
      </c>
      <c r="S45" s="315">
        <v>82</v>
      </c>
      <c r="T45" s="316">
        <v>68</v>
      </c>
      <c r="U45" s="172">
        <v>67</v>
      </c>
    </row>
    <row r="46" spans="1:23" x14ac:dyDescent="0.25">
      <c r="A46" s="129" t="s">
        <v>522</v>
      </c>
      <c r="B46" s="129">
        <v>6</v>
      </c>
      <c r="C46" s="129">
        <v>1</v>
      </c>
      <c r="D46" s="129">
        <v>0</v>
      </c>
      <c r="E46" s="129">
        <v>0</v>
      </c>
      <c r="F46" s="129">
        <v>0</v>
      </c>
      <c r="G46" s="129">
        <v>0</v>
      </c>
      <c r="H46" s="129">
        <v>10</v>
      </c>
      <c r="I46" s="138">
        <f t="shared" si="0"/>
        <v>0.66666666666666663</v>
      </c>
      <c r="M46" s="252" t="s">
        <v>401</v>
      </c>
      <c r="N46" s="316">
        <v>103</v>
      </c>
      <c r="O46" s="315">
        <v>99</v>
      </c>
      <c r="P46" s="329">
        <v>89</v>
      </c>
      <c r="Q46" s="315">
        <v>89</v>
      </c>
      <c r="R46" s="316">
        <v>84</v>
      </c>
      <c r="S46" s="315">
        <v>81</v>
      </c>
      <c r="T46" s="316">
        <v>73</v>
      </c>
      <c r="U46" s="172">
        <v>72</v>
      </c>
    </row>
    <row r="47" spans="1:23" x14ac:dyDescent="0.25">
      <c r="A47" s="129" t="s">
        <v>331</v>
      </c>
      <c r="B47" s="129">
        <v>15</v>
      </c>
      <c r="C47" s="129">
        <v>8</v>
      </c>
      <c r="D47" s="129">
        <v>1</v>
      </c>
      <c r="E47" s="129">
        <v>1</v>
      </c>
      <c r="F47" s="129">
        <v>0</v>
      </c>
      <c r="G47" s="129">
        <v>2</v>
      </c>
      <c r="H47" s="129">
        <v>28</v>
      </c>
      <c r="I47" s="138">
        <f t="shared" si="0"/>
        <v>0.55555555555555558</v>
      </c>
      <c r="M47" s="252" t="s">
        <v>683</v>
      </c>
      <c r="N47" s="316">
        <v>107</v>
      </c>
      <c r="O47" s="315">
        <v>100</v>
      </c>
      <c r="P47" s="329">
        <v>92</v>
      </c>
      <c r="Q47" s="315">
        <v>91</v>
      </c>
      <c r="R47" s="316">
        <v>76</v>
      </c>
      <c r="S47" s="315">
        <v>76</v>
      </c>
      <c r="T47" s="316">
        <v>71</v>
      </c>
      <c r="U47" s="172">
        <v>69</v>
      </c>
    </row>
    <row r="48" spans="1:23" x14ac:dyDescent="0.25">
      <c r="A48" s="129" t="s">
        <v>626</v>
      </c>
      <c r="B48" s="129">
        <v>6</v>
      </c>
      <c r="C48" s="129">
        <v>1</v>
      </c>
      <c r="D48" s="129">
        <v>1</v>
      </c>
      <c r="E48" s="129">
        <v>1</v>
      </c>
      <c r="F48" s="129">
        <v>0</v>
      </c>
      <c r="G48" s="129">
        <v>0</v>
      </c>
      <c r="H48" s="129">
        <v>11</v>
      </c>
      <c r="I48" s="138">
        <f t="shared" si="0"/>
        <v>0.6</v>
      </c>
      <c r="M48" s="321" t="s">
        <v>259</v>
      </c>
      <c r="N48" s="322">
        <v>101</v>
      </c>
      <c r="O48" s="323">
        <v>99</v>
      </c>
      <c r="P48" s="330">
        <v>93</v>
      </c>
      <c r="Q48" s="323">
        <v>89</v>
      </c>
      <c r="R48" s="322">
        <v>85</v>
      </c>
      <c r="S48" s="323">
        <v>84</v>
      </c>
      <c r="T48" s="322">
        <v>76</v>
      </c>
      <c r="U48" s="324">
        <v>72</v>
      </c>
    </row>
    <row r="49" spans="1:21" x14ac:dyDescent="0.25">
      <c r="A49" s="129" t="s">
        <v>6179</v>
      </c>
      <c r="B49" s="129">
        <v>7</v>
      </c>
      <c r="C49" s="129">
        <v>6</v>
      </c>
      <c r="D49" s="129">
        <v>4</v>
      </c>
      <c r="E49" s="129">
        <v>2</v>
      </c>
      <c r="F49" s="129">
        <v>1</v>
      </c>
      <c r="G49" s="129">
        <v>0</v>
      </c>
      <c r="H49" s="129">
        <v>13</v>
      </c>
      <c r="I49" s="138">
        <f t="shared" si="0"/>
        <v>0.58333333333333337</v>
      </c>
      <c r="M49" s="252" t="s">
        <v>1120</v>
      </c>
      <c r="N49" s="316">
        <v>102</v>
      </c>
      <c r="O49" s="315">
        <v>94</v>
      </c>
      <c r="P49" s="329">
        <v>92</v>
      </c>
      <c r="Q49" s="315">
        <v>92</v>
      </c>
      <c r="R49" s="316">
        <v>79</v>
      </c>
      <c r="S49" s="315">
        <v>78</v>
      </c>
      <c r="T49" s="316">
        <v>70</v>
      </c>
      <c r="U49" s="172">
        <v>65</v>
      </c>
    </row>
    <row r="50" spans="1:21" x14ac:dyDescent="0.25">
      <c r="A50" s="160" t="s">
        <v>497</v>
      </c>
      <c r="B50" s="160">
        <v>13</v>
      </c>
      <c r="C50" s="160">
        <v>3</v>
      </c>
      <c r="D50" s="160">
        <v>2</v>
      </c>
      <c r="E50" s="160">
        <v>1</v>
      </c>
      <c r="F50" s="160">
        <v>0</v>
      </c>
      <c r="G50" s="160">
        <v>0</v>
      </c>
      <c r="H50" s="160">
        <v>28</v>
      </c>
      <c r="I50" s="175">
        <f t="shared" si="0"/>
        <v>0.48148148148148145</v>
      </c>
      <c r="M50" s="252" t="s">
        <v>3606</v>
      </c>
      <c r="N50" s="316">
        <v>108</v>
      </c>
      <c r="O50" s="315">
        <v>107</v>
      </c>
      <c r="P50" s="329">
        <v>93</v>
      </c>
      <c r="Q50" s="315">
        <v>92</v>
      </c>
      <c r="R50" s="316">
        <v>89</v>
      </c>
      <c r="S50" s="315">
        <v>82</v>
      </c>
      <c r="T50" s="316">
        <v>73</v>
      </c>
      <c r="U50" s="172">
        <v>73</v>
      </c>
    </row>
    <row r="51" spans="1:21" x14ac:dyDescent="0.25">
      <c r="A51" s="129" t="s">
        <v>332</v>
      </c>
      <c r="B51" s="129">
        <v>7</v>
      </c>
      <c r="C51" s="129">
        <v>2</v>
      </c>
      <c r="D51" s="129">
        <v>0</v>
      </c>
      <c r="E51" s="129">
        <v>0</v>
      </c>
      <c r="F51" s="129">
        <v>3</v>
      </c>
      <c r="G51" s="129">
        <v>1</v>
      </c>
      <c r="H51" s="129">
        <v>21</v>
      </c>
      <c r="I51" s="138">
        <f t="shared" si="0"/>
        <v>0.35</v>
      </c>
      <c r="M51" s="252"/>
      <c r="N51" s="316"/>
      <c r="O51" s="315"/>
      <c r="P51" s="329"/>
      <c r="Q51" s="315"/>
      <c r="R51" s="316"/>
      <c r="S51" s="315"/>
      <c r="T51" s="316"/>
      <c r="U51" s="172"/>
    </row>
    <row r="52" spans="1:21" ht="13.8" thickBot="1" x14ac:dyDescent="0.3">
      <c r="A52" s="129" t="s">
        <v>612</v>
      </c>
      <c r="B52" s="129">
        <v>2</v>
      </c>
      <c r="C52" s="129">
        <v>1</v>
      </c>
      <c r="D52" s="129">
        <v>0</v>
      </c>
      <c r="E52" s="129">
        <v>0</v>
      </c>
      <c r="F52" s="129">
        <v>2</v>
      </c>
      <c r="G52" s="129">
        <v>0</v>
      </c>
      <c r="H52" s="129">
        <v>6</v>
      </c>
      <c r="I52" s="138">
        <f t="shared" si="0"/>
        <v>0.4</v>
      </c>
      <c r="M52" s="377" t="s">
        <v>1152</v>
      </c>
      <c r="N52" s="377">
        <f>SUBTOTAL(105,Tabulka5[Vítěz ZČ měl])</f>
        <v>93</v>
      </c>
      <c r="O52" s="377">
        <f>SUBTOTAL(105,Tabulka5[Vítězi ZČ stačilo])</f>
        <v>91</v>
      </c>
      <c r="P52" s="377">
        <f>SUBTOTAL(105,Tabulka5[4. tým měl])</f>
        <v>84</v>
      </c>
      <c r="Q52" s="377">
        <f>SUBTOTAL(105,Tabulka5[4. týmu stačilo])</f>
        <v>81</v>
      </c>
      <c r="R52" s="377">
        <f>SUBTOTAL(105,Tabulka5[6. tým měl])</f>
        <v>76</v>
      </c>
      <c r="S52" s="377">
        <f>SUBTOTAL(105,Tabulka5[6. týmu stačilo])</f>
        <v>75</v>
      </c>
      <c r="T52" s="377">
        <f>SUBTOTAL(105,Tabulka5[10. tým měl])</f>
        <v>68</v>
      </c>
      <c r="U52" s="377">
        <f>SUBTOTAL(105,Tabulka5[10. týmu stačilo])</f>
        <v>65</v>
      </c>
    </row>
    <row r="53" spans="1:21" ht="14.4" thickTop="1" thickBot="1" x14ac:dyDescent="0.3">
      <c r="A53" s="129" t="s">
        <v>6086</v>
      </c>
      <c r="B53" s="129">
        <v>4</v>
      </c>
      <c r="C53" s="129">
        <v>2</v>
      </c>
      <c r="D53" s="129">
        <v>0</v>
      </c>
      <c r="E53" s="129">
        <v>0</v>
      </c>
      <c r="F53" s="129">
        <v>1</v>
      </c>
      <c r="G53" s="129">
        <v>0</v>
      </c>
      <c r="H53" s="129">
        <v>11</v>
      </c>
      <c r="I53" s="138">
        <f t="shared" si="0"/>
        <v>0.4</v>
      </c>
      <c r="M53" s="331" t="s">
        <v>1153</v>
      </c>
      <c r="N53" s="332">
        <f>SUBTOTAL(104,Tabulka5[Vítěz ZČ měl])</f>
        <v>118</v>
      </c>
      <c r="O53" s="332">
        <f>SUBTOTAL(104,Tabulka5[Vítězi ZČ stačilo])</f>
        <v>111</v>
      </c>
      <c r="P53" s="332">
        <f>SUBTOTAL(104,Tabulka5[4. tým měl])</f>
        <v>94</v>
      </c>
      <c r="Q53" s="332">
        <f>SUBTOTAL(104,Tabulka5[4. týmu stačilo])</f>
        <v>92</v>
      </c>
      <c r="R53" s="332">
        <f>SUBTOTAL(104,Tabulka5[6. tým měl])</f>
        <v>89</v>
      </c>
      <c r="S53" s="332">
        <f>SUBTOTAL(104,Tabulka5[6. týmu stačilo])</f>
        <v>85</v>
      </c>
      <c r="T53" s="332">
        <f>SUBTOTAL(104,Tabulka5[10. tým měl])</f>
        <v>76</v>
      </c>
      <c r="U53" s="332">
        <f>SUBTOTAL(104,Tabulka5[10. týmu stačilo])</f>
        <v>76</v>
      </c>
    </row>
    <row r="54" spans="1:21" x14ac:dyDescent="0.25">
      <c r="A54" s="129" t="s">
        <v>6224</v>
      </c>
      <c r="B54" s="129">
        <v>1</v>
      </c>
      <c r="C54" s="129">
        <v>0</v>
      </c>
      <c r="D54" s="129">
        <v>0</v>
      </c>
      <c r="E54" s="129">
        <v>0</v>
      </c>
      <c r="F54" s="129">
        <v>3</v>
      </c>
      <c r="G54" s="129">
        <v>0</v>
      </c>
      <c r="H54" s="129">
        <v>8</v>
      </c>
      <c r="I54" s="138">
        <f t="shared" si="0"/>
        <v>0.14285714285714285</v>
      </c>
      <c r="P54" s="138"/>
    </row>
    <row r="55" spans="1:21" x14ac:dyDescent="0.25">
      <c r="A55" s="129" t="s">
        <v>6076</v>
      </c>
      <c r="B55" s="129">
        <v>2</v>
      </c>
      <c r="C55" s="129">
        <v>2</v>
      </c>
      <c r="D55" s="129">
        <v>2</v>
      </c>
      <c r="E55" s="129">
        <v>1</v>
      </c>
      <c r="F55" s="129">
        <v>1</v>
      </c>
      <c r="G55" s="129">
        <v>0</v>
      </c>
      <c r="H55" s="129">
        <v>23</v>
      </c>
      <c r="I55" s="138">
        <f t="shared" si="0"/>
        <v>9.0909090909090912E-2</v>
      </c>
      <c r="P55" s="138"/>
    </row>
    <row r="56" spans="1:21" x14ac:dyDescent="0.25">
      <c r="A56" s="129" t="s">
        <v>526</v>
      </c>
      <c r="B56" s="129">
        <v>0</v>
      </c>
      <c r="C56" s="129">
        <v>0</v>
      </c>
      <c r="D56" s="129">
        <v>0</v>
      </c>
      <c r="E56" s="129">
        <v>0</v>
      </c>
      <c r="F56" s="129">
        <v>1</v>
      </c>
      <c r="G56" s="129">
        <v>0</v>
      </c>
      <c r="H56" s="129">
        <v>4</v>
      </c>
      <c r="I56" s="138">
        <f t="shared" si="0"/>
        <v>0</v>
      </c>
      <c r="P56" s="138"/>
    </row>
    <row r="57" spans="1:21" x14ac:dyDescent="0.25">
      <c r="A57" s="129" t="s">
        <v>528</v>
      </c>
      <c r="B57" s="129">
        <v>0</v>
      </c>
      <c r="C57" s="129">
        <v>0</v>
      </c>
      <c r="D57" s="129">
        <v>0</v>
      </c>
      <c r="E57" s="129">
        <v>0</v>
      </c>
      <c r="F57" s="129">
        <v>0</v>
      </c>
      <c r="G57" s="129">
        <v>0</v>
      </c>
      <c r="H57" s="129">
        <v>3</v>
      </c>
      <c r="I57" s="138">
        <f t="shared" si="0"/>
        <v>0</v>
      </c>
      <c r="P57" s="138"/>
    </row>
    <row r="58" spans="1:21" x14ac:dyDescent="0.25">
      <c r="A58" s="129" t="s">
        <v>529</v>
      </c>
      <c r="B58" s="129">
        <v>0</v>
      </c>
      <c r="C58" s="129">
        <v>0</v>
      </c>
      <c r="D58" s="129">
        <v>0</v>
      </c>
      <c r="E58" s="129">
        <v>0</v>
      </c>
      <c r="F58" s="129">
        <v>1</v>
      </c>
      <c r="G58" s="129">
        <v>0</v>
      </c>
      <c r="H58" s="129">
        <v>1</v>
      </c>
      <c r="I58" s="138"/>
    </row>
    <row r="59" spans="1:21" x14ac:dyDescent="0.25">
      <c r="A59" s="129" t="s">
        <v>531</v>
      </c>
      <c r="B59" s="129">
        <v>0</v>
      </c>
      <c r="C59" s="129">
        <v>0</v>
      </c>
      <c r="D59" s="129">
        <v>0</v>
      </c>
      <c r="E59" s="129">
        <v>0</v>
      </c>
      <c r="F59" s="129">
        <v>1</v>
      </c>
      <c r="G59" s="129">
        <v>0</v>
      </c>
      <c r="H59" s="129">
        <v>1</v>
      </c>
      <c r="I59" s="138"/>
    </row>
    <row r="61" spans="1:21" x14ac:dyDescent="0.25">
      <c r="A61" s="172" t="s">
        <v>540</v>
      </c>
      <c r="B61" s="173">
        <f>SUM(B36:B59)+8</f>
        <v>224</v>
      </c>
      <c r="C61" s="173">
        <f>SUM(C36:C59)+4</f>
        <v>112</v>
      </c>
      <c r="D61" s="173">
        <f>SUM(D36:D59)+2</f>
        <v>56</v>
      </c>
      <c r="E61" s="173">
        <f>SUM(E36:E59)+1</f>
        <v>28</v>
      </c>
      <c r="F61" s="173">
        <f t="shared" ref="F61" si="1">SUM(F36:F59)</f>
        <v>17</v>
      </c>
      <c r="G61" s="174">
        <f>SUM(G36:G59)</f>
        <v>28</v>
      </c>
    </row>
    <row r="63" spans="1:21" x14ac:dyDescent="0.25">
      <c r="B63" s="134" t="s">
        <v>3676</v>
      </c>
      <c r="C63" s="134" t="s">
        <v>3677</v>
      </c>
    </row>
  </sheetData>
  <autoFilter ref="A35:I59" xr:uid="{00000000-0009-0000-0000-000022000000}">
    <sortState xmlns:xlrd2="http://schemas.microsoft.com/office/spreadsheetml/2017/richdata2" ref="A36:I59">
      <sortCondition descending="1" ref="I35:I59"/>
    </sortState>
  </autoFilter>
  <mergeCells count="2">
    <mergeCell ref="M33:U33"/>
    <mergeCell ref="I1:N1"/>
  </mergeCells>
  <pageMargins left="0.78740157499999996" right="0.78740157499999996" top="0.984251969" bottom="0.984251969" header="0.4921259845" footer="0.4921259845"/>
  <pageSetup paperSize="9" orientation="portrait" verticalDpi="0" r:id="rId1"/>
  <headerFooter alignWithMargins="0"/>
  <legacyDrawing r:id="rId2"/>
  <tableParts count="1">
    <tablePart r:id="rId3"/>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W64"/>
  <sheetViews>
    <sheetView workbookViewId="0">
      <pane xSplit="2" ySplit="3" topLeftCell="C4" activePane="bottomRight" state="frozen"/>
      <selection activeCell="L12" sqref="L12"/>
      <selection pane="topRight" activeCell="L12" sqref="L12"/>
      <selection pane="bottomLeft" activeCell="L12" sqref="L12"/>
      <selection pane="bottomRight" activeCell="L12" sqref="L12"/>
    </sheetView>
  </sheetViews>
  <sheetFormatPr defaultRowHeight="13.2" x14ac:dyDescent="0.25"/>
  <cols>
    <col min="1" max="1" width="5.5546875" style="129" customWidth="1"/>
    <col min="2" max="2" width="12.44140625" style="129" customWidth="1"/>
    <col min="3" max="3" width="12.33203125" style="129" customWidth="1"/>
    <col min="4" max="4" width="17.33203125" style="129" customWidth="1"/>
    <col min="5" max="5" width="19" style="129" customWidth="1"/>
    <col min="6" max="6" width="17.88671875" style="129" customWidth="1"/>
    <col min="7" max="7" width="19.5546875" style="129" customWidth="1"/>
    <col min="8" max="8" width="28.109375" style="129" customWidth="1"/>
    <col min="9" max="9" width="14.88671875" style="147" customWidth="1"/>
    <col min="10" max="10" width="12.109375" style="148" customWidth="1"/>
    <col min="11" max="11" width="14.5546875" style="147" customWidth="1"/>
    <col min="12" max="12" width="16" style="129" customWidth="1"/>
    <col min="13" max="13" width="14.6640625" style="149" customWidth="1"/>
    <col min="14" max="14" width="14.6640625" style="150" customWidth="1"/>
    <col min="15" max="15" width="9.109375" style="134"/>
    <col min="16" max="257" width="9.109375" style="128"/>
    <col min="258" max="258" width="10.44140625" style="128" customWidth="1"/>
    <col min="259" max="259" width="10" style="128" customWidth="1"/>
    <col min="260" max="260" width="15.6640625" style="128" customWidth="1"/>
    <col min="261" max="261" width="19" style="128" customWidth="1"/>
    <col min="262" max="262" width="17.88671875" style="128" customWidth="1"/>
    <col min="263" max="263" width="19.5546875" style="128" customWidth="1"/>
    <col min="264" max="264" width="26.88671875" style="128" customWidth="1"/>
    <col min="265" max="265" width="18.33203125" style="128" customWidth="1"/>
    <col min="266" max="266" width="12.109375" style="128" customWidth="1"/>
    <col min="267" max="267" width="14.6640625" style="128" customWidth="1"/>
    <col min="268" max="268" width="15.44140625" style="128" customWidth="1"/>
    <col min="269" max="270" width="14.6640625" style="128" customWidth="1"/>
    <col min="271" max="513" width="9.109375" style="128"/>
    <col min="514" max="514" width="10.44140625" style="128" customWidth="1"/>
    <col min="515" max="515" width="10" style="128" customWidth="1"/>
    <col min="516" max="516" width="15.6640625" style="128" customWidth="1"/>
    <col min="517" max="517" width="19" style="128" customWidth="1"/>
    <col min="518" max="518" width="17.88671875" style="128" customWidth="1"/>
    <col min="519" max="519" width="19.5546875" style="128" customWidth="1"/>
    <col min="520" max="520" width="26.88671875" style="128" customWidth="1"/>
    <col min="521" max="521" width="18.33203125" style="128" customWidth="1"/>
    <col min="522" max="522" width="12.109375" style="128" customWidth="1"/>
    <col min="523" max="523" width="14.6640625" style="128" customWidth="1"/>
    <col min="524" max="524" width="15.44140625" style="128" customWidth="1"/>
    <col min="525" max="526" width="14.6640625" style="128" customWidth="1"/>
    <col min="527" max="769" width="9.109375" style="128"/>
    <col min="770" max="770" width="10.44140625" style="128" customWidth="1"/>
    <col min="771" max="771" width="10" style="128" customWidth="1"/>
    <col min="772" max="772" width="15.6640625" style="128" customWidth="1"/>
    <col min="773" max="773" width="19" style="128" customWidth="1"/>
    <col min="774" max="774" width="17.88671875" style="128" customWidth="1"/>
    <col min="775" max="775" width="19.5546875" style="128" customWidth="1"/>
    <col min="776" max="776" width="26.88671875" style="128" customWidth="1"/>
    <col min="777" max="777" width="18.33203125" style="128" customWidth="1"/>
    <col min="778" max="778" width="12.109375" style="128" customWidth="1"/>
    <col min="779" max="779" width="14.6640625" style="128" customWidth="1"/>
    <col min="780" max="780" width="15.44140625" style="128" customWidth="1"/>
    <col min="781" max="782" width="14.6640625" style="128" customWidth="1"/>
    <col min="783" max="1025" width="9.109375" style="128"/>
    <col min="1026" max="1026" width="10.44140625" style="128" customWidth="1"/>
    <col min="1027" max="1027" width="10" style="128" customWidth="1"/>
    <col min="1028" max="1028" width="15.6640625" style="128" customWidth="1"/>
    <col min="1029" max="1029" width="19" style="128" customWidth="1"/>
    <col min="1030" max="1030" width="17.88671875" style="128" customWidth="1"/>
    <col min="1031" max="1031" width="19.5546875" style="128" customWidth="1"/>
    <col min="1032" max="1032" width="26.88671875" style="128" customWidth="1"/>
    <col min="1033" max="1033" width="18.33203125" style="128" customWidth="1"/>
    <col min="1034" max="1034" width="12.109375" style="128" customWidth="1"/>
    <col min="1035" max="1035" width="14.6640625" style="128" customWidth="1"/>
    <col min="1036" max="1036" width="15.44140625" style="128" customWidth="1"/>
    <col min="1037" max="1038" width="14.6640625" style="128" customWidth="1"/>
    <col min="1039" max="1281" width="9.109375" style="128"/>
    <col min="1282" max="1282" width="10.44140625" style="128" customWidth="1"/>
    <col min="1283" max="1283" width="10" style="128" customWidth="1"/>
    <col min="1284" max="1284" width="15.6640625" style="128" customWidth="1"/>
    <col min="1285" max="1285" width="19" style="128" customWidth="1"/>
    <col min="1286" max="1286" width="17.88671875" style="128" customWidth="1"/>
    <col min="1287" max="1287" width="19.5546875" style="128" customWidth="1"/>
    <col min="1288" max="1288" width="26.88671875" style="128" customWidth="1"/>
    <col min="1289" max="1289" width="18.33203125" style="128" customWidth="1"/>
    <col min="1290" max="1290" width="12.109375" style="128" customWidth="1"/>
    <col min="1291" max="1291" width="14.6640625" style="128" customWidth="1"/>
    <col min="1292" max="1292" width="15.44140625" style="128" customWidth="1"/>
    <col min="1293" max="1294" width="14.6640625" style="128" customWidth="1"/>
    <col min="1295" max="1537" width="9.109375" style="128"/>
    <col min="1538" max="1538" width="10.44140625" style="128" customWidth="1"/>
    <col min="1539" max="1539" width="10" style="128" customWidth="1"/>
    <col min="1540" max="1540" width="15.6640625" style="128" customWidth="1"/>
    <col min="1541" max="1541" width="19" style="128" customWidth="1"/>
    <col min="1542" max="1542" width="17.88671875" style="128" customWidth="1"/>
    <col min="1543" max="1543" width="19.5546875" style="128" customWidth="1"/>
    <col min="1544" max="1544" width="26.88671875" style="128" customWidth="1"/>
    <col min="1545" max="1545" width="18.33203125" style="128" customWidth="1"/>
    <col min="1546" max="1546" width="12.109375" style="128" customWidth="1"/>
    <col min="1547" max="1547" width="14.6640625" style="128" customWidth="1"/>
    <col min="1548" max="1548" width="15.44140625" style="128" customWidth="1"/>
    <col min="1549" max="1550" width="14.6640625" style="128" customWidth="1"/>
    <col min="1551" max="1793" width="9.109375" style="128"/>
    <col min="1794" max="1794" width="10.44140625" style="128" customWidth="1"/>
    <col min="1795" max="1795" width="10" style="128" customWidth="1"/>
    <col min="1796" max="1796" width="15.6640625" style="128" customWidth="1"/>
    <col min="1797" max="1797" width="19" style="128" customWidth="1"/>
    <col min="1798" max="1798" width="17.88671875" style="128" customWidth="1"/>
    <col min="1799" max="1799" width="19.5546875" style="128" customWidth="1"/>
    <col min="1800" max="1800" width="26.88671875" style="128" customWidth="1"/>
    <col min="1801" max="1801" width="18.33203125" style="128" customWidth="1"/>
    <col min="1802" max="1802" width="12.109375" style="128" customWidth="1"/>
    <col min="1803" max="1803" width="14.6640625" style="128" customWidth="1"/>
    <col min="1804" max="1804" width="15.44140625" style="128" customWidth="1"/>
    <col min="1805" max="1806" width="14.6640625" style="128" customWidth="1"/>
    <col min="1807" max="2049" width="9.109375" style="128"/>
    <col min="2050" max="2050" width="10.44140625" style="128" customWidth="1"/>
    <col min="2051" max="2051" width="10" style="128" customWidth="1"/>
    <col min="2052" max="2052" width="15.6640625" style="128" customWidth="1"/>
    <col min="2053" max="2053" width="19" style="128" customWidth="1"/>
    <col min="2054" max="2054" width="17.88671875" style="128" customWidth="1"/>
    <col min="2055" max="2055" width="19.5546875" style="128" customWidth="1"/>
    <col min="2056" max="2056" width="26.88671875" style="128" customWidth="1"/>
    <col min="2057" max="2057" width="18.33203125" style="128" customWidth="1"/>
    <col min="2058" max="2058" width="12.109375" style="128" customWidth="1"/>
    <col min="2059" max="2059" width="14.6640625" style="128" customWidth="1"/>
    <col min="2060" max="2060" width="15.44140625" style="128" customWidth="1"/>
    <col min="2061" max="2062" width="14.6640625" style="128" customWidth="1"/>
    <col min="2063" max="2305" width="9.109375" style="128"/>
    <col min="2306" max="2306" width="10.44140625" style="128" customWidth="1"/>
    <col min="2307" max="2307" width="10" style="128" customWidth="1"/>
    <col min="2308" max="2308" width="15.6640625" style="128" customWidth="1"/>
    <col min="2309" max="2309" width="19" style="128" customWidth="1"/>
    <col min="2310" max="2310" width="17.88671875" style="128" customWidth="1"/>
    <col min="2311" max="2311" width="19.5546875" style="128" customWidth="1"/>
    <col min="2312" max="2312" width="26.88671875" style="128" customWidth="1"/>
    <col min="2313" max="2313" width="18.33203125" style="128" customWidth="1"/>
    <col min="2314" max="2314" width="12.109375" style="128" customWidth="1"/>
    <col min="2315" max="2315" width="14.6640625" style="128" customWidth="1"/>
    <col min="2316" max="2316" width="15.44140625" style="128" customWidth="1"/>
    <col min="2317" max="2318" width="14.6640625" style="128" customWidth="1"/>
    <col min="2319" max="2561" width="9.109375" style="128"/>
    <col min="2562" max="2562" width="10.44140625" style="128" customWidth="1"/>
    <col min="2563" max="2563" width="10" style="128" customWidth="1"/>
    <col min="2564" max="2564" width="15.6640625" style="128" customWidth="1"/>
    <col min="2565" max="2565" width="19" style="128" customWidth="1"/>
    <col min="2566" max="2566" width="17.88671875" style="128" customWidth="1"/>
    <col min="2567" max="2567" width="19.5546875" style="128" customWidth="1"/>
    <col min="2568" max="2568" width="26.88671875" style="128" customWidth="1"/>
    <col min="2569" max="2569" width="18.33203125" style="128" customWidth="1"/>
    <col min="2570" max="2570" width="12.109375" style="128" customWidth="1"/>
    <col min="2571" max="2571" width="14.6640625" style="128" customWidth="1"/>
    <col min="2572" max="2572" width="15.44140625" style="128" customWidth="1"/>
    <col min="2573" max="2574" width="14.6640625" style="128" customWidth="1"/>
    <col min="2575" max="2817" width="9.109375" style="128"/>
    <col min="2818" max="2818" width="10.44140625" style="128" customWidth="1"/>
    <col min="2819" max="2819" width="10" style="128" customWidth="1"/>
    <col min="2820" max="2820" width="15.6640625" style="128" customWidth="1"/>
    <col min="2821" max="2821" width="19" style="128" customWidth="1"/>
    <col min="2822" max="2822" width="17.88671875" style="128" customWidth="1"/>
    <col min="2823" max="2823" width="19.5546875" style="128" customWidth="1"/>
    <col min="2824" max="2824" width="26.88671875" style="128" customWidth="1"/>
    <col min="2825" max="2825" width="18.33203125" style="128" customWidth="1"/>
    <col min="2826" max="2826" width="12.109375" style="128" customWidth="1"/>
    <col min="2827" max="2827" width="14.6640625" style="128" customWidth="1"/>
    <col min="2828" max="2828" width="15.44140625" style="128" customWidth="1"/>
    <col min="2829" max="2830" width="14.6640625" style="128" customWidth="1"/>
    <col min="2831" max="3073" width="9.109375" style="128"/>
    <col min="3074" max="3074" width="10.44140625" style="128" customWidth="1"/>
    <col min="3075" max="3075" width="10" style="128" customWidth="1"/>
    <col min="3076" max="3076" width="15.6640625" style="128" customWidth="1"/>
    <col min="3077" max="3077" width="19" style="128" customWidth="1"/>
    <col min="3078" max="3078" width="17.88671875" style="128" customWidth="1"/>
    <col min="3079" max="3079" width="19.5546875" style="128" customWidth="1"/>
    <col min="3080" max="3080" width="26.88671875" style="128" customWidth="1"/>
    <col min="3081" max="3081" width="18.33203125" style="128" customWidth="1"/>
    <col min="3082" max="3082" width="12.109375" style="128" customWidth="1"/>
    <col min="3083" max="3083" width="14.6640625" style="128" customWidth="1"/>
    <col min="3084" max="3084" width="15.44140625" style="128" customWidth="1"/>
    <col min="3085" max="3086" width="14.6640625" style="128" customWidth="1"/>
    <col min="3087" max="3329" width="9.109375" style="128"/>
    <col min="3330" max="3330" width="10.44140625" style="128" customWidth="1"/>
    <col min="3331" max="3331" width="10" style="128" customWidth="1"/>
    <col min="3332" max="3332" width="15.6640625" style="128" customWidth="1"/>
    <col min="3333" max="3333" width="19" style="128" customWidth="1"/>
    <col min="3334" max="3334" width="17.88671875" style="128" customWidth="1"/>
    <col min="3335" max="3335" width="19.5546875" style="128" customWidth="1"/>
    <col min="3336" max="3336" width="26.88671875" style="128" customWidth="1"/>
    <col min="3337" max="3337" width="18.33203125" style="128" customWidth="1"/>
    <col min="3338" max="3338" width="12.109375" style="128" customWidth="1"/>
    <col min="3339" max="3339" width="14.6640625" style="128" customWidth="1"/>
    <col min="3340" max="3340" width="15.44140625" style="128" customWidth="1"/>
    <col min="3341" max="3342" width="14.6640625" style="128" customWidth="1"/>
    <col min="3343" max="3585" width="9.109375" style="128"/>
    <col min="3586" max="3586" width="10.44140625" style="128" customWidth="1"/>
    <col min="3587" max="3587" width="10" style="128" customWidth="1"/>
    <col min="3588" max="3588" width="15.6640625" style="128" customWidth="1"/>
    <col min="3589" max="3589" width="19" style="128" customWidth="1"/>
    <col min="3590" max="3590" width="17.88671875" style="128" customWidth="1"/>
    <col min="3591" max="3591" width="19.5546875" style="128" customWidth="1"/>
    <col min="3592" max="3592" width="26.88671875" style="128" customWidth="1"/>
    <col min="3593" max="3593" width="18.33203125" style="128" customWidth="1"/>
    <col min="3594" max="3594" width="12.109375" style="128" customWidth="1"/>
    <col min="3595" max="3595" width="14.6640625" style="128" customWidth="1"/>
    <col min="3596" max="3596" width="15.44140625" style="128" customWidth="1"/>
    <col min="3597" max="3598" width="14.6640625" style="128" customWidth="1"/>
    <col min="3599" max="3841" width="9.109375" style="128"/>
    <col min="3842" max="3842" width="10.44140625" style="128" customWidth="1"/>
    <col min="3843" max="3843" width="10" style="128" customWidth="1"/>
    <col min="3844" max="3844" width="15.6640625" style="128" customWidth="1"/>
    <col min="3845" max="3845" width="19" style="128" customWidth="1"/>
    <col min="3846" max="3846" width="17.88671875" style="128" customWidth="1"/>
    <col min="3847" max="3847" width="19.5546875" style="128" customWidth="1"/>
    <col min="3848" max="3848" width="26.88671875" style="128" customWidth="1"/>
    <col min="3849" max="3849" width="18.33203125" style="128" customWidth="1"/>
    <col min="3850" max="3850" width="12.109375" style="128" customWidth="1"/>
    <col min="3851" max="3851" width="14.6640625" style="128" customWidth="1"/>
    <col min="3852" max="3852" width="15.44140625" style="128" customWidth="1"/>
    <col min="3853" max="3854" width="14.6640625" style="128" customWidth="1"/>
    <col min="3855" max="4097" width="9.109375" style="128"/>
    <col min="4098" max="4098" width="10.44140625" style="128" customWidth="1"/>
    <col min="4099" max="4099" width="10" style="128" customWidth="1"/>
    <col min="4100" max="4100" width="15.6640625" style="128" customWidth="1"/>
    <col min="4101" max="4101" width="19" style="128" customWidth="1"/>
    <col min="4102" max="4102" width="17.88671875" style="128" customWidth="1"/>
    <col min="4103" max="4103" width="19.5546875" style="128" customWidth="1"/>
    <col min="4104" max="4104" width="26.88671875" style="128" customWidth="1"/>
    <col min="4105" max="4105" width="18.33203125" style="128" customWidth="1"/>
    <col min="4106" max="4106" width="12.109375" style="128" customWidth="1"/>
    <col min="4107" max="4107" width="14.6640625" style="128" customWidth="1"/>
    <col min="4108" max="4108" width="15.44140625" style="128" customWidth="1"/>
    <col min="4109" max="4110" width="14.6640625" style="128" customWidth="1"/>
    <col min="4111" max="4353" width="9.109375" style="128"/>
    <col min="4354" max="4354" width="10.44140625" style="128" customWidth="1"/>
    <col min="4355" max="4355" width="10" style="128" customWidth="1"/>
    <col min="4356" max="4356" width="15.6640625" style="128" customWidth="1"/>
    <col min="4357" max="4357" width="19" style="128" customWidth="1"/>
    <col min="4358" max="4358" width="17.88671875" style="128" customWidth="1"/>
    <col min="4359" max="4359" width="19.5546875" style="128" customWidth="1"/>
    <col min="4360" max="4360" width="26.88671875" style="128" customWidth="1"/>
    <col min="4361" max="4361" width="18.33203125" style="128" customWidth="1"/>
    <col min="4362" max="4362" width="12.109375" style="128" customWidth="1"/>
    <col min="4363" max="4363" width="14.6640625" style="128" customWidth="1"/>
    <col min="4364" max="4364" width="15.44140625" style="128" customWidth="1"/>
    <col min="4365" max="4366" width="14.6640625" style="128" customWidth="1"/>
    <col min="4367" max="4609" width="9.109375" style="128"/>
    <col min="4610" max="4610" width="10.44140625" style="128" customWidth="1"/>
    <col min="4611" max="4611" width="10" style="128" customWidth="1"/>
    <col min="4612" max="4612" width="15.6640625" style="128" customWidth="1"/>
    <col min="4613" max="4613" width="19" style="128" customWidth="1"/>
    <col min="4614" max="4614" width="17.88671875" style="128" customWidth="1"/>
    <col min="4615" max="4615" width="19.5546875" style="128" customWidth="1"/>
    <col min="4616" max="4616" width="26.88671875" style="128" customWidth="1"/>
    <col min="4617" max="4617" width="18.33203125" style="128" customWidth="1"/>
    <col min="4618" max="4618" width="12.109375" style="128" customWidth="1"/>
    <col min="4619" max="4619" width="14.6640625" style="128" customWidth="1"/>
    <col min="4620" max="4620" width="15.44140625" style="128" customWidth="1"/>
    <col min="4621" max="4622" width="14.6640625" style="128" customWidth="1"/>
    <col min="4623" max="4865" width="9.109375" style="128"/>
    <col min="4866" max="4866" width="10.44140625" style="128" customWidth="1"/>
    <col min="4867" max="4867" width="10" style="128" customWidth="1"/>
    <col min="4868" max="4868" width="15.6640625" style="128" customWidth="1"/>
    <col min="4869" max="4869" width="19" style="128" customWidth="1"/>
    <col min="4870" max="4870" width="17.88671875" style="128" customWidth="1"/>
    <col min="4871" max="4871" width="19.5546875" style="128" customWidth="1"/>
    <col min="4872" max="4872" width="26.88671875" style="128" customWidth="1"/>
    <col min="4873" max="4873" width="18.33203125" style="128" customWidth="1"/>
    <col min="4874" max="4874" width="12.109375" style="128" customWidth="1"/>
    <col min="4875" max="4875" width="14.6640625" style="128" customWidth="1"/>
    <col min="4876" max="4876" width="15.44140625" style="128" customWidth="1"/>
    <col min="4877" max="4878" width="14.6640625" style="128" customWidth="1"/>
    <col min="4879" max="5121" width="9.109375" style="128"/>
    <col min="5122" max="5122" width="10.44140625" style="128" customWidth="1"/>
    <col min="5123" max="5123" width="10" style="128" customWidth="1"/>
    <col min="5124" max="5124" width="15.6640625" style="128" customWidth="1"/>
    <col min="5125" max="5125" width="19" style="128" customWidth="1"/>
    <col min="5126" max="5126" width="17.88671875" style="128" customWidth="1"/>
    <col min="5127" max="5127" width="19.5546875" style="128" customWidth="1"/>
    <col min="5128" max="5128" width="26.88671875" style="128" customWidth="1"/>
    <col min="5129" max="5129" width="18.33203125" style="128" customWidth="1"/>
    <col min="5130" max="5130" width="12.109375" style="128" customWidth="1"/>
    <col min="5131" max="5131" width="14.6640625" style="128" customWidth="1"/>
    <col min="5132" max="5132" width="15.44140625" style="128" customWidth="1"/>
    <col min="5133" max="5134" width="14.6640625" style="128" customWidth="1"/>
    <col min="5135" max="5377" width="9.109375" style="128"/>
    <col min="5378" max="5378" width="10.44140625" style="128" customWidth="1"/>
    <col min="5379" max="5379" width="10" style="128" customWidth="1"/>
    <col min="5380" max="5380" width="15.6640625" style="128" customWidth="1"/>
    <col min="5381" max="5381" width="19" style="128" customWidth="1"/>
    <col min="5382" max="5382" width="17.88671875" style="128" customWidth="1"/>
    <col min="5383" max="5383" width="19.5546875" style="128" customWidth="1"/>
    <col min="5384" max="5384" width="26.88671875" style="128" customWidth="1"/>
    <col min="5385" max="5385" width="18.33203125" style="128" customWidth="1"/>
    <col min="5386" max="5386" width="12.109375" style="128" customWidth="1"/>
    <col min="5387" max="5387" width="14.6640625" style="128" customWidth="1"/>
    <col min="5388" max="5388" width="15.44140625" style="128" customWidth="1"/>
    <col min="5389" max="5390" width="14.6640625" style="128" customWidth="1"/>
    <col min="5391" max="5633" width="9.109375" style="128"/>
    <col min="5634" max="5634" width="10.44140625" style="128" customWidth="1"/>
    <col min="5635" max="5635" width="10" style="128" customWidth="1"/>
    <col min="5636" max="5636" width="15.6640625" style="128" customWidth="1"/>
    <col min="5637" max="5637" width="19" style="128" customWidth="1"/>
    <col min="5638" max="5638" width="17.88671875" style="128" customWidth="1"/>
    <col min="5639" max="5639" width="19.5546875" style="128" customWidth="1"/>
    <col min="5640" max="5640" width="26.88671875" style="128" customWidth="1"/>
    <col min="5641" max="5641" width="18.33203125" style="128" customWidth="1"/>
    <col min="5642" max="5642" width="12.109375" style="128" customWidth="1"/>
    <col min="5643" max="5643" width="14.6640625" style="128" customWidth="1"/>
    <col min="5644" max="5644" width="15.44140625" style="128" customWidth="1"/>
    <col min="5645" max="5646" width="14.6640625" style="128" customWidth="1"/>
    <col min="5647" max="5889" width="9.109375" style="128"/>
    <col min="5890" max="5890" width="10.44140625" style="128" customWidth="1"/>
    <col min="5891" max="5891" width="10" style="128" customWidth="1"/>
    <col min="5892" max="5892" width="15.6640625" style="128" customWidth="1"/>
    <col min="5893" max="5893" width="19" style="128" customWidth="1"/>
    <col min="5894" max="5894" width="17.88671875" style="128" customWidth="1"/>
    <col min="5895" max="5895" width="19.5546875" style="128" customWidth="1"/>
    <col min="5896" max="5896" width="26.88671875" style="128" customWidth="1"/>
    <col min="5897" max="5897" width="18.33203125" style="128" customWidth="1"/>
    <col min="5898" max="5898" width="12.109375" style="128" customWidth="1"/>
    <col min="5899" max="5899" width="14.6640625" style="128" customWidth="1"/>
    <col min="5900" max="5900" width="15.44140625" style="128" customWidth="1"/>
    <col min="5901" max="5902" width="14.6640625" style="128" customWidth="1"/>
    <col min="5903" max="6145" width="9.109375" style="128"/>
    <col min="6146" max="6146" width="10.44140625" style="128" customWidth="1"/>
    <col min="6147" max="6147" width="10" style="128" customWidth="1"/>
    <col min="6148" max="6148" width="15.6640625" style="128" customWidth="1"/>
    <col min="6149" max="6149" width="19" style="128" customWidth="1"/>
    <col min="6150" max="6150" width="17.88671875" style="128" customWidth="1"/>
    <col min="6151" max="6151" width="19.5546875" style="128" customWidth="1"/>
    <col min="6152" max="6152" width="26.88671875" style="128" customWidth="1"/>
    <col min="6153" max="6153" width="18.33203125" style="128" customWidth="1"/>
    <col min="6154" max="6154" width="12.109375" style="128" customWidth="1"/>
    <col min="6155" max="6155" width="14.6640625" style="128" customWidth="1"/>
    <col min="6156" max="6156" width="15.44140625" style="128" customWidth="1"/>
    <col min="6157" max="6158" width="14.6640625" style="128" customWidth="1"/>
    <col min="6159" max="6401" width="9.109375" style="128"/>
    <col min="6402" max="6402" width="10.44140625" style="128" customWidth="1"/>
    <col min="6403" max="6403" width="10" style="128" customWidth="1"/>
    <col min="6404" max="6404" width="15.6640625" style="128" customWidth="1"/>
    <col min="6405" max="6405" width="19" style="128" customWidth="1"/>
    <col min="6406" max="6406" width="17.88671875" style="128" customWidth="1"/>
    <col min="6407" max="6407" width="19.5546875" style="128" customWidth="1"/>
    <col min="6408" max="6408" width="26.88671875" style="128" customWidth="1"/>
    <col min="6409" max="6409" width="18.33203125" style="128" customWidth="1"/>
    <col min="6410" max="6410" width="12.109375" style="128" customWidth="1"/>
    <col min="6411" max="6411" width="14.6640625" style="128" customWidth="1"/>
    <col min="6412" max="6412" width="15.44140625" style="128" customWidth="1"/>
    <col min="6413" max="6414" width="14.6640625" style="128" customWidth="1"/>
    <col min="6415" max="6657" width="9.109375" style="128"/>
    <col min="6658" max="6658" width="10.44140625" style="128" customWidth="1"/>
    <col min="6659" max="6659" width="10" style="128" customWidth="1"/>
    <col min="6660" max="6660" width="15.6640625" style="128" customWidth="1"/>
    <col min="6661" max="6661" width="19" style="128" customWidth="1"/>
    <col min="6662" max="6662" width="17.88671875" style="128" customWidth="1"/>
    <col min="6663" max="6663" width="19.5546875" style="128" customWidth="1"/>
    <col min="6664" max="6664" width="26.88671875" style="128" customWidth="1"/>
    <col min="6665" max="6665" width="18.33203125" style="128" customWidth="1"/>
    <col min="6666" max="6666" width="12.109375" style="128" customWidth="1"/>
    <col min="6667" max="6667" width="14.6640625" style="128" customWidth="1"/>
    <col min="6668" max="6668" width="15.44140625" style="128" customWidth="1"/>
    <col min="6669" max="6670" width="14.6640625" style="128" customWidth="1"/>
    <col min="6671" max="6913" width="9.109375" style="128"/>
    <col min="6914" max="6914" width="10.44140625" style="128" customWidth="1"/>
    <col min="6915" max="6915" width="10" style="128" customWidth="1"/>
    <col min="6916" max="6916" width="15.6640625" style="128" customWidth="1"/>
    <col min="6917" max="6917" width="19" style="128" customWidth="1"/>
    <col min="6918" max="6918" width="17.88671875" style="128" customWidth="1"/>
    <col min="6919" max="6919" width="19.5546875" style="128" customWidth="1"/>
    <col min="6920" max="6920" width="26.88671875" style="128" customWidth="1"/>
    <col min="6921" max="6921" width="18.33203125" style="128" customWidth="1"/>
    <col min="6922" max="6922" width="12.109375" style="128" customWidth="1"/>
    <col min="6923" max="6923" width="14.6640625" style="128" customWidth="1"/>
    <col min="6924" max="6924" width="15.44140625" style="128" customWidth="1"/>
    <col min="6925" max="6926" width="14.6640625" style="128" customWidth="1"/>
    <col min="6927" max="7169" width="9.109375" style="128"/>
    <col min="7170" max="7170" width="10.44140625" style="128" customWidth="1"/>
    <col min="7171" max="7171" width="10" style="128" customWidth="1"/>
    <col min="7172" max="7172" width="15.6640625" style="128" customWidth="1"/>
    <col min="7173" max="7173" width="19" style="128" customWidth="1"/>
    <col min="7174" max="7174" width="17.88671875" style="128" customWidth="1"/>
    <col min="7175" max="7175" width="19.5546875" style="128" customWidth="1"/>
    <col min="7176" max="7176" width="26.88671875" style="128" customWidth="1"/>
    <col min="7177" max="7177" width="18.33203125" style="128" customWidth="1"/>
    <col min="7178" max="7178" width="12.109375" style="128" customWidth="1"/>
    <col min="7179" max="7179" width="14.6640625" style="128" customWidth="1"/>
    <col min="7180" max="7180" width="15.44140625" style="128" customWidth="1"/>
    <col min="7181" max="7182" width="14.6640625" style="128" customWidth="1"/>
    <col min="7183" max="7425" width="9.109375" style="128"/>
    <col min="7426" max="7426" width="10.44140625" style="128" customWidth="1"/>
    <col min="7427" max="7427" width="10" style="128" customWidth="1"/>
    <col min="7428" max="7428" width="15.6640625" style="128" customWidth="1"/>
    <col min="7429" max="7429" width="19" style="128" customWidth="1"/>
    <col min="7430" max="7430" width="17.88671875" style="128" customWidth="1"/>
    <col min="7431" max="7431" width="19.5546875" style="128" customWidth="1"/>
    <col min="7432" max="7432" width="26.88671875" style="128" customWidth="1"/>
    <col min="7433" max="7433" width="18.33203125" style="128" customWidth="1"/>
    <col min="7434" max="7434" width="12.109375" style="128" customWidth="1"/>
    <col min="7435" max="7435" width="14.6640625" style="128" customWidth="1"/>
    <col min="7436" max="7436" width="15.44140625" style="128" customWidth="1"/>
    <col min="7437" max="7438" width="14.6640625" style="128" customWidth="1"/>
    <col min="7439" max="7681" width="9.109375" style="128"/>
    <col min="7682" max="7682" width="10.44140625" style="128" customWidth="1"/>
    <col min="7683" max="7683" width="10" style="128" customWidth="1"/>
    <col min="7684" max="7684" width="15.6640625" style="128" customWidth="1"/>
    <col min="7685" max="7685" width="19" style="128" customWidth="1"/>
    <col min="7686" max="7686" width="17.88671875" style="128" customWidth="1"/>
    <col min="7687" max="7687" width="19.5546875" style="128" customWidth="1"/>
    <col min="7688" max="7688" width="26.88671875" style="128" customWidth="1"/>
    <col min="7689" max="7689" width="18.33203125" style="128" customWidth="1"/>
    <col min="7690" max="7690" width="12.109375" style="128" customWidth="1"/>
    <col min="7691" max="7691" width="14.6640625" style="128" customWidth="1"/>
    <col min="7692" max="7692" width="15.44140625" style="128" customWidth="1"/>
    <col min="7693" max="7694" width="14.6640625" style="128" customWidth="1"/>
    <col min="7695" max="7937" width="9.109375" style="128"/>
    <col min="7938" max="7938" width="10.44140625" style="128" customWidth="1"/>
    <col min="7939" max="7939" width="10" style="128" customWidth="1"/>
    <col min="7940" max="7940" width="15.6640625" style="128" customWidth="1"/>
    <col min="7941" max="7941" width="19" style="128" customWidth="1"/>
    <col min="7942" max="7942" width="17.88671875" style="128" customWidth="1"/>
    <col min="7943" max="7943" width="19.5546875" style="128" customWidth="1"/>
    <col min="7944" max="7944" width="26.88671875" style="128" customWidth="1"/>
    <col min="7945" max="7945" width="18.33203125" style="128" customWidth="1"/>
    <col min="7946" max="7946" width="12.109375" style="128" customWidth="1"/>
    <col min="7947" max="7947" width="14.6640625" style="128" customWidth="1"/>
    <col min="7948" max="7948" width="15.44140625" style="128" customWidth="1"/>
    <col min="7949" max="7950" width="14.6640625" style="128" customWidth="1"/>
    <col min="7951" max="8193" width="9.109375" style="128"/>
    <col min="8194" max="8194" width="10.44140625" style="128" customWidth="1"/>
    <col min="8195" max="8195" width="10" style="128" customWidth="1"/>
    <col min="8196" max="8196" width="15.6640625" style="128" customWidth="1"/>
    <col min="8197" max="8197" width="19" style="128" customWidth="1"/>
    <col min="8198" max="8198" width="17.88671875" style="128" customWidth="1"/>
    <col min="8199" max="8199" width="19.5546875" style="128" customWidth="1"/>
    <col min="8200" max="8200" width="26.88671875" style="128" customWidth="1"/>
    <col min="8201" max="8201" width="18.33203125" style="128" customWidth="1"/>
    <col min="8202" max="8202" width="12.109375" style="128" customWidth="1"/>
    <col min="8203" max="8203" width="14.6640625" style="128" customWidth="1"/>
    <col min="8204" max="8204" width="15.44140625" style="128" customWidth="1"/>
    <col min="8205" max="8206" width="14.6640625" style="128" customWidth="1"/>
    <col min="8207" max="8449" width="9.109375" style="128"/>
    <col min="8450" max="8450" width="10.44140625" style="128" customWidth="1"/>
    <col min="8451" max="8451" width="10" style="128" customWidth="1"/>
    <col min="8452" max="8452" width="15.6640625" style="128" customWidth="1"/>
    <col min="8453" max="8453" width="19" style="128" customWidth="1"/>
    <col min="8454" max="8454" width="17.88671875" style="128" customWidth="1"/>
    <col min="8455" max="8455" width="19.5546875" style="128" customWidth="1"/>
    <col min="8456" max="8456" width="26.88671875" style="128" customWidth="1"/>
    <col min="8457" max="8457" width="18.33203125" style="128" customWidth="1"/>
    <col min="8458" max="8458" width="12.109375" style="128" customWidth="1"/>
    <col min="8459" max="8459" width="14.6640625" style="128" customWidth="1"/>
    <col min="8460" max="8460" width="15.44140625" style="128" customWidth="1"/>
    <col min="8461" max="8462" width="14.6640625" style="128" customWidth="1"/>
    <col min="8463" max="8705" width="9.109375" style="128"/>
    <col min="8706" max="8706" width="10.44140625" style="128" customWidth="1"/>
    <col min="8707" max="8707" width="10" style="128" customWidth="1"/>
    <col min="8708" max="8708" width="15.6640625" style="128" customWidth="1"/>
    <col min="8709" max="8709" width="19" style="128" customWidth="1"/>
    <col min="8710" max="8710" width="17.88671875" style="128" customWidth="1"/>
    <col min="8711" max="8711" width="19.5546875" style="128" customWidth="1"/>
    <col min="8712" max="8712" width="26.88671875" style="128" customWidth="1"/>
    <col min="8713" max="8713" width="18.33203125" style="128" customWidth="1"/>
    <col min="8714" max="8714" width="12.109375" style="128" customWidth="1"/>
    <col min="8715" max="8715" width="14.6640625" style="128" customWidth="1"/>
    <col min="8716" max="8716" width="15.44140625" style="128" customWidth="1"/>
    <col min="8717" max="8718" width="14.6640625" style="128" customWidth="1"/>
    <col min="8719" max="8961" width="9.109375" style="128"/>
    <col min="8962" max="8962" width="10.44140625" style="128" customWidth="1"/>
    <col min="8963" max="8963" width="10" style="128" customWidth="1"/>
    <col min="8964" max="8964" width="15.6640625" style="128" customWidth="1"/>
    <col min="8965" max="8965" width="19" style="128" customWidth="1"/>
    <col min="8966" max="8966" width="17.88671875" style="128" customWidth="1"/>
    <col min="8967" max="8967" width="19.5546875" style="128" customWidth="1"/>
    <col min="8968" max="8968" width="26.88671875" style="128" customWidth="1"/>
    <col min="8969" max="8969" width="18.33203125" style="128" customWidth="1"/>
    <col min="8970" max="8970" width="12.109375" style="128" customWidth="1"/>
    <col min="8971" max="8971" width="14.6640625" style="128" customWidth="1"/>
    <col min="8972" max="8972" width="15.44140625" style="128" customWidth="1"/>
    <col min="8973" max="8974" width="14.6640625" style="128" customWidth="1"/>
    <col min="8975" max="9217" width="9.109375" style="128"/>
    <col min="9218" max="9218" width="10.44140625" style="128" customWidth="1"/>
    <col min="9219" max="9219" width="10" style="128" customWidth="1"/>
    <col min="9220" max="9220" width="15.6640625" style="128" customWidth="1"/>
    <col min="9221" max="9221" width="19" style="128" customWidth="1"/>
    <col min="9222" max="9222" width="17.88671875" style="128" customWidth="1"/>
    <col min="9223" max="9223" width="19.5546875" style="128" customWidth="1"/>
    <col min="9224" max="9224" width="26.88671875" style="128" customWidth="1"/>
    <col min="9225" max="9225" width="18.33203125" style="128" customWidth="1"/>
    <col min="9226" max="9226" width="12.109375" style="128" customWidth="1"/>
    <col min="9227" max="9227" width="14.6640625" style="128" customWidth="1"/>
    <col min="9228" max="9228" width="15.44140625" style="128" customWidth="1"/>
    <col min="9229" max="9230" width="14.6640625" style="128" customWidth="1"/>
    <col min="9231" max="9473" width="9.109375" style="128"/>
    <col min="9474" max="9474" width="10.44140625" style="128" customWidth="1"/>
    <col min="9475" max="9475" width="10" style="128" customWidth="1"/>
    <col min="9476" max="9476" width="15.6640625" style="128" customWidth="1"/>
    <col min="9477" max="9477" width="19" style="128" customWidth="1"/>
    <col min="9478" max="9478" width="17.88671875" style="128" customWidth="1"/>
    <col min="9479" max="9479" width="19.5546875" style="128" customWidth="1"/>
    <col min="9480" max="9480" width="26.88671875" style="128" customWidth="1"/>
    <col min="9481" max="9481" width="18.33203125" style="128" customWidth="1"/>
    <col min="9482" max="9482" width="12.109375" style="128" customWidth="1"/>
    <col min="9483" max="9483" width="14.6640625" style="128" customWidth="1"/>
    <col min="9484" max="9484" width="15.44140625" style="128" customWidth="1"/>
    <col min="9485" max="9486" width="14.6640625" style="128" customWidth="1"/>
    <col min="9487" max="9729" width="9.109375" style="128"/>
    <col min="9730" max="9730" width="10.44140625" style="128" customWidth="1"/>
    <col min="9731" max="9731" width="10" style="128" customWidth="1"/>
    <col min="9732" max="9732" width="15.6640625" style="128" customWidth="1"/>
    <col min="9733" max="9733" width="19" style="128" customWidth="1"/>
    <col min="9734" max="9734" width="17.88671875" style="128" customWidth="1"/>
    <col min="9735" max="9735" width="19.5546875" style="128" customWidth="1"/>
    <col min="9736" max="9736" width="26.88671875" style="128" customWidth="1"/>
    <col min="9737" max="9737" width="18.33203125" style="128" customWidth="1"/>
    <col min="9738" max="9738" width="12.109375" style="128" customWidth="1"/>
    <col min="9739" max="9739" width="14.6640625" style="128" customWidth="1"/>
    <col min="9740" max="9740" width="15.44140625" style="128" customWidth="1"/>
    <col min="9741" max="9742" width="14.6640625" style="128" customWidth="1"/>
    <col min="9743" max="9985" width="9.109375" style="128"/>
    <col min="9986" max="9986" width="10.44140625" style="128" customWidth="1"/>
    <col min="9987" max="9987" width="10" style="128" customWidth="1"/>
    <col min="9988" max="9988" width="15.6640625" style="128" customWidth="1"/>
    <col min="9989" max="9989" width="19" style="128" customWidth="1"/>
    <col min="9990" max="9990" width="17.88671875" style="128" customWidth="1"/>
    <col min="9991" max="9991" width="19.5546875" style="128" customWidth="1"/>
    <col min="9992" max="9992" width="26.88671875" style="128" customWidth="1"/>
    <col min="9993" max="9993" width="18.33203125" style="128" customWidth="1"/>
    <col min="9994" max="9994" width="12.109375" style="128" customWidth="1"/>
    <col min="9995" max="9995" width="14.6640625" style="128" customWidth="1"/>
    <col min="9996" max="9996" width="15.44140625" style="128" customWidth="1"/>
    <col min="9997" max="9998" width="14.6640625" style="128" customWidth="1"/>
    <col min="9999" max="10241" width="9.109375" style="128"/>
    <col min="10242" max="10242" width="10.44140625" style="128" customWidth="1"/>
    <col min="10243" max="10243" width="10" style="128" customWidth="1"/>
    <col min="10244" max="10244" width="15.6640625" style="128" customWidth="1"/>
    <col min="10245" max="10245" width="19" style="128" customWidth="1"/>
    <col min="10246" max="10246" width="17.88671875" style="128" customWidth="1"/>
    <col min="10247" max="10247" width="19.5546875" style="128" customWidth="1"/>
    <col min="10248" max="10248" width="26.88671875" style="128" customWidth="1"/>
    <col min="10249" max="10249" width="18.33203125" style="128" customWidth="1"/>
    <col min="10250" max="10250" width="12.109375" style="128" customWidth="1"/>
    <col min="10251" max="10251" width="14.6640625" style="128" customWidth="1"/>
    <col min="10252" max="10252" width="15.44140625" style="128" customWidth="1"/>
    <col min="10253" max="10254" width="14.6640625" style="128" customWidth="1"/>
    <col min="10255" max="10497" width="9.109375" style="128"/>
    <col min="10498" max="10498" width="10.44140625" style="128" customWidth="1"/>
    <col min="10499" max="10499" width="10" style="128" customWidth="1"/>
    <col min="10500" max="10500" width="15.6640625" style="128" customWidth="1"/>
    <col min="10501" max="10501" width="19" style="128" customWidth="1"/>
    <col min="10502" max="10502" width="17.88671875" style="128" customWidth="1"/>
    <col min="10503" max="10503" width="19.5546875" style="128" customWidth="1"/>
    <col min="10504" max="10504" width="26.88671875" style="128" customWidth="1"/>
    <col min="10505" max="10505" width="18.33203125" style="128" customWidth="1"/>
    <col min="10506" max="10506" width="12.109375" style="128" customWidth="1"/>
    <col min="10507" max="10507" width="14.6640625" style="128" customWidth="1"/>
    <col min="10508" max="10508" width="15.44140625" style="128" customWidth="1"/>
    <col min="10509" max="10510" width="14.6640625" style="128" customWidth="1"/>
    <col min="10511" max="10753" width="9.109375" style="128"/>
    <col min="10754" max="10754" width="10.44140625" style="128" customWidth="1"/>
    <col min="10755" max="10755" width="10" style="128" customWidth="1"/>
    <col min="10756" max="10756" width="15.6640625" style="128" customWidth="1"/>
    <col min="10757" max="10757" width="19" style="128" customWidth="1"/>
    <col min="10758" max="10758" width="17.88671875" style="128" customWidth="1"/>
    <col min="10759" max="10759" width="19.5546875" style="128" customWidth="1"/>
    <col min="10760" max="10760" width="26.88671875" style="128" customWidth="1"/>
    <col min="10761" max="10761" width="18.33203125" style="128" customWidth="1"/>
    <col min="10762" max="10762" width="12.109375" style="128" customWidth="1"/>
    <col min="10763" max="10763" width="14.6640625" style="128" customWidth="1"/>
    <col min="10764" max="10764" width="15.44140625" style="128" customWidth="1"/>
    <col min="10765" max="10766" width="14.6640625" style="128" customWidth="1"/>
    <col min="10767" max="11009" width="9.109375" style="128"/>
    <col min="11010" max="11010" width="10.44140625" style="128" customWidth="1"/>
    <col min="11011" max="11011" width="10" style="128" customWidth="1"/>
    <col min="11012" max="11012" width="15.6640625" style="128" customWidth="1"/>
    <col min="11013" max="11013" width="19" style="128" customWidth="1"/>
    <col min="11014" max="11014" width="17.88671875" style="128" customWidth="1"/>
    <col min="11015" max="11015" width="19.5546875" style="128" customWidth="1"/>
    <col min="11016" max="11016" width="26.88671875" style="128" customWidth="1"/>
    <col min="11017" max="11017" width="18.33203125" style="128" customWidth="1"/>
    <col min="11018" max="11018" width="12.109375" style="128" customWidth="1"/>
    <col min="11019" max="11019" width="14.6640625" style="128" customWidth="1"/>
    <col min="11020" max="11020" width="15.44140625" style="128" customWidth="1"/>
    <col min="11021" max="11022" width="14.6640625" style="128" customWidth="1"/>
    <col min="11023" max="11265" width="9.109375" style="128"/>
    <col min="11266" max="11266" width="10.44140625" style="128" customWidth="1"/>
    <col min="11267" max="11267" width="10" style="128" customWidth="1"/>
    <col min="11268" max="11268" width="15.6640625" style="128" customWidth="1"/>
    <col min="11269" max="11269" width="19" style="128" customWidth="1"/>
    <col min="11270" max="11270" width="17.88671875" style="128" customWidth="1"/>
    <col min="11271" max="11271" width="19.5546875" style="128" customWidth="1"/>
    <col min="11272" max="11272" width="26.88671875" style="128" customWidth="1"/>
    <col min="11273" max="11273" width="18.33203125" style="128" customWidth="1"/>
    <col min="11274" max="11274" width="12.109375" style="128" customWidth="1"/>
    <col min="11275" max="11275" width="14.6640625" style="128" customWidth="1"/>
    <col min="11276" max="11276" width="15.44140625" style="128" customWidth="1"/>
    <col min="11277" max="11278" width="14.6640625" style="128" customWidth="1"/>
    <col min="11279" max="11521" width="9.109375" style="128"/>
    <col min="11522" max="11522" width="10.44140625" style="128" customWidth="1"/>
    <col min="11523" max="11523" width="10" style="128" customWidth="1"/>
    <col min="11524" max="11524" width="15.6640625" style="128" customWidth="1"/>
    <col min="11525" max="11525" width="19" style="128" customWidth="1"/>
    <col min="11526" max="11526" width="17.88671875" style="128" customWidth="1"/>
    <col min="11527" max="11527" width="19.5546875" style="128" customWidth="1"/>
    <col min="11528" max="11528" width="26.88671875" style="128" customWidth="1"/>
    <col min="11529" max="11529" width="18.33203125" style="128" customWidth="1"/>
    <col min="11530" max="11530" width="12.109375" style="128" customWidth="1"/>
    <col min="11531" max="11531" width="14.6640625" style="128" customWidth="1"/>
    <col min="11532" max="11532" width="15.44140625" style="128" customWidth="1"/>
    <col min="11533" max="11534" width="14.6640625" style="128" customWidth="1"/>
    <col min="11535" max="11777" width="9.109375" style="128"/>
    <col min="11778" max="11778" width="10.44140625" style="128" customWidth="1"/>
    <col min="11779" max="11779" width="10" style="128" customWidth="1"/>
    <col min="11780" max="11780" width="15.6640625" style="128" customWidth="1"/>
    <col min="11781" max="11781" width="19" style="128" customWidth="1"/>
    <col min="11782" max="11782" width="17.88671875" style="128" customWidth="1"/>
    <col min="11783" max="11783" width="19.5546875" style="128" customWidth="1"/>
    <col min="11784" max="11784" width="26.88671875" style="128" customWidth="1"/>
    <col min="11785" max="11785" width="18.33203125" style="128" customWidth="1"/>
    <col min="11786" max="11786" width="12.109375" style="128" customWidth="1"/>
    <col min="11787" max="11787" width="14.6640625" style="128" customWidth="1"/>
    <col min="11788" max="11788" width="15.44140625" style="128" customWidth="1"/>
    <col min="11789" max="11790" width="14.6640625" style="128" customWidth="1"/>
    <col min="11791" max="12033" width="9.109375" style="128"/>
    <col min="12034" max="12034" width="10.44140625" style="128" customWidth="1"/>
    <col min="12035" max="12035" width="10" style="128" customWidth="1"/>
    <col min="12036" max="12036" width="15.6640625" style="128" customWidth="1"/>
    <col min="12037" max="12037" width="19" style="128" customWidth="1"/>
    <col min="12038" max="12038" width="17.88671875" style="128" customWidth="1"/>
    <col min="12039" max="12039" width="19.5546875" style="128" customWidth="1"/>
    <col min="12040" max="12040" width="26.88671875" style="128" customWidth="1"/>
    <col min="12041" max="12041" width="18.33203125" style="128" customWidth="1"/>
    <col min="12042" max="12042" width="12.109375" style="128" customWidth="1"/>
    <col min="12043" max="12043" width="14.6640625" style="128" customWidth="1"/>
    <col min="12044" max="12044" width="15.44140625" style="128" customWidth="1"/>
    <col min="12045" max="12046" width="14.6640625" style="128" customWidth="1"/>
    <col min="12047" max="12289" width="9.109375" style="128"/>
    <col min="12290" max="12290" width="10.44140625" style="128" customWidth="1"/>
    <col min="12291" max="12291" width="10" style="128" customWidth="1"/>
    <col min="12292" max="12292" width="15.6640625" style="128" customWidth="1"/>
    <col min="12293" max="12293" width="19" style="128" customWidth="1"/>
    <col min="12294" max="12294" width="17.88671875" style="128" customWidth="1"/>
    <col min="12295" max="12295" width="19.5546875" style="128" customWidth="1"/>
    <col min="12296" max="12296" width="26.88671875" style="128" customWidth="1"/>
    <col min="12297" max="12297" width="18.33203125" style="128" customWidth="1"/>
    <col min="12298" max="12298" width="12.109375" style="128" customWidth="1"/>
    <col min="12299" max="12299" width="14.6640625" style="128" customWidth="1"/>
    <col min="12300" max="12300" width="15.44140625" style="128" customWidth="1"/>
    <col min="12301" max="12302" width="14.6640625" style="128" customWidth="1"/>
    <col min="12303" max="12545" width="9.109375" style="128"/>
    <col min="12546" max="12546" width="10.44140625" style="128" customWidth="1"/>
    <col min="12547" max="12547" width="10" style="128" customWidth="1"/>
    <col min="12548" max="12548" width="15.6640625" style="128" customWidth="1"/>
    <col min="12549" max="12549" width="19" style="128" customWidth="1"/>
    <col min="12550" max="12550" width="17.88671875" style="128" customWidth="1"/>
    <col min="12551" max="12551" width="19.5546875" style="128" customWidth="1"/>
    <col min="12552" max="12552" width="26.88671875" style="128" customWidth="1"/>
    <col min="12553" max="12553" width="18.33203125" style="128" customWidth="1"/>
    <col min="12554" max="12554" width="12.109375" style="128" customWidth="1"/>
    <col min="12555" max="12555" width="14.6640625" style="128" customWidth="1"/>
    <col min="12556" max="12556" width="15.44140625" style="128" customWidth="1"/>
    <col min="12557" max="12558" width="14.6640625" style="128" customWidth="1"/>
    <col min="12559" max="12801" width="9.109375" style="128"/>
    <col min="12802" max="12802" width="10.44140625" style="128" customWidth="1"/>
    <col min="12803" max="12803" width="10" style="128" customWidth="1"/>
    <col min="12804" max="12804" width="15.6640625" style="128" customWidth="1"/>
    <col min="12805" max="12805" width="19" style="128" customWidth="1"/>
    <col min="12806" max="12806" width="17.88671875" style="128" customWidth="1"/>
    <col min="12807" max="12807" width="19.5546875" style="128" customWidth="1"/>
    <col min="12808" max="12808" width="26.88671875" style="128" customWidth="1"/>
    <col min="12809" max="12809" width="18.33203125" style="128" customWidth="1"/>
    <col min="12810" max="12810" width="12.109375" style="128" customWidth="1"/>
    <col min="12811" max="12811" width="14.6640625" style="128" customWidth="1"/>
    <col min="12812" max="12812" width="15.44140625" style="128" customWidth="1"/>
    <col min="12813" max="12814" width="14.6640625" style="128" customWidth="1"/>
    <col min="12815" max="13057" width="9.109375" style="128"/>
    <col min="13058" max="13058" width="10.44140625" style="128" customWidth="1"/>
    <col min="13059" max="13059" width="10" style="128" customWidth="1"/>
    <col min="13060" max="13060" width="15.6640625" style="128" customWidth="1"/>
    <col min="13061" max="13061" width="19" style="128" customWidth="1"/>
    <col min="13062" max="13062" width="17.88671875" style="128" customWidth="1"/>
    <col min="13063" max="13063" width="19.5546875" style="128" customWidth="1"/>
    <col min="13064" max="13064" width="26.88671875" style="128" customWidth="1"/>
    <col min="13065" max="13065" width="18.33203125" style="128" customWidth="1"/>
    <col min="13066" max="13066" width="12.109375" style="128" customWidth="1"/>
    <col min="13067" max="13067" width="14.6640625" style="128" customWidth="1"/>
    <col min="13068" max="13068" width="15.44140625" style="128" customWidth="1"/>
    <col min="13069" max="13070" width="14.6640625" style="128" customWidth="1"/>
    <col min="13071" max="13313" width="9.109375" style="128"/>
    <col min="13314" max="13314" width="10.44140625" style="128" customWidth="1"/>
    <col min="13315" max="13315" width="10" style="128" customWidth="1"/>
    <col min="13316" max="13316" width="15.6640625" style="128" customWidth="1"/>
    <col min="13317" max="13317" width="19" style="128" customWidth="1"/>
    <col min="13318" max="13318" width="17.88671875" style="128" customWidth="1"/>
    <col min="13319" max="13319" width="19.5546875" style="128" customWidth="1"/>
    <col min="13320" max="13320" width="26.88671875" style="128" customWidth="1"/>
    <col min="13321" max="13321" width="18.33203125" style="128" customWidth="1"/>
    <col min="13322" max="13322" width="12.109375" style="128" customWidth="1"/>
    <col min="13323" max="13323" width="14.6640625" style="128" customWidth="1"/>
    <col min="13324" max="13324" width="15.44140625" style="128" customWidth="1"/>
    <col min="13325" max="13326" width="14.6640625" style="128" customWidth="1"/>
    <col min="13327" max="13569" width="9.109375" style="128"/>
    <col min="13570" max="13570" width="10.44140625" style="128" customWidth="1"/>
    <col min="13571" max="13571" width="10" style="128" customWidth="1"/>
    <col min="13572" max="13572" width="15.6640625" style="128" customWidth="1"/>
    <col min="13573" max="13573" width="19" style="128" customWidth="1"/>
    <col min="13574" max="13574" width="17.88671875" style="128" customWidth="1"/>
    <col min="13575" max="13575" width="19.5546875" style="128" customWidth="1"/>
    <col min="13576" max="13576" width="26.88671875" style="128" customWidth="1"/>
    <col min="13577" max="13577" width="18.33203125" style="128" customWidth="1"/>
    <col min="13578" max="13578" width="12.109375" style="128" customWidth="1"/>
    <col min="13579" max="13579" width="14.6640625" style="128" customWidth="1"/>
    <col min="13580" max="13580" width="15.44140625" style="128" customWidth="1"/>
    <col min="13581" max="13582" width="14.6640625" style="128" customWidth="1"/>
    <col min="13583" max="13825" width="9.109375" style="128"/>
    <col min="13826" max="13826" width="10.44140625" style="128" customWidth="1"/>
    <col min="13827" max="13827" width="10" style="128" customWidth="1"/>
    <col min="13828" max="13828" width="15.6640625" style="128" customWidth="1"/>
    <col min="13829" max="13829" width="19" style="128" customWidth="1"/>
    <col min="13830" max="13830" width="17.88671875" style="128" customWidth="1"/>
    <col min="13831" max="13831" width="19.5546875" style="128" customWidth="1"/>
    <col min="13832" max="13832" width="26.88671875" style="128" customWidth="1"/>
    <col min="13833" max="13833" width="18.33203125" style="128" customWidth="1"/>
    <col min="13834" max="13834" width="12.109375" style="128" customWidth="1"/>
    <col min="13835" max="13835" width="14.6640625" style="128" customWidth="1"/>
    <col min="13836" max="13836" width="15.44140625" style="128" customWidth="1"/>
    <col min="13837" max="13838" width="14.6640625" style="128" customWidth="1"/>
    <col min="13839" max="14081" width="9.109375" style="128"/>
    <col min="14082" max="14082" width="10.44140625" style="128" customWidth="1"/>
    <col min="14083" max="14083" width="10" style="128" customWidth="1"/>
    <col min="14084" max="14084" width="15.6640625" style="128" customWidth="1"/>
    <col min="14085" max="14085" width="19" style="128" customWidth="1"/>
    <col min="14086" max="14086" width="17.88671875" style="128" customWidth="1"/>
    <col min="14087" max="14087" width="19.5546875" style="128" customWidth="1"/>
    <col min="14088" max="14088" width="26.88671875" style="128" customWidth="1"/>
    <col min="14089" max="14089" width="18.33203125" style="128" customWidth="1"/>
    <col min="14090" max="14090" width="12.109375" style="128" customWidth="1"/>
    <col min="14091" max="14091" width="14.6640625" style="128" customWidth="1"/>
    <col min="14092" max="14092" width="15.44140625" style="128" customWidth="1"/>
    <col min="14093" max="14094" width="14.6640625" style="128" customWidth="1"/>
    <col min="14095" max="14337" width="9.109375" style="128"/>
    <col min="14338" max="14338" width="10.44140625" style="128" customWidth="1"/>
    <col min="14339" max="14339" width="10" style="128" customWidth="1"/>
    <col min="14340" max="14340" width="15.6640625" style="128" customWidth="1"/>
    <col min="14341" max="14341" width="19" style="128" customWidth="1"/>
    <col min="14342" max="14342" width="17.88671875" style="128" customWidth="1"/>
    <col min="14343" max="14343" width="19.5546875" style="128" customWidth="1"/>
    <col min="14344" max="14344" width="26.88671875" style="128" customWidth="1"/>
    <col min="14345" max="14345" width="18.33203125" style="128" customWidth="1"/>
    <col min="14346" max="14346" width="12.109375" style="128" customWidth="1"/>
    <col min="14347" max="14347" width="14.6640625" style="128" customWidth="1"/>
    <col min="14348" max="14348" width="15.44140625" style="128" customWidth="1"/>
    <col min="14349" max="14350" width="14.6640625" style="128" customWidth="1"/>
    <col min="14351" max="14593" width="9.109375" style="128"/>
    <col min="14594" max="14594" width="10.44140625" style="128" customWidth="1"/>
    <col min="14595" max="14595" width="10" style="128" customWidth="1"/>
    <col min="14596" max="14596" width="15.6640625" style="128" customWidth="1"/>
    <col min="14597" max="14597" width="19" style="128" customWidth="1"/>
    <col min="14598" max="14598" width="17.88671875" style="128" customWidth="1"/>
    <col min="14599" max="14599" width="19.5546875" style="128" customWidth="1"/>
    <col min="14600" max="14600" width="26.88671875" style="128" customWidth="1"/>
    <col min="14601" max="14601" width="18.33203125" style="128" customWidth="1"/>
    <col min="14602" max="14602" width="12.109375" style="128" customWidth="1"/>
    <col min="14603" max="14603" width="14.6640625" style="128" customWidth="1"/>
    <col min="14604" max="14604" width="15.44140625" style="128" customWidth="1"/>
    <col min="14605" max="14606" width="14.6640625" style="128" customWidth="1"/>
    <col min="14607" max="14849" width="9.109375" style="128"/>
    <col min="14850" max="14850" width="10.44140625" style="128" customWidth="1"/>
    <col min="14851" max="14851" width="10" style="128" customWidth="1"/>
    <col min="14852" max="14852" width="15.6640625" style="128" customWidth="1"/>
    <col min="14853" max="14853" width="19" style="128" customWidth="1"/>
    <col min="14854" max="14854" width="17.88671875" style="128" customWidth="1"/>
    <col min="14855" max="14855" width="19.5546875" style="128" customWidth="1"/>
    <col min="14856" max="14856" width="26.88671875" style="128" customWidth="1"/>
    <col min="14857" max="14857" width="18.33203125" style="128" customWidth="1"/>
    <col min="14858" max="14858" width="12.109375" style="128" customWidth="1"/>
    <col min="14859" max="14859" width="14.6640625" style="128" customWidth="1"/>
    <col min="14860" max="14860" width="15.44140625" style="128" customWidth="1"/>
    <col min="14861" max="14862" width="14.6640625" style="128" customWidth="1"/>
    <col min="14863" max="15105" width="9.109375" style="128"/>
    <col min="15106" max="15106" width="10.44140625" style="128" customWidth="1"/>
    <col min="15107" max="15107" width="10" style="128" customWidth="1"/>
    <col min="15108" max="15108" width="15.6640625" style="128" customWidth="1"/>
    <col min="15109" max="15109" width="19" style="128" customWidth="1"/>
    <col min="15110" max="15110" width="17.88671875" style="128" customWidth="1"/>
    <col min="15111" max="15111" width="19.5546875" style="128" customWidth="1"/>
    <col min="15112" max="15112" width="26.88671875" style="128" customWidth="1"/>
    <col min="15113" max="15113" width="18.33203125" style="128" customWidth="1"/>
    <col min="15114" max="15114" width="12.109375" style="128" customWidth="1"/>
    <col min="15115" max="15115" width="14.6640625" style="128" customWidth="1"/>
    <col min="15116" max="15116" width="15.44140625" style="128" customWidth="1"/>
    <col min="15117" max="15118" width="14.6640625" style="128" customWidth="1"/>
    <col min="15119" max="15361" width="9.109375" style="128"/>
    <col min="15362" max="15362" width="10.44140625" style="128" customWidth="1"/>
    <col min="15363" max="15363" width="10" style="128" customWidth="1"/>
    <col min="15364" max="15364" width="15.6640625" style="128" customWidth="1"/>
    <col min="15365" max="15365" width="19" style="128" customWidth="1"/>
    <col min="15366" max="15366" width="17.88671875" style="128" customWidth="1"/>
    <col min="15367" max="15367" width="19.5546875" style="128" customWidth="1"/>
    <col min="15368" max="15368" width="26.88671875" style="128" customWidth="1"/>
    <col min="15369" max="15369" width="18.33203125" style="128" customWidth="1"/>
    <col min="15370" max="15370" width="12.109375" style="128" customWidth="1"/>
    <col min="15371" max="15371" width="14.6640625" style="128" customWidth="1"/>
    <col min="15372" max="15372" width="15.44140625" style="128" customWidth="1"/>
    <col min="15373" max="15374" width="14.6640625" style="128" customWidth="1"/>
    <col min="15375" max="15617" width="9.109375" style="128"/>
    <col min="15618" max="15618" width="10.44140625" style="128" customWidth="1"/>
    <col min="15619" max="15619" width="10" style="128" customWidth="1"/>
    <col min="15620" max="15620" width="15.6640625" style="128" customWidth="1"/>
    <col min="15621" max="15621" width="19" style="128" customWidth="1"/>
    <col min="15622" max="15622" width="17.88671875" style="128" customWidth="1"/>
    <col min="15623" max="15623" width="19.5546875" style="128" customWidth="1"/>
    <col min="15624" max="15624" width="26.88671875" style="128" customWidth="1"/>
    <col min="15625" max="15625" width="18.33203125" style="128" customWidth="1"/>
    <col min="15626" max="15626" width="12.109375" style="128" customWidth="1"/>
    <col min="15627" max="15627" width="14.6640625" style="128" customWidth="1"/>
    <col min="15628" max="15628" width="15.44140625" style="128" customWidth="1"/>
    <col min="15629" max="15630" width="14.6640625" style="128" customWidth="1"/>
    <col min="15631" max="15873" width="9.109375" style="128"/>
    <col min="15874" max="15874" width="10.44140625" style="128" customWidth="1"/>
    <col min="15875" max="15875" width="10" style="128" customWidth="1"/>
    <col min="15876" max="15876" width="15.6640625" style="128" customWidth="1"/>
    <col min="15877" max="15877" width="19" style="128" customWidth="1"/>
    <col min="15878" max="15878" width="17.88671875" style="128" customWidth="1"/>
    <col min="15879" max="15879" width="19.5546875" style="128" customWidth="1"/>
    <col min="15880" max="15880" width="26.88671875" style="128" customWidth="1"/>
    <col min="15881" max="15881" width="18.33203125" style="128" customWidth="1"/>
    <col min="15882" max="15882" width="12.109375" style="128" customWidth="1"/>
    <col min="15883" max="15883" width="14.6640625" style="128" customWidth="1"/>
    <col min="15884" max="15884" width="15.44140625" style="128" customWidth="1"/>
    <col min="15885" max="15886" width="14.6640625" style="128" customWidth="1"/>
    <col min="15887" max="16129" width="9.109375" style="128"/>
    <col min="16130" max="16130" width="10.44140625" style="128" customWidth="1"/>
    <col min="16131" max="16131" width="10" style="128" customWidth="1"/>
    <col min="16132" max="16132" width="15.6640625" style="128" customWidth="1"/>
    <col min="16133" max="16133" width="19" style="128" customWidth="1"/>
    <col min="16134" max="16134" width="17.88671875" style="128" customWidth="1"/>
    <col min="16135" max="16135" width="19.5546875" style="128" customWidth="1"/>
    <col min="16136" max="16136" width="26.88671875" style="128" customWidth="1"/>
    <col min="16137" max="16137" width="18.33203125" style="128" customWidth="1"/>
    <col min="16138" max="16138" width="12.109375" style="128" customWidth="1"/>
    <col min="16139" max="16139" width="14.6640625" style="128" customWidth="1"/>
    <col min="16140" max="16140" width="15.44140625" style="128" customWidth="1"/>
    <col min="16141" max="16142" width="14.6640625" style="128" customWidth="1"/>
    <col min="16143" max="16384" width="9.109375" style="128"/>
  </cols>
  <sheetData>
    <row r="1" spans="1:15" x14ac:dyDescent="0.25">
      <c r="C1" s="129" t="s">
        <v>671</v>
      </c>
      <c r="F1" s="129" t="s">
        <v>672</v>
      </c>
      <c r="H1" s="128" t="s">
        <v>675</v>
      </c>
      <c r="I1" s="142" t="s">
        <v>673</v>
      </c>
      <c r="J1" s="143"/>
      <c r="K1" s="142" t="s">
        <v>674</v>
      </c>
      <c r="L1" s="144"/>
      <c r="M1" s="145"/>
      <c r="N1" s="146"/>
    </row>
    <row r="2" spans="1:15" ht="15" customHeight="1" x14ac:dyDescent="0.25">
      <c r="A2" s="1180"/>
      <c r="B2" s="1180" t="s">
        <v>364</v>
      </c>
      <c r="C2" s="1180" t="s">
        <v>676</v>
      </c>
      <c r="D2" s="1180" t="s">
        <v>3612</v>
      </c>
      <c r="E2" s="1180" t="s">
        <v>3609</v>
      </c>
      <c r="F2" s="1180" t="s">
        <v>677</v>
      </c>
      <c r="G2" s="1180" t="s">
        <v>678</v>
      </c>
      <c r="H2" s="1182" t="s">
        <v>679</v>
      </c>
      <c r="I2" s="1181" t="s">
        <v>3610</v>
      </c>
      <c r="J2" s="1183" t="s">
        <v>680</v>
      </c>
      <c r="K2" s="1181" t="s">
        <v>3611</v>
      </c>
      <c r="L2" s="1177" t="s">
        <v>680</v>
      </c>
      <c r="M2" s="1178" t="s">
        <v>681</v>
      </c>
      <c r="N2" s="1179" t="s">
        <v>3613</v>
      </c>
      <c r="O2" s="1178" t="s">
        <v>682</v>
      </c>
    </row>
    <row r="3" spans="1:15" x14ac:dyDescent="0.25">
      <c r="A3" s="1180"/>
      <c r="B3" s="1180"/>
      <c r="C3" s="1180"/>
      <c r="D3" s="1180"/>
      <c r="E3" s="1180"/>
      <c r="F3" s="1180"/>
      <c r="G3" s="1180"/>
      <c r="H3" s="1182"/>
      <c r="I3" s="1181"/>
      <c r="J3" s="1183"/>
      <c r="K3" s="1181"/>
      <c r="L3" s="1177"/>
      <c r="M3" s="1178"/>
      <c r="N3" s="1179"/>
      <c r="O3" s="1178"/>
    </row>
    <row r="4" spans="1:15" x14ac:dyDescent="0.25">
      <c r="A4" s="129">
        <v>6</v>
      </c>
      <c r="B4" s="129" t="s">
        <v>390</v>
      </c>
      <c r="C4" s="129">
        <v>52</v>
      </c>
      <c r="D4" s="129">
        <v>30</v>
      </c>
      <c r="E4" s="129">
        <v>3</v>
      </c>
      <c r="F4" s="129">
        <v>6</v>
      </c>
      <c r="G4" s="151">
        <f t="shared" ref="G4:G35" si="0">(D4+F4)/C4</f>
        <v>0.69230769230769229</v>
      </c>
      <c r="H4" s="151">
        <f t="shared" ref="H4:H35" si="1">D4/C4</f>
        <v>0.57692307692307687</v>
      </c>
      <c r="I4" s="147">
        <f t="shared" ref="I4:I35" si="2">(3*D4)+E4+2*F4</f>
        <v>105</v>
      </c>
      <c r="J4" s="152">
        <f t="shared" ref="J4:J35" si="3">I4/C4</f>
        <v>2.0192307692307692</v>
      </c>
      <c r="K4" s="147">
        <f t="shared" ref="K4:K35" si="4">D4*2+F4*2+E4</f>
        <v>75</v>
      </c>
      <c r="L4" s="153">
        <f t="shared" ref="L4:L35" si="5">K4/C4</f>
        <v>1.4423076923076923</v>
      </c>
      <c r="M4" s="129">
        <v>105</v>
      </c>
      <c r="N4" s="154">
        <f t="shared" ref="N4:N35" si="6">M4/C4</f>
        <v>2.0192307692307692</v>
      </c>
    </row>
    <row r="5" spans="1:15" x14ac:dyDescent="0.25">
      <c r="A5" s="129">
        <v>4</v>
      </c>
      <c r="B5" s="129" t="s">
        <v>401</v>
      </c>
      <c r="C5" s="129">
        <v>52</v>
      </c>
      <c r="D5" s="129">
        <v>20</v>
      </c>
      <c r="E5" s="129">
        <v>2</v>
      </c>
      <c r="F5" s="129">
        <v>13</v>
      </c>
      <c r="G5" s="151">
        <f t="shared" si="0"/>
        <v>0.63461538461538458</v>
      </c>
      <c r="H5" s="151">
        <f t="shared" si="1"/>
        <v>0.38461538461538464</v>
      </c>
      <c r="I5" s="147">
        <f t="shared" si="2"/>
        <v>88</v>
      </c>
      <c r="J5" s="152">
        <f t="shared" si="3"/>
        <v>1.6923076923076923</v>
      </c>
      <c r="K5" s="147">
        <f t="shared" si="4"/>
        <v>68</v>
      </c>
      <c r="L5" s="153">
        <f t="shared" si="5"/>
        <v>1.3076923076923077</v>
      </c>
      <c r="M5" s="129">
        <v>88</v>
      </c>
      <c r="N5" s="156">
        <f t="shared" si="6"/>
        <v>1.6923076923076923</v>
      </c>
    </row>
    <row r="6" spans="1:15" x14ac:dyDescent="0.25">
      <c r="A6" s="129">
        <v>12</v>
      </c>
      <c r="B6" s="129" t="s">
        <v>452</v>
      </c>
      <c r="C6" s="129">
        <v>52</v>
      </c>
      <c r="D6" s="129">
        <v>23</v>
      </c>
      <c r="E6" s="129">
        <v>3</v>
      </c>
      <c r="F6" s="129">
        <v>7</v>
      </c>
      <c r="G6" s="151">
        <f t="shared" si="0"/>
        <v>0.57692307692307687</v>
      </c>
      <c r="H6" s="151">
        <f t="shared" si="1"/>
        <v>0.44230769230769229</v>
      </c>
      <c r="I6" s="147">
        <f t="shared" si="2"/>
        <v>86</v>
      </c>
      <c r="J6" s="152">
        <f t="shared" si="3"/>
        <v>1.6538461538461537</v>
      </c>
      <c r="K6" s="147">
        <f t="shared" si="4"/>
        <v>63</v>
      </c>
      <c r="L6" s="153">
        <f t="shared" si="5"/>
        <v>1.2115384615384615</v>
      </c>
      <c r="M6" s="129">
        <v>86</v>
      </c>
      <c r="N6" s="154">
        <f t="shared" si="6"/>
        <v>1.6538461538461537</v>
      </c>
    </row>
    <row r="7" spans="1:15" x14ac:dyDescent="0.25">
      <c r="A7" s="129">
        <v>8</v>
      </c>
      <c r="B7" s="129" t="s">
        <v>379</v>
      </c>
      <c r="C7" s="129">
        <v>52</v>
      </c>
      <c r="D7" s="129">
        <v>20</v>
      </c>
      <c r="E7" s="129">
        <v>5</v>
      </c>
      <c r="F7" s="129">
        <v>8</v>
      </c>
      <c r="G7" s="151">
        <f t="shared" si="0"/>
        <v>0.53846153846153844</v>
      </c>
      <c r="H7" s="151">
        <f t="shared" si="1"/>
        <v>0.38461538461538464</v>
      </c>
      <c r="I7" s="147">
        <f t="shared" si="2"/>
        <v>81</v>
      </c>
      <c r="J7" s="152">
        <f t="shared" si="3"/>
        <v>1.5576923076923077</v>
      </c>
      <c r="K7" s="147">
        <f t="shared" si="4"/>
        <v>61</v>
      </c>
      <c r="L7" s="153">
        <f t="shared" si="5"/>
        <v>1.1730769230769231</v>
      </c>
      <c r="M7" s="129">
        <v>83</v>
      </c>
      <c r="N7" s="154">
        <f t="shared" si="6"/>
        <v>1.5961538461538463</v>
      </c>
      <c r="O7" s="134" t="s">
        <v>3608</v>
      </c>
    </row>
    <row r="8" spans="1:15" x14ac:dyDescent="0.25">
      <c r="A8" s="129">
        <v>20</v>
      </c>
      <c r="B8" s="129" t="s">
        <v>428</v>
      </c>
      <c r="C8" s="129">
        <v>52</v>
      </c>
      <c r="D8" s="129">
        <v>22</v>
      </c>
      <c r="E8" s="129">
        <v>9</v>
      </c>
      <c r="F8" s="129">
        <v>3</v>
      </c>
      <c r="G8" s="151">
        <f t="shared" si="0"/>
        <v>0.48076923076923078</v>
      </c>
      <c r="H8" s="151">
        <f t="shared" si="1"/>
        <v>0.42307692307692307</v>
      </c>
      <c r="I8" s="147">
        <f t="shared" si="2"/>
        <v>81</v>
      </c>
      <c r="J8" s="152">
        <f t="shared" si="3"/>
        <v>1.5576923076923077</v>
      </c>
      <c r="K8" s="147">
        <f t="shared" si="4"/>
        <v>59</v>
      </c>
      <c r="L8" s="153">
        <f t="shared" si="5"/>
        <v>1.1346153846153846</v>
      </c>
      <c r="M8" s="129">
        <v>81</v>
      </c>
      <c r="N8" s="154">
        <f t="shared" si="6"/>
        <v>1.5576923076923077</v>
      </c>
      <c r="O8" s="128" t="s">
        <v>687</v>
      </c>
    </row>
    <row r="9" spans="1:15" x14ac:dyDescent="0.25">
      <c r="A9" s="129">
        <v>13</v>
      </c>
      <c r="B9" s="129" t="s">
        <v>449</v>
      </c>
      <c r="C9" s="129">
        <v>52</v>
      </c>
      <c r="D9" s="129">
        <v>20</v>
      </c>
      <c r="E9" s="129">
        <v>8</v>
      </c>
      <c r="F9" s="129">
        <v>6</v>
      </c>
      <c r="G9" s="151">
        <f t="shared" si="0"/>
        <v>0.5</v>
      </c>
      <c r="H9" s="151">
        <f t="shared" si="1"/>
        <v>0.38461538461538464</v>
      </c>
      <c r="I9" s="147">
        <f t="shared" si="2"/>
        <v>80</v>
      </c>
      <c r="J9" s="152">
        <f t="shared" si="3"/>
        <v>1.5384615384615385</v>
      </c>
      <c r="K9" s="147">
        <f t="shared" si="4"/>
        <v>60</v>
      </c>
      <c r="L9" s="153">
        <f t="shared" si="5"/>
        <v>1.1538461538461537</v>
      </c>
      <c r="M9" s="129">
        <v>80</v>
      </c>
      <c r="N9" s="154">
        <f t="shared" si="6"/>
        <v>1.5384615384615385</v>
      </c>
    </row>
    <row r="10" spans="1:15" x14ac:dyDescent="0.25">
      <c r="A10" s="129">
        <v>10</v>
      </c>
      <c r="B10" s="129" t="s">
        <v>458</v>
      </c>
      <c r="C10" s="129">
        <v>52</v>
      </c>
      <c r="D10" s="129">
        <v>23</v>
      </c>
      <c r="E10" s="129">
        <v>4</v>
      </c>
      <c r="F10" s="129">
        <v>2</v>
      </c>
      <c r="G10" s="151">
        <f t="shared" si="0"/>
        <v>0.48076923076923078</v>
      </c>
      <c r="H10" s="151">
        <f t="shared" si="1"/>
        <v>0.44230769230769229</v>
      </c>
      <c r="I10" s="147">
        <f t="shared" si="2"/>
        <v>77</v>
      </c>
      <c r="J10" s="152">
        <f t="shared" si="3"/>
        <v>1.4807692307692308</v>
      </c>
      <c r="K10" s="147">
        <f t="shared" si="4"/>
        <v>54</v>
      </c>
      <c r="L10" s="153">
        <f t="shared" si="5"/>
        <v>1.0384615384615385</v>
      </c>
      <c r="M10" s="129">
        <v>77</v>
      </c>
      <c r="N10" s="154">
        <f t="shared" si="6"/>
        <v>1.4807692307692308</v>
      </c>
    </row>
    <row r="11" spans="1:15" x14ac:dyDescent="0.25">
      <c r="A11" s="129">
        <v>14</v>
      </c>
      <c r="B11" s="129" t="s">
        <v>447</v>
      </c>
      <c r="C11" s="129">
        <v>52</v>
      </c>
      <c r="D11" s="129">
        <v>20</v>
      </c>
      <c r="E11" s="129">
        <v>6</v>
      </c>
      <c r="F11" s="129">
        <v>4</v>
      </c>
      <c r="G11" s="151">
        <f t="shared" si="0"/>
        <v>0.46153846153846156</v>
      </c>
      <c r="H11" s="151">
        <f t="shared" si="1"/>
        <v>0.38461538461538464</v>
      </c>
      <c r="I11" s="147">
        <f t="shared" si="2"/>
        <v>74</v>
      </c>
      <c r="J11" s="152">
        <f t="shared" si="3"/>
        <v>1.4230769230769231</v>
      </c>
      <c r="K11" s="147">
        <f t="shared" si="4"/>
        <v>54</v>
      </c>
      <c r="L11" s="153">
        <f t="shared" si="5"/>
        <v>1.0384615384615385</v>
      </c>
      <c r="M11" s="129">
        <v>74</v>
      </c>
      <c r="N11" s="154">
        <f t="shared" si="6"/>
        <v>1.4230769230769231</v>
      </c>
      <c r="O11" s="134" t="s">
        <v>686</v>
      </c>
    </row>
    <row r="12" spans="1:15" x14ac:dyDescent="0.25">
      <c r="A12" s="129">
        <v>16</v>
      </c>
      <c r="B12" s="129" t="s">
        <v>442</v>
      </c>
      <c r="C12" s="129">
        <v>52</v>
      </c>
      <c r="D12" s="129">
        <v>22</v>
      </c>
      <c r="E12" s="129">
        <v>6</v>
      </c>
      <c r="F12" s="129">
        <v>1</v>
      </c>
      <c r="G12" s="151">
        <f t="shared" si="0"/>
        <v>0.44230769230769229</v>
      </c>
      <c r="H12" s="151">
        <f t="shared" si="1"/>
        <v>0.42307692307692307</v>
      </c>
      <c r="I12" s="147">
        <f t="shared" si="2"/>
        <v>74</v>
      </c>
      <c r="J12" s="152">
        <f t="shared" si="3"/>
        <v>1.4230769230769231</v>
      </c>
      <c r="K12" s="147">
        <f t="shared" si="4"/>
        <v>52</v>
      </c>
      <c r="L12" s="153">
        <f t="shared" si="5"/>
        <v>1</v>
      </c>
      <c r="M12" s="129">
        <v>74</v>
      </c>
      <c r="N12" s="154">
        <f t="shared" si="6"/>
        <v>1.4230769230769231</v>
      </c>
    </row>
    <row r="13" spans="1:15" x14ac:dyDescent="0.25">
      <c r="A13" s="129">
        <v>2</v>
      </c>
      <c r="B13" s="129" t="s">
        <v>259</v>
      </c>
      <c r="C13" s="129">
        <v>52</v>
      </c>
      <c r="D13" s="129">
        <v>20</v>
      </c>
      <c r="E13" s="129">
        <v>1</v>
      </c>
      <c r="F13" s="129">
        <v>5</v>
      </c>
      <c r="G13" s="151">
        <f t="shared" si="0"/>
        <v>0.48076923076923078</v>
      </c>
      <c r="H13" s="151">
        <f t="shared" si="1"/>
        <v>0.38461538461538464</v>
      </c>
      <c r="I13" s="147">
        <f t="shared" si="2"/>
        <v>71</v>
      </c>
      <c r="J13" s="152">
        <f t="shared" si="3"/>
        <v>1.3653846153846154</v>
      </c>
      <c r="K13" s="147">
        <f t="shared" si="4"/>
        <v>51</v>
      </c>
      <c r="L13" s="153">
        <f t="shared" si="5"/>
        <v>0.98076923076923073</v>
      </c>
      <c r="M13" s="129">
        <v>71</v>
      </c>
      <c r="N13" s="154">
        <f t="shared" si="6"/>
        <v>1.3653846153846154</v>
      </c>
      <c r="O13" s="129"/>
    </row>
    <row r="14" spans="1:15" x14ac:dyDescent="0.25">
      <c r="A14" s="129">
        <v>7</v>
      </c>
      <c r="B14" s="129" t="s">
        <v>386</v>
      </c>
      <c r="C14" s="129">
        <v>52</v>
      </c>
      <c r="D14" s="129">
        <v>16</v>
      </c>
      <c r="E14" s="129">
        <v>7</v>
      </c>
      <c r="F14" s="129">
        <v>8</v>
      </c>
      <c r="G14" s="151">
        <f t="shared" si="0"/>
        <v>0.46153846153846156</v>
      </c>
      <c r="H14" s="151">
        <f t="shared" si="1"/>
        <v>0.30769230769230771</v>
      </c>
      <c r="I14" s="147">
        <f t="shared" si="2"/>
        <v>71</v>
      </c>
      <c r="J14" s="152">
        <f t="shared" si="3"/>
        <v>1.3653846153846154</v>
      </c>
      <c r="K14" s="147">
        <f t="shared" si="4"/>
        <v>55</v>
      </c>
      <c r="L14" s="153">
        <f t="shared" si="5"/>
        <v>1.0576923076923077</v>
      </c>
      <c r="M14" s="129">
        <v>71</v>
      </c>
      <c r="N14" s="154">
        <f t="shared" si="6"/>
        <v>1.3653846153846154</v>
      </c>
    </row>
    <row r="15" spans="1:15" x14ac:dyDescent="0.25">
      <c r="A15" s="129">
        <v>18</v>
      </c>
      <c r="B15" s="129" t="s">
        <v>434</v>
      </c>
      <c r="C15" s="129">
        <v>52</v>
      </c>
      <c r="D15" s="129">
        <v>19</v>
      </c>
      <c r="E15" s="129">
        <v>12</v>
      </c>
      <c r="F15" s="129">
        <v>1</v>
      </c>
      <c r="G15" s="151">
        <f t="shared" si="0"/>
        <v>0.38461538461538464</v>
      </c>
      <c r="H15" s="151">
        <f t="shared" si="1"/>
        <v>0.36538461538461536</v>
      </c>
      <c r="I15" s="147">
        <f t="shared" si="2"/>
        <v>71</v>
      </c>
      <c r="J15" s="152">
        <f t="shared" si="3"/>
        <v>1.3653846153846154</v>
      </c>
      <c r="K15" s="147">
        <f t="shared" si="4"/>
        <v>52</v>
      </c>
      <c r="L15" s="153">
        <f t="shared" si="5"/>
        <v>1</v>
      </c>
      <c r="M15" s="129">
        <v>71</v>
      </c>
      <c r="N15" s="154">
        <f t="shared" si="6"/>
        <v>1.3653846153846154</v>
      </c>
    </row>
    <row r="16" spans="1:15" x14ac:dyDescent="0.25">
      <c r="A16" s="129">
        <v>11</v>
      </c>
      <c r="B16" s="129" t="s">
        <v>455</v>
      </c>
      <c r="C16" s="129">
        <v>52</v>
      </c>
      <c r="D16" s="129">
        <v>19</v>
      </c>
      <c r="E16" s="129">
        <v>5</v>
      </c>
      <c r="F16" s="129">
        <v>4</v>
      </c>
      <c r="G16" s="151">
        <f t="shared" si="0"/>
        <v>0.44230769230769229</v>
      </c>
      <c r="H16" s="151">
        <f t="shared" si="1"/>
        <v>0.36538461538461536</v>
      </c>
      <c r="I16" s="147">
        <f t="shared" si="2"/>
        <v>70</v>
      </c>
      <c r="J16" s="152">
        <f t="shared" si="3"/>
        <v>1.3461538461538463</v>
      </c>
      <c r="K16" s="147">
        <f t="shared" si="4"/>
        <v>51</v>
      </c>
      <c r="L16" s="153">
        <f t="shared" si="5"/>
        <v>0.98076923076923073</v>
      </c>
      <c r="M16" s="129">
        <v>70</v>
      </c>
      <c r="N16" s="154">
        <f t="shared" si="6"/>
        <v>1.3461538461538463</v>
      </c>
    </row>
    <row r="17" spans="1:49" x14ac:dyDescent="0.25">
      <c r="A17" s="129">
        <v>30</v>
      </c>
      <c r="B17" s="129" t="s">
        <v>398</v>
      </c>
      <c r="C17" s="129">
        <v>52</v>
      </c>
      <c r="D17" s="129">
        <v>30</v>
      </c>
      <c r="E17" s="129">
        <v>5</v>
      </c>
      <c r="G17" s="151">
        <f t="shared" si="0"/>
        <v>0.57692307692307687</v>
      </c>
      <c r="H17" s="151">
        <f t="shared" si="1"/>
        <v>0.57692307692307687</v>
      </c>
      <c r="I17" s="147">
        <f t="shared" si="2"/>
        <v>95</v>
      </c>
      <c r="J17" s="152">
        <f t="shared" si="3"/>
        <v>1.8269230769230769</v>
      </c>
      <c r="K17" s="147">
        <f t="shared" si="4"/>
        <v>65</v>
      </c>
      <c r="L17" s="153">
        <f t="shared" si="5"/>
        <v>1.25</v>
      </c>
      <c r="M17" s="129">
        <v>65</v>
      </c>
      <c r="N17" s="154">
        <f t="shared" si="6"/>
        <v>1.25</v>
      </c>
      <c r="O17" s="128" t="s">
        <v>684</v>
      </c>
    </row>
    <row r="18" spans="1:49" x14ac:dyDescent="0.25">
      <c r="A18" s="129">
        <v>9</v>
      </c>
      <c r="B18" s="129" t="s">
        <v>372</v>
      </c>
      <c r="C18" s="129">
        <v>52</v>
      </c>
      <c r="D18" s="129">
        <v>14</v>
      </c>
      <c r="E18" s="129">
        <v>4</v>
      </c>
      <c r="F18" s="129">
        <v>9</v>
      </c>
      <c r="G18" s="151">
        <f t="shared" si="0"/>
        <v>0.44230769230769229</v>
      </c>
      <c r="H18" s="151">
        <f t="shared" si="1"/>
        <v>0.26923076923076922</v>
      </c>
      <c r="I18" s="147">
        <f t="shared" si="2"/>
        <v>64</v>
      </c>
      <c r="J18" s="152">
        <f t="shared" si="3"/>
        <v>1.2307692307692308</v>
      </c>
      <c r="K18" s="147">
        <f t="shared" si="4"/>
        <v>50</v>
      </c>
      <c r="L18" s="153">
        <f t="shared" si="5"/>
        <v>0.96153846153846156</v>
      </c>
      <c r="M18" s="129">
        <v>64</v>
      </c>
      <c r="N18" s="154">
        <f t="shared" si="6"/>
        <v>1.2307692307692308</v>
      </c>
    </row>
    <row r="19" spans="1:49" x14ac:dyDescent="0.25">
      <c r="A19" s="129">
        <v>17</v>
      </c>
      <c r="B19" s="129" t="s">
        <v>437</v>
      </c>
      <c r="C19" s="129">
        <v>52</v>
      </c>
      <c r="D19" s="129">
        <v>16</v>
      </c>
      <c r="E19" s="129">
        <v>12</v>
      </c>
      <c r="F19" s="129">
        <v>2</v>
      </c>
      <c r="G19" s="151">
        <f t="shared" si="0"/>
        <v>0.34615384615384615</v>
      </c>
      <c r="H19" s="151">
        <f t="shared" si="1"/>
        <v>0.30769230769230771</v>
      </c>
      <c r="I19" s="147">
        <f t="shared" si="2"/>
        <v>64</v>
      </c>
      <c r="J19" s="152">
        <f t="shared" si="3"/>
        <v>1.2307692307692308</v>
      </c>
      <c r="K19" s="147">
        <f t="shared" si="4"/>
        <v>48</v>
      </c>
      <c r="L19" s="153">
        <f t="shared" si="5"/>
        <v>0.92307692307692313</v>
      </c>
      <c r="M19" s="129">
        <v>64</v>
      </c>
      <c r="N19" s="154">
        <f t="shared" si="6"/>
        <v>1.2307692307692308</v>
      </c>
    </row>
    <row r="20" spans="1:49" x14ac:dyDescent="0.25">
      <c r="A20" s="129">
        <v>1</v>
      </c>
      <c r="B20" s="129" t="s">
        <v>1120</v>
      </c>
      <c r="C20" s="129">
        <v>52</v>
      </c>
      <c r="D20" s="129">
        <v>16</v>
      </c>
      <c r="E20" s="129">
        <v>9</v>
      </c>
      <c r="F20" s="129">
        <v>3</v>
      </c>
      <c r="G20" s="151">
        <f t="shared" si="0"/>
        <v>0.36538461538461536</v>
      </c>
      <c r="H20" s="151">
        <f t="shared" si="1"/>
        <v>0.30769230769230771</v>
      </c>
      <c r="I20" s="147">
        <f t="shared" si="2"/>
        <v>63</v>
      </c>
      <c r="J20" s="152">
        <f t="shared" si="3"/>
        <v>1.2115384615384615</v>
      </c>
      <c r="K20" s="147">
        <f t="shared" si="4"/>
        <v>47</v>
      </c>
      <c r="L20" s="153">
        <f t="shared" si="5"/>
        <v>0.90384615384615385</v>
      </c>
      <c r="M20" s="129">
        <v>63</v>
      </c>
      <c r="N20" s="154">
        <f t="shared" si="6"/>
        <v>1.2115384615384615</v>
      </c>
      <c r="O20" s="134" t="s">
        <v>3607</v>
      </c>
    </row>
    <row r="21" spans="1:49" x14ac:dyDescent="0.25">
      <c r="A21" s="129">
        <v>37</v>
      </c>
      <c r="B21" s="129" t="s">
        <v>454</v>
      </c>
      <c r="C21" s="129">
        <v>44</v>
      </c>
      <c r="D21" s="129">
        <v>28</v>
      </c>
      <c r="E21" s="129">
        <v>5</v>
      </c>
      <c r="G21" s="151">
        <f t="shared" si="0"/>
        <v>0.63636363636363635</v>
      </c>
      <c r="H21" s="151">
        <f t="shared" si="1"/>
        <v>0.63636363636363635</v>
      </c>
      <c r="I21" s="147">
        <f t="shared" si="2"/>
        <v>89</v>
      </c>
      <c r="J21" s="152">
        <f t="shared" si="3"/>
        <v>2.0227272727272729</v>
      </c>
      <c r="K21" s="147">
        <f t="shared" si="4"/>
        <v>61</v>
      </c>
      <c r="L21" s="153">
        <f t="shared" si="5"/>
        <v>1.3863636363636365</v>
      </c>
      <c r="M21" s="129">
        <v>61</v>
      </c>
      <c r="N21" s="154">
        <f t="shared" si="6"/>
        <v>1.3863636363636365</v>
      </c>
      <c r="O21" s="128" t="s">
        <v>684</v>
      </c>
    </row>
    <row r="22" spans="1:49" x14ac:dyDescent="0.25">
      <c r="A22" s="129">
        <v>15</v>
      </c>
      <c r="B22" s="129" t="s">
        <v>444</v>
      </c>
      <c r="C22" s="129">
        <v>52</v>
      </c>
      <c r="D22" s="129">
        <v>14</v>
      </c>
      <c r="E22" s="129">
        <v>9</v>
      </c>
      <c r="F22" s="129">
        <v>4</v>
      </c>
      <c r="G22" s="151">
        <f t="shared" si="0"/>
        <v>0.34615384615384615</v>
      </c>
      <c r="H22" s="151">
        <f t="shared" si="1"/>
        <v>0.26923076923076922</v>
      </c>
      <c r="I22" s="147">
        <f t="shared" si="2"/>
        <v>59</v>
      </c>
      <c r="J22" s="152">
        <f t="shared" si="3"/>
        <v>1.1346153846153846</v>
      </c>
      <c r="K22" s="147">
        <f t="shared" si="4"/>
        <v>45</v>
      </c>
      <c r="L22" s="153">
        <f t="shared" si="5"/>
        <v>0.86538461538461542</v>
      </c>
      <c r="M22" s="129">
        <v>59</v>
      </c>
      <c r="N22" s="154">
        <f t="shared" si="6"/>
        <v>1.1346153846153846</v>
      </c>
    </row>
    <row r="23" spans="1:49" x14ac:dyDescent="0.25">
      <c r="A23" s="129">
        <v>43</v>
      </c>
      <c r="B23" s="129" t="s">
        <v>436</v>
      </c>
      <c r="C23" s="129">
        <v>44</v>
      </c>
      <c r="D23" s="129">
        <v>28</v>
      </c>
      <c r="E23" s="129">
        <v>3</v>
      </c>
      <c r="G23" s="151">
        <f t="shared" si="0"/>
        <v>0.63636363636363635</v>
      </c>
      <c r="H23" s="151">
        <f t="shared" si="1"/>
        <v>0.63636363636363635</v>
      </c>
      <c r="I23" s="147">
        <f t="shared" si="2"/>
        <v>87</v>
      </c>
      <c r="J23" s="152">
        <f t="shared" si="3"/>
        <v>1.9772727272727273</v>
      </c>
      <c r="K23" s="147">
        <f t="shared" si="4"/>
        <v>59</v>
      </c>
      <c r="L23" s="153">
        <f t="shared" si="5"/>
        <v>1.3409090909090908</v>
      </c>
      <c r="M23" s="129">
        <v>59</v>
      </c>
      <c r="N23" s="154">
        <f t="shared" si="6"/>
        <v>1.3409090909090908</v>
      </c>
      <c r="O23" s="128" t="s">
        <v>684</v>
      </c>
    </row>
    <row r="24" spans="1:49" x14ac:dyDescent="0.25">
      <c r="A24" s="129">
        <v>23</v>
      </c>
      <c r="B24" s="129" t="s">
        <v>420</v>
      </c>
      <c r="C24" s="129">
        <v>52</v>
      </c>
      <c r="D24" s="129">
        <v>22</v>
      </c>
      <c r="E24" s="129">
        <v>12</v>
      </c>
      <c r="G24" s="151">
        <f t="shared" si="0"/>
        <v>0.42307692307692307</v>
      </c>
      <c r="H24" s="151">
        <f t="shared" si="1"/>
        <v>0.42307692307692307</v>
      </c>
      <c r="I24" s="147">
        <f t="shared" si="2"/>
        <v>78</v>
      </c>
      <c r="J24" s="152">
        <f t="shared" si="3"/>
        <v>1.5</v>
      </c>
      <c r="K24" s="147">
        <f t="shared" si="4"/>
        <v>56</v>
      </c>
      <c r="L24" s="153">
        <f t="shared" si="5"/>
        <v>1.0769230769230769</v>
      </c>
      <c r="M24" s="129">
        <v>56</v>
      </c>
      <c r="N24" s="154">
        <f t="shared" si="6"/>
        <v>1.0769230769230769</v>
      </c>
      <c r="O24" s="128" t="s">
        <v>684</v>
      </c>
    </row>
    <row r="25" spans="1:49" x14ac:dyDescent="0.25">
      <c r="A25" s="129">
        <v>5</v>
      </c>
      <c r="B25" s="129" t="s">
        <v>395</v>
      </c>
      <c r="C25" s="129">
        <v>52</v>
      </c>
      <c r="D25" s="129">
        <v>10</v>
      </c>
      <c r="E25" s="129">
        <v>5</v>
      </c>
      <c r="F25" s="129">
        <v>10</v>
      </c>
      <c r="G25" s="151">
        <f t="shared" si="0"/>
        <v>0.38461538461538464</v>
      </c>
      <c r="H25" s="151">
        <f t="shared" si="1"/>
        <v>0.19230769230769232</v>
      </c>
      <c r="I25" s="147">
        <f t="shared" si="2"/>
        <v>55</v>
      </c>
      <c r="J25" s="152">
        <f t="shared" si="3"/>
        <v>1.0576923076923077</v>
      </c>
      <c r="K25" s="147">
        <f t="shared" si="4"/>
        <v>45</v>
      </c>
      <c r="L25" s="153">
        <f t="shared" si="5"/>
        <v>0.86538461538461542</v>
      </c>
      <c r="M25" s="129">
        <v>55</v>
      </c>
      <c r="N25" s="154">
        <f t="shared" si="6"/>
        <v>1.0576923076923077</v>
      </c>
    </row>
    <row r="26" spans="1:49" x14ac:dyDescent="0.25">
      <c r="A26" s="129">
        <v>19</v>
      </c>
      <c r="B26" s="137" t="s">
        <v>431</v>
      </c>
      <c r="C26" s="129">
        <v>52</v>
      </c>
      <c r="D26" s="129">
        <v>16</v>
      </c>
      <c r="E26" s="129">
        <v>7</v>
      </c>
      <c r="F26" s="129">
        <v>0</v>
      </c>
      <c r="G26" s="151">
        <f t="shared" si="0"/>
        <v>0.30769230769230771</v>
      </c>
      <c r="H26" s="151">
        <f t="shared" si="1"/>
        <v>0.30769230769230771</v>
      </c>
      <c r="I26" s="147">
        <f t="shared" si="2"/>
        <v>55</v>
      </c>
      <c r="J26" s="152">
        <f t="shared" si="3"/>
        <v>1.0576923076923077</v>
      </c>
      <c r="K26" s="147">
        <f t="shared" si="4"/>
        <v>39</v>
      </c>
      <c r="L26" s="153">
        <f t="shared" si="5"/>
        <v>0.75</v>
      </c>
      <c r="M26" s="129">
        <v>55</v>
      </c>
      <c r="N26" s="154">
        <f t="shared" si="6"/>
        <v>1.0576923076923077</v>
      </c>
    </row>
    <row r="27" spans="1:49" x14ac:dyDescent="0.25">
      <c r="A27" s="129">
        <v>21</v>
      </c>
      <c r="B27" s="129" t="s">
        <v>425</v>
      </c>
      <c r="C27" s="129">
        <v>52</v>
      </c>
      <c r="D27" s="129">
        <v>22</v>
      </c>
      <c r="E27" s="129">
        <v>11</v>
      </c>
      <c r="G27" s="151">
        <f t="shared" si="0"/>
        <v>0.42307692307692307</v>
      </c>
      <c r="H27" s="151">
        <f t="shared" si="1"/>
        <v>0.42307692307692307</v>
      </c>
      <c r="I27" s="147">
        <f t="shared" si="2"/>
        <v>77</v>
      </c>
      <c r="J27" s="152">
        <f t="shared" si="3"/>
        <v>1.4807692307692308</v>
      </c>
      <c r="K27" s="147">
        <f t="shared" si="4"/>
        <v>55</v>
      </c>
      <c r="L27" s="153">
        <f t="shared" si="5"/>
        <v>1.0576923076923077</v>
      </c>
      <c r="M27" s="129">
        <v>55</v>
      </c>
      <c r="N27" s="154">
        <f t="shared" si="6"/>
        <v>1.0576923076923077</v>
      </c>
      <c r="O27" s="128" t="s">
        <v>684</v>
      </c>
    </row>
    <row r="28" spans="1:49" s="141" customFormat="1" x14ac:dyDescent="0.25">
      <c r="A28" s="129">
        <v>28</v>
      </c>
      <c r="B28" s="129" t="s">
        <v>406</v>
      </c>
      <c r="C28" s="129">
        <v>40</v>
      </c>
      <c r="D28" s="129">
        <v>24</v>
      </c>
      <c r="E28" s="129">
        <v>4</v>
      </c>
      <c r="F28" s="129">
        <v>1</v>
      </c>
      <c r="G28" s="151">
        <f t="shared" si="0"/>
        <v>0.625</v>
      </c>
      <c r="H28" s="151">
        <f t="shared" si="1"/>
        <v>0.6</v>
      </c>
      <c r="I28" s="147">
        <f t="shared" si="2"/>
        <v>78</v>
      </c>
      <c r="J28" s="152">
        <f t="shared" si="3"/>
        <v>1.95</v>
      </c>
      <c r="K28" s="147">
        <f t="shared" si="4"/>
        <v>54</v>
      </c>
      <c r="L28" s="153">
        <f t="shared" si="5"/>
        <v>1.35</v>
      </c>
      <c r="M28" s="129">
        <v>53</v>
      </c>
      <c r="N28" s="154">
        <f t="shared" si="6"/>
        <v>1.325</v>
      </c>
      <c r="O28" s="128" t="s">
        <v>654</v>
      </c>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row>
    <row r="29" spans="1:49" x14ac:dyDescent="0.25">
      <c r="A29" s="129">
        <v>24</v>
      </c>
      <c r="B29" s="129" t="s">
        <v>417</v>
      </c>
      <c r="C29" s="129">
        <v>52</v>
      </c>
      <c r="D29" s="129">
        <v>20</v>
      </c>
      <c r="E29" s="129">
        <v>12</v>
      </c>
      <c r="F29" s="129">
        <v>0</v>
      </c>
      <c r="G29" s="151">
        <f t="shared" si="0"/>
        <v>0.38461538461538464</v>
      </c>
      <c r="H29" s="151">
        <f t="shared" si="1"/>
        <v>0.38461538461538464</v>
      </c>
      <c r="I29" s="147">
        <f t="shared" si="2"/>
        <v>72</v>
      </c>
      <c r="J29" s="152">
        <f t="shared" si="3"/>
        <v>1.3846153846153846</v>
      </c>
      <c r="K29" s="147">
        <f t="shared" si="4"/>
        <v>52</v>
      </c>
      <c r="L29" s="153">
        <f t="shared" si="5"/>
        <v>1</v>
      </c>
      <c r="M29" s="129">
        <v>52</v>
      </c>
      <c r="N29" s="154">
        <f t="shared" si="6"/>
        <v>1</v>
      </c>
      <c r="O29" s="128" t="s">
        <v>685</v>
      </c>
    </row>
    <row r="30" spans="1:49" x14ac:dyDescent="0.25">
      <c r="A30" s="129">
        <v>3</v>
      </c>
      <c r="B30" s="129" t="s">
        <v>683</v>
      </c>
      <c r="C30" s="129">
        <v>52</v>
      </c>
      <c r="D30" s="129">
        <v>10</v>
      </c>
      <c r="E30" s="129">
        <v>6</v>
      </c>
      <c r="F30" s="129">
        <v>7</v>
      </c>
      <c r="G30" s="151">
        <f t="shared" si="0"/>
        <v>0.32692307692307693</v>
      </c>
      <c r="H30" s="151">
        <f t="shared" si="1"/>
        <v>0.19230769230769232</v>
      </c>
      <c r="I30" s="147">
        <f t="shared" si="2"/>
        <v>50</v>
      </c>
      <c r="J30" s="152">
        <f t="shared" si="3"/>
        <v>0.96153846153846156</v>
      </c>
      <c r="K30" s="147">
        <f t="shared" si="4"/>
        <v>40</v>
      </c>
      <c r="L30" s="153">
        <f t="shared" si="5"/>
        <v>0.76923076923076927</v>
      </c>
      <c r="M30" s="129">
        <v>50</v>
      </c>
      <c r="N30" s="154">
        <f t="shared" si="6"/>
        <v>0.96153846153846156</v>
      </c>
      <c r="X30" s="155"/>
    </row>
    <row r="31" spans="1:49" x14ac:dyDescent="0.25">
      <c r="A31" s="129">
        <v>39</v>
      </c>
      <c r="B31" s="129" t="s">
        <v>448</v>
      </c>
      <c r="C31" s="129">
        <v>44</v>
      </c>
      <c r="D31" s="129">
        <v>23</v>
      </c>
      <c r="E31" s="129">
        <v>3</v>
      </c>
      <c r="F31" s="129">
        <v>2</v>
      </c>
      <c r="G31" s="151">
        <f t="shared" si="0"/>
        <v>0.56818181818181823</v>
      </c>
      <c r="H31" s="151">
        <f t="shared" si="1"/>
        <v>0.52272727272727271</v>
      </c>
      <c r="I31" s="147">
        <f t="shared" si="2"/>
        <v>76</v>
      </c>
      <c r="J31" s="152">
        <f t="shared" si="3"/>
        <v>1.7272727272727273</v>
      </c>
      <c r="K31" s="147">
        <f t="shared" si="4"/>
        <v>53</v>
      </c>
      <c r="L31" s="153">
        <f t="shared" si="5"/>
        <v>1.2045454545454546</v>
      </c>
      <c r="M31" s="129">
        <v>50</v>
      </c>
      <c r="N31" s="154">
        <f t="shared" si="6"/>
        <v>1.1363636363636365</v>
      </c>
      <c r="O31" s="128" t="s">
        <v>688</v>
      </c>
    </row>
    <row r="32" spans="1:49" x14ac:dyDescent="0.25">
      <c r="A32" s="129">
        <v>40</v>
      </c>
      <c r="B32" s="129" t="s">
        <v>446</v>
      </c>
      <c r="C32" s="129">
        <v>44</v>
      </c>
      <c r="D32" s="129">
        <v>19</v>
      </c>
      <c r="E32" s="129">
        <v>1</v>
      </c>
      <c r="F32" s="129">
        <v>6</v>
      </c>
      <c r="G32" s="151">
        <f t="shared" si="0"/>
        <v>0.56818181818181823</v>
      </c>
      <c r="H32" s="151">
        <f t="shared" si="1"/>
        <v>0.43181818181818182</v>
      </c>
      <c r="I32" s="147">
        <f t="shared" si="2"/>
        <v>70</v>
      </c>
      <c r="J32" s="152">
        <f t="shared" si="3"/>
        <v>1.5909090909090908</v>
      </c>
      <c r="K32" s="147">
        <f t="shared" si="4"/>
        <v>51</v>
      </c>
      <c r="L32" s="153">
        <f t="shared" si="5"/>
        <v>1.1590909090909092</v>
      </c>
      <c r="M32" s="129">
        <v>50</v>
      </c>
      <c r="N32" s="154">
        <f t="shared" si="6"/>
        <v>1.1363636363636365</v>
      </c>
      <c r="O32" s="128" t="s">
        <v>688</v>
      </c>
    </row>
    <row r="33" spans="1:15" x14ac:dyDescent="0.25">
      <c r="A33" s="129">
        <v>25</v>
      </c>
      <c r="B33" s="129" t="s">
        <v>414</v>
      </c>
      <c r="C33" s="129">
        <v>40</v>
      </c>
      <c r="D33" s="129">
        <v>21</v>
      </c>
      <c r="E33" s="129">
        <v>7</v>
      </c>
      <c r="F33" s="129">
        <v>0</v>
      </c>
      <c r="G33" s="151">
        <f t="shared" si="0"/>
        <v>0.52500000000000002</v>
      </c>
      <c r="H33" s="151">
        <f t="shared" si="1"/>
        <v>0.52500000000000002</v>
      </c>
      <c r="I33" s="147">
        <f t="shared" si="2"/>
        <v>70</v>
      </c>
      <c r="J33" s="152">
        <f t="shared" si="3"/>
        <v>1.75</v>
      </c>
      <c r="K33" s="147">
        <f t="shared" si="4"/>
        <v>49</v>
      </c>
      <c r="L33" s="153">
        <f t="shared" si="5"/>
        <v>1.2250000000000001</v>
      </c>
      <c r="M33" s="129">
        <v>49</v>
      </c>
      <c r="N33" s="154">
        <f t="shared" si="6"/>
        <v>1.2250000000000001</v>
      </c>
      <c r="O33" s="128" t="s">
        <v>654</v>
      </c>
    </row>
    <row r="34" spans="1:15" x14ac:dyDescent="0.25">
      <c r="A34" s="129">
        <v>46</v>
      </c>
      <c r="B34" s="129" t="s">
        <v>427</v>
      </c>
      <c r="C34" s="129">
        <v>44</v>
      </c>
      <c r="D34" s="129">
        <v>22</v>
      </c>
      <c r="E34" s="129">
        <v>5</v>
      </c>
      <c r="G34" s="151">
        <f t="shared" si="0"/>
        <v>0.5</v>
      </c>
      <c r="H34" s="151">
        <f t="shared" si="1"/>
        <v>0.5</v>
      </c>
      <c r="I34" s="147">
        <f t="shared" si="2"/>
        <v>71</v>
      </c>
      <c r="J34" s="152">
        <f t="shared" si="3"/>
        <v>1.6136363636363635</v>
      </c>
      <c r="K34" s="147">
        <f t="shared" si="4"/>
        <v>49</v>
      </c>
      <c r="L34" s="153">
        <f t="shared" si="5"/>
        <v>1.1136363636363635</v>
      </c>
      <c r="M34" s="129">
        <v>49</v>
      </c>
      <c r="N34" s="154">
        <f t="shared" si="6"/>
        <v>1.1136363636363635</v>
      </c>
      <c r="O34" s="128" t="s">
        <v>684</v>
      </c>
    </row>
    <row r="35" spans="1:15" x14ac:dyDescent="0.25">
      <c r="A35" s="129">
        <v>22</v>
      </c>
      <c r="B35" s="129" t="s">
        <v>422</v>
      </c>
      <c r="C35" s="129">
        <v>52</v>
      </c>
      <c r="D35" s="129">
        <v>19</v>
      </c>
      <c r="E35" s="129">
        <v>10</v>
      </c>
      <c r="G35" s="151">
        <f t="shared" si="0"/>
        <v>0.36538461538461536</v>
      </c>
      <c r="H35" s="151">
        <f t="shared" si="1"/>
        <v>0.36538461538461536</v>
      </c>
      <c r="I35" s="147">
        <f t="shared" si="2"/>
        <v>67</v>
      </c>
      <c r="J35" s="152">
        <f t="shared" si="3"/>
        <v>1.2884615384615385</v>
      </c>
      <c r="K35" s="147">
        <f t="shared" si="4"/>
        <v>48</v>
      </c>
      <c r="L35" s="153">
        <f t="shared" si="5"/>
        <v>0.92307692307692313</v>
      </c>
      <c r="M35" s="129">
        <v>48</v>
      </c>
      <c r="N35" s="154">
        <f t="shared" si="6"/>
        <v>0.92307692307692313</v>
      </c>
      <c r="O35" s="128" t="s">
        <v>684</v>
      </c>
    </row>
    <row r="36" spans="1:15" x14ac:dyDescent="0.25">
      <c r="A36" s="129">
        <v>42</v>
      </c>
      <c r="B36" s="129" t="s">
        <v>440</v>
      </c>
      <c r="C36" s="129">
        <v>44</v>
      </c>
      <c r="D36" s="129">
        <v>20</v>
      </c>
      <c r="E36" s="129">
        <v>7</v>
      </c>
      <c r="G36" s="151">
        <f t="shared" ref="G36:G64" si="7">(D36+F36)/C36</f>
        <v>0.45454545454545453</v>
      </c>
      <c r="H36" s="151">
        <f t="shared" ref="H36:H64" si="8">D36/C36</f>
        <v>0.45454545454545453</v>
      </c>
      <c r="I36" s="147">
        <f t="shared" ref="I36:I64" si="9">(3*D36)+E36+2*F36</f>
        <v>67</v>
      </c>
      <c r="J36" s="152">
        <f t="shared" ref="J36:J64" si="10">I36/C36</f>
        <v>1.5227272727272727</v>
      </c>
      <c r="K36" s="147">
        <f t="shared" ref="K36:K64" si="11">D36*2+F36*2+E36</f>
        <v>47</v>
      </c>
      <c r="L36" s="153">
        <f t="shared" ref="L36:L64" si="12">K36/C36</f>
        <v>1.0681818181818181</v>
      </c>
      <c r="M36" s="129">
        <v>47</v>
      </c>
      <c r="N36" s="154">
        <f t="shared" ref="N36:N64" si="13">M36/C36</f>
        <v>1.0681818181818181</v>
      </c>
      <c r="O36" s="128" t="s">
        <v>684</v>
      </c>
    </row>
    <row r="37" spans="1:15" x14ac:dyDescent="0.25">
      <c r="A37" s="129">
        <v>29</v>
      </c>
      <c r="B37" s="129" t="s">
        <v>403</v>
      </c>
      <c r="C37" s="129">
        <v>38</v>
      </c>
      <c r="D37" s="129">
        <v>19</v>
      </c>
      <c r="E37" s="129">
        <v>10</v>
      </c>
      <c r="F37" s="129">
        <v>0</v>
      </c>
      <c r="G37" s="151">
        <f t="shared" si="7"/>
        <v>0.5</v>
      </c>
      <c r="H37" s="151">
        <f t="shared" si="8"/>
        <v>0.5</v>
      </c>
      <c r="I37" s="147">
        <f t="shared" si="9"/>
        <v>67</v>
      </c>
      <c r="J37" s="152">
        <f t="shared" si="10"/>
        <v>1.763157894736842</v>
      </c>
      <c r="K37" s="147">
        <f t="shared" si="11"/>
        <v>48</v>
      </c>
      <c r="L37" s="153">
        <f t="shared" si="12"/>
        <v>1.263157894736842</v>
      </c>
      <c r="M37" s="129">
        <v>45</v>
      </c>
      <c r="N37" s="154">
        <f t="shared" si="13"/>
        <v>1.1842105263157894</v>
      </c>
      <c r="O37" s="128" t="s">
        <v>654</v>
      </c>
    </row>
    <row r="38" spans="1:15" x14ac:dyDescent="0.25">
      <c r="A38" s="129">
        <v>27</v>
      </c>
      <c r="B38" s="129" t="s">
        <v>409</v>
      </c>
      <c r="C38" s="129">
        <v>44</v>
      </c>
      <c r="D38" s="129">
        <v>16</v>
      </c>
      <c r="E38" s="129">
        <v>8</v>
      </c>
      <c r="F38" s="129">
        <v>2</v>
      </c>
      <c r="G38" s="151">
        <f t="shared" si="7"/>
        <v>0.40909090909090912</v>
      </c>
      <c r="H38" s="151">
        <f t="shared" si="8"/>
        <v>0.36363636363636365</v>
      </c>
      <c r="I38" s="147">
        <f t="shared" si="9"/>
        <v>60</v>
      </c>
      <c r="J38" s="152">
        <f t="shared" si="10"/>
        <v>1.3636363636363635</v>
      </c>
      <c r="K38" s="147">
        <f t="shared" si="11"/>
        <v>44</v>
      </c>
      <c r="L38" s="153">
        <f t="shared" si="12"/>
        <v>1</v>
      </c>
      <c r="M38" s="129">
        <v>44</v>
      </c>
      <c r="N38" s="154">
        <f t="shared" si="13"/>
        <v>1</v>
      </c>
      <c r="O38" s="128" t="s">
        <v>654</v>
      </c>
    </row>
    <row r="39" spans="1:15" x14ac:dyDescent="0.25">
      <c r="A39" s="129">
        <v>35</v>
      </c>
      <c r="B39" s="129" t="s">
        <v>369</v>
      </c>
      <c r="C39" s="129">
        <v>34</v>
      </c>
      <c r="D39" s="129">
        <v>20</v>
      </c>
      <c r="E39" s="129">
        <v>4</v>
      </c>
      <c r="G39" s="151">
        <f t="shared" si="7"/>
        <v>0.58823529411764708</v>
      </c>
      <c r="H39" s="151">
        <f t="shared" si="8"/>
        <v>0.58823529411764708</v>
      </c>
      <c r="I39" s="147">
        <f t="shared" si="9"/>
        <v>64</v>
      </c>
      <c r="J39" s="152">
        <f t="shared" si="10"/>
        <v>1.8823529411764706</v>
      </c>
      <c r="K39" s="147">
        <f t="shared" si="11"/>
        <v>44</v>
      </c>
      <c r="L39" s="153">
        <f t="shared" si="12"/>
        <v>1.2941176470588236</v>
      </c>
      <c r="M39" s="129">
        <v>44</v>
      </c>
      <c r="N39" s="154">
        <f t="shared" si="13"/>
        <v>1.2941176470588236</v>
      </c>
      <c r="O39" s="128" t="s">
        <v>684</v>
      </c>
    </row>
    <row r="40" spans="1:15" x14ac:dyDescent="0.25">
      <c r="A40" s="129">
        <v>38</v>
      </c>
      <c r="B40" s="129" t="s">
        <v>451</v>
      </c>
      <c r="C40" s="129">
        <v>44</v>
      </c>
      <c r="D40" s="129">
        <v>17</v>
      </c>
      <c r="E40" s="129">
        <v>9</v>
      </c>
      <c r="G40" s="151">
        <f t="shared" si="7"/>
        <v>0.38636363636363635</v>
      </c>
      <c r="H40" s="151">
        <f t="shared" si="8"/>
        <v>0.38636363636363635</v>
      </c>
      <c r="I40" s="147">
        <f t="shared" si="9"/>
        <v>60</v>
      </c>
      <c r="J40" s="152">
        <f t="shared" si="10"/>
        <v>1.3636363636363635</v>
      </c>
      <c r="K40" s="147">
        <f t="shared" si="11"/>
        <v>43</v>
      </c>
      <c r="L40" s="153">
        <f t="shared" si="12"/>
        <v>0.97727272727272729</v>
      </c>
      <c r="M40" s="129">
        <v>43</v>
      </c>
      <c r="N40" s="154">
        <f t="shared" si="13"/>
        <v>0.97727272727272729</v>
      </c>
      <c r="O40" s="128" t="s">
        <v>685</v>
      </c>
    </row>
    <row r="41" spans="1:15" x14ac:dyDescent="0.25">
      <c r="A41" s="129">
        <v>26</v>
      </c>
      <c r="B41" s="129" t="s">
        <v>412</v>
      </c>
      <c r="C41" s="129">
        <v>44</v>
      </c>
      <c r="D41" s="129">
        <v>18</v>
      </c>
      <c r="E41" s="129">
        <v>7</v>
      </c>
      <c r="F41" s="129">
        <v>0</v>
      </c>
      <c r="G41" s="151">
        <f t="shared" si="7"/>
        <v>0.40909090909090912</v>
      </c>
      <c r="H41" s="151">
        <f t="shared" si="8"/>
        <v>0.40909090909090912</v>
      </c>
      <c r="I41" s="147">
        <f t="shared" si="9"/>
        <v>61</v>
      </c>
      <c r="J41" s="152">
        <f t="shared" si="10"/>
        <v>1.3863636363636365</v>
      </c>
      <c r="K41" s="147">
        <f t="shared" si="11"/>
        <v>43</v>
      </c>
      <c r="L41" s="153">
        <f t="shared" si="12"/>
        <v>0.97727272727272729</v>
      </c>
      <c r="M41" s="129">
        <v>42</v>
      </c>
      <c r="N41" s="154">
        <f t="shared" si="13"/>
        <v>0.95454545454545459</v>
      </c>
      <c r="O41" s="128" t="s">
        <v>654</v>
      </c>
    </row>
    <row r="42" spans="1:15" x14ac:dyDescent="0.25">
      <c r="A42" s="129">
        <v>36</v>
      </c>
      <c r="B42" s="129" t="s">
        <v>457</v>
      </c>
      <c r="C42" s="129">
        <v>44</v>
      </c>
      <c r="D42" s="129">
        <v>17</v>
      </c>
      <c r="E42" s="129">
        <v>6</v>
      </c>
      <c r="G42" s="151">
        <f t="shared" si="7"/>
        <v>0.38636363636363635</v>
      </c>
      <c r="H42" s="151">
        <f t="shared" si="8"/>
        <v>0.38636363636363635</v>
      </c>
      <c r="I42" s="147">
        <f t="shared" si="9"/>
        <v>57</v>
      </c>
      <c r="J42" s="152">
        <f t="shared" si="10"/>
        <v>1.2954545454545454</v>
      </c>
      <c r="K42" s="147">
        <f t="shared" si="11"/>
        <v>40</v>
      </c>
      <c r="L42" s="153">
        <f t="shared" si="12"/>
        <v>0.90909090909090906</v>
      </c>
      <c r="M42" s="129">
        <v>40</v>
      </c>
      <c r="N42" s="154">
        <f t="shared" si="13"/>
        <v>0.90909090909090906</v>
      </c>
      <c r="O42" s="128" t="s">
        <v>684</v>
      </c>
    </row>
    <row r="43" spans="1:15" x14ac:dyDescent="0.25">
      <c r="A43" s="129">
        <v>44</v>
      </c>
      <c r="B43" s="129" t="s">
        <v>433</v>
      </c>
      <c r="C43" s="129">
        <v>44</v>
      </c>
      <c r="D43" s="129">
        <v>16</v>
      </c>
      <c r="E43" s="129">
        <v>8</v>
      </c>
      <c r="G43" s="151">
        <f t="shared" si="7"/>
        <v>0.36363636363636365</v>
      </c>
      <c r="H43" s="151">
        <f t="shared" si="8"/>
        <v>0.36363636363636365</v>
      </c>
      <c r="I43" s="147">
        <f t="shared" si="9"/>
        <v>56</v>
      </c>
      <c r="J43" s="152">
        <f t="shared" si="10"/>
        <v>1.2727272727272727</v>
      </c>
      <c r="K43" s="147">
        <f t="shared" si="11"/>
        <v>40</v>
      </c>
      <c r="L43" s="153">
        <f t="shared" si="12"/>
        <v>0.90909090909090906</v>
      </c>
      <c r="M43" s="129">
        <v>40</v>
      </c>
      <c r="N43" s="154">
        <f t="shared" si="13"/>
        <v>0.90909090909090906</v>
      </c>
      <c r="O43" s="128" t="s">
        <v>684</v>
      </c>
    </row>
    <row r="44" spans="1:15" x14ac:dyDescent="0.25">
      <c r="A44" s="129">
        <v>47</v>
      </c>
      <c r="B44" s="129" t="s">
        <v>424</v>
      </c>
      <c r="C44" s="129">
        <v>44</v>
      </c>
      <c r="D44" s="129">
        <v>18</v>
      </c>
      <c r="E44" s="129">
        <v>4</v>
      </c>
      <c r="G44" s="151">
        <f t="shared" si="7"/>
        <v>0.40909090909090912</v>
      </c>
      <c r="H44" s="151">
        <f t="shared" si="8"/>
        <v>0.40909090909090912</v>
      </c>
      <c r="I44" s="147">
        <f t="shared" si="9"/>
        <v>58</v>
      </c>
      <c r="J44" s="152">
        <f t="shared" si="10"/>
        <v>1.3181818181818181</v>
      </c>
      <c r="K44" s="147">
        <f t="shared" si="11"/>
        <v>40</v>
      </c>
      <c r="L44" s="153">
        <f t="shared" si="12"/>
        <v>0.90909090909090906</v>
      </c>
      <c r="M44" s="149">
        <v>40</v>
      </c>
      <c r="N44" s="154">
        <f t="shared" si="13"/>
        <v>0.90909090909090906</v>
      </c>
      <c r="O44" s="128" t="s">
        <v>684</v>
      </c>
    </row>
    <row r="45" spans="1:15" x14ac:dyDescent="0.25">
      <c r="A45" s="129">
        <v>31</v>
      </c>
      <c r="B45" s="129" t="s">
        <v>393</v>
      </c>
      <c r="C45" s="129">
        <v>44</v>
      </c>
      <c r="D45" s="129">
        <v>18</v>
      </c>
      <c r="E45" s="129">
        <v>3</v>
      </c>
      <c r="G45" s="151">
        <f t="shared" si="7"/>
        <v>0.40909090909090912</v>
      </c>
      <c r="H45" s="151">
        <f t="shared" si="8"/>
        <v>0.40909090909090912</v>
      </c>
      <c r="I45" s="147">
        <f t="shared" si="9"/>
        <v>57</v>
      </c>
      <c r="J45" s="152">
        <f t="shared" si="10"/>
        <v>1.2954545454545454</v>
      </c>
      <c r="K45" s="147">
        <f t="shared" si="11"/>
        <v>39</v>
      </c>
      <c r="L45" s="153">
        <f t="shared" si="12"/>
        <v>0.88636363636363635</v>
      </c>
      <c r="M45" s="149">
        <v>39</v>
      </c>
      <c r="N45" s="154">
        <f t="shared" si="13"/>
        <v>0.88636363636363635</v>
      </c>
      <c r="O45" s="128" t="s">
        <v>684</v>
      </c>
    </row>
    <row r="46" spans="1:15" x14ac:dyDescent="0.25">
      <c r="A46" s="129">
        <v>33</v>
      </c>
      <c r="B46" s="129" t="s">
        <v>385</v>
      </c>
      <c r="C46" s="129">
        <v>34</v>
      </c>
      <c r="D46" s="129">
        <v>18</v>
      </c>
      <c r="E46" s="129">
        <v>3</v>
      </c>
      <c r="G46" s="151">
        <f t="shared" si="7"/>
        <v>0.52941176470588236</v>
      </c>
      <c r="H46" s="151">
        <f t="shared" si="8"/>
        <v>0.52941176470588236</v>
      </c>
      <c r="I46" s="147">
        <f t="shared" si="9"/>
        <v>57</v>
      </c>
      <c r="J46" s="152">
        <f t="shared" si="10"/>
        <v>1.6764705882352942</v>
      </c>
      <c r="K46" s="147">
        <f t="shared" si="11"/>
        <v>39</v>
      </c>
      <c r="L46" s="153">
        <f t="shared" si="12"/>
        <v>1.1470588235294117</v>
      </c>
      <c r="M46" s="149">
        <v>39</v>
      </c>
      <c r="N46" s="154">
        <f t="shared" si="13"/>
        <v>1.1470588235294117</v>
      </c>
      <c r="O46" s="128" t="s">
        <v>684</v>
      </c>
    </row>
    <row r="47" spans="1:15" x14ac:dyDescent="0.25">
      <c r="A47" s="129">
        <v>48</v>
      </c>
      <c r="B47" s="129" t="s">
        <v>421</v>
      </c>
      <c r="C47" s="129">
        <v>36</v>
      </c>
      <c r="D47" s="129">
        <v>13</v>
      </c>
      <c r="E47" s="129">
        <v>7</v>
      </c>
      <c r="G47" s="151">
        <f t="shared" si="7"/>
        <v>0.3611111111111111</v>
      </c>
      <c r="H47" s="151">
        <f t="shared" si="8"/>
        <v>0.3611111111111111</v>
      </c>
      <c r="I47" s="147">
        <f t="shared" si="9"/>
        <v>46</v>
      </c>
      <c r="J47" s="152">
        <f t="shared" si="10"/>
        <v>1.2777777777777777</v>
      </c>
      <c r="K47" s="147">
        <f t="shared" si="11"/>
        <v>33</v>
      </c>
      <c r="L47" s="153">
        <f t="shared" si="12"/>
        <v>0.91666666666666663</v>
      </c>
      <c r="M47" s="149">
        <v>33</v>
      </c>
      <c r="N47" s="154">
        <f t="shared" si="13"/>
        <v>0.91666666666666663</v>
      </c>
      <c r="O47" s="128" t="s">
        <v>684</v>
      </c>
    </row>
    <row r="48" spans="1:15" x14ac:dyDescent="0.25">
      <c r="A48" s="129">
        <v>32</v>
      </c>
      <c r="B48" s="129" t="s">
        <v>389</v>
      </c>
      <c r="C48" s="129">
        <v>34</v>
      </c>
      <c r="D48" s="129">
        <v>13</v>
      </c>
      <c r="E48" s="129">
        <v>6</v>
      </c>
      <c r="G48" s="151">
        <f t="shared" si="7"/>
        <v>0.38235294117647056</v>
      </c>
      <c r="H48" s="151">
        <f t="shared" si="8"/>
        <v>0.38235294117647056</v>
      </c>
      <c r="I48" s="147">
        <f t="shared" si="9"/>
        <v>45</v>
      </c>
      <c r="J48" s="152">
        <f t="shared" si="10"/>
        <v>1.3235294117647058</v>
      </c>
      <c r="K48" s="147">
        <f t="shared" si="11"/>
        <v>32</v>
      </c>
      <c r="L48" s="153">
        <f t="shared" si="12"/>
        <v>0.94117647058823528</v>
      </c>
      <c r="M48" s="149">
        <v>32</v>
      </c>
      <c r="N48" s="154">
        <f t="shared" si="13"/>
        <v>0.94117647058823528</v>
      </c>
      <c r="O48" s="128" t="s">
        <v>684</v>
      </c>
    </row>
    <row r="49" spans="1:15" x14ac:dyDescent="0.25">
      <c r="A49" s="129">
        <v>41</v>
      </c>
      <c r="B49" s="129" t="s">
        <v>443</v>
      </c>
      <c r="C49" s="129">
        <v>44</v>
      </c>
      <c r="D49" s="129">
        <v>12</v>
      </c>
      <c r="E49" s="129">
        <v>8</v>
      </c>
      <c r="G49" s="151">
        <f t="shared" si="7"/>
        <v>0.27272727272727271</v>
      </c>
      <c r="H49" s="151">
        <f t="shared" si="8"/>
        <v>0.27272727272727271</v>
      </c>
      <c r="I49" s="147">
        <f t="shared" si="9"/>
        <v>44</v>
      </c>
      <c r="J49" s="152">
        <f t="shared" si="10"/>
        <v>1</v>
      </c>
      <c r="K49" s="147">
        <f t="shared" si="11"/>
        <v>32</v>
      </c>
      <c r="L49" s="153">
        <f t="shared" si="12"/>
        <v>0.72727272727272729</v>
      </c>
      <c r="M49" s="149">
        <v>32</v>
      </c>
      <c r="N49" s="154">
        <f t="shared" si="13"/>
        <v>0.72727272727272729</v>
      </c>
      <c r="O49" s="128" t="s">
        <v>684</v>
      </c>
    </row>
    <row r="50" spans="1:15" x14ac:dyDescent="0.25">
      <c r="A50" s="129">
        <v>50</v>
      </c>
      <c r="B50" s="129" t="s">
        <v>416</v>
      </c>
      <c r="C50" s="129">
        <v>36</v>
      </c>
      <c r="D50" s="129">
        <v>13</v>
      </c>
      <c r="E50" s="129">
        <v>6</v>
      </c>
      <c r="G50" s="151">
        <f t="shared" si="7"/>
        <v>0.3611111111111111</v>
      </c>
      <c r="H50" s="151">
        <f t="shared" si="8"/>
        <v>0.3611111111111111</v>
      </c>
      <c r="I50" s="147">
        <f t="shared" si="9"/>
        <v>45</v>
      </c>
      <c r="J50" s="152">
        <f t="shared" si="10"/>
        <v>1.25</v>
      </c>
      <c r="K50" s="147">
        <f t="shared" si="11"/>
        <v>32</v>
      </c>
      <c r="L50" s="153">
        <f t="shared" si="12"/>
        <v>0.88888888888888884</v>
      </c>
      <c r="M50" s="149">
        <v>32</v>
      </c>
      <c r="N50" s="154">
        <f t="shared" si="13"/>
        <v>0.88888888888888884</v>
      </c>
      <c r="O50" s="128" t="s">
        <v>684</v>
      </c>
    </row>
    <row r="51" spans="1:15" x14ac:dyDescent="0.25">
      <c r="A51" s="129">
        <v>58</v>
      </c>
      <c r="B51" s="129" t="s">
        <v>387</v>
      </c>
      <c r="C51" s="129">
        <v>32</v>
      </c>
      <c r="D51" s="129">
        <v>14</v>
      </c>
      <c r="E51" s="129">
        <v>3</v>
      </c>
      <c r="G51" s="151">
        <f t="shared" si="7"/>
        <v>0.4375</v>
      </c>
      <c r="H51" s="151">
        <f t="shared" si="8"/>
        <v>0.4375</v>
      </c>
      <c r="I51" s="147">
        <f t="shared" si="9"/>
        <v>45</v>
      </c>
      <c r="J51" s="152">
        <f t="shared" si="10"/>
        <v>1.40625</v>
      </c>
      <c r="K51" s="147">
        <f t="shared" si="11"/>
        <v>31</v>
      </c>
      <c r="L51" s="153">
        <f t="shared" si="12"/>
        <v>0.96875</v>
      </c>
      <c r="M51" s="149">
        <v>31</v>
      </c>
      <c r="N51" s="154">
        <f t="shared" si="13"/>
        <v>0.96875</v>
      </c>
      <c r="O51" s="128" t="s">
        <v>684</v>
      </c>
    </row>
    <row r="52" spans="1:15" x14ac:dyDescent="0.25">
      <c r="A52" s="129">
        <v>60</v>
      </c>
      <c r="B52" s="129" t="s">
        <v>375</v>
      </c>
      <c r="C52" s="129">
        <v>32</v>
      </c>
      <c r="D52" s="129">
        <v>13</v>
      </c>
      <c r="E52" s="129">
        <v>4</v>
      </c>
      <c r="G52" s="151">
        <f t="shared" si="7"/>
        <v>0.40625</v>
      </c>
      <c r="H52" s="151">
        <f t="shared" si="8"/>
        <v>0.40625</v>
      </c>
      <c r="I52" s="147">
        <f t="shared" si="9"/>
        <v>43</v>
      </c>
      <c r="J52" s="152">
        <f t="shared" si="10"/>
        <v>1.34375</v>
      </c>
      <c r="K52" s="147">
        <f t="shared" si="11"/>
        <v>30</v>
      </c>
      <c r="L52" s="153">
        <f t="shared" si="12"/>
        <v>0.9375</v>
      </c>
      <c r="M52" s="149">
        <v>30</v>
      </c>
      <c r="N52" s="154">
        <f t="shared" si="13"/>
        <v>0.9375</v>
      </c>
      <c r="O52" s="128" t="s">
        <v>684</v>
      </c>
    </row>
    <row r="53" spans="1:15" x14ac:dyDescent="0.25">
      <c r="A53" s="129">
        <v>34</v>
      </c>
      <c r="B53" s="129" t="s">
        <v>377</v>
      </c>
      <c r="C53" s="129">
        <v>34</v>
      </c>
      <c r="D53" s="129">
        <v>12</v>
      </c>
      <c r="E53" s="129">
        <v>5</v>
      </c>
      <c r="G53" s="151">
        <f t="shared" si="7"/>
        <v>0.35294117647058826</v>
      </c>
      <c r="H53" s="151">
        <f t="shared" si="8"/>
        <v>0.35294117647058826</v>
      </c>
      <c r="I53" s="147">
        <f t="shared" si="9"/>
        <v>41</v>
      </c>
      <c r="J53" s="152">
        <f t="shared" si="10"/>
        <v>1.2058823529411764</v>
      </c>
      <c r="K53" s="147">
        <f t="shared" si="11"/>
        <v>29</v>
      </c>
      <c r="L53" s="153">
        <f t="shared" si="12"/>
        <v>0.8529411764705882</v>
      </c>
      <c r="M53" s="149">
        <v>29</v>
      </c>
      <c r="N53" s="154">
        <f t="shared" si="13"/>
        <v>0.8529411764705882</v>
      </c>
      <c r="O53" s="128" t="s">
        <v>684</v>
      </c>
    </row>
    <row r="54" spans="1:15" x14ac:dyDescent="0.25">
      <c r="A54" s="129">
        <v>57</v>
      </c>
      <c r="B54" s="129" t="s">
        <v>392</v>
      </c>
      <c r="C54" s="129">
        <v>32</v>
      </c>
      <c r="D54" s="129">
        <v>11</v>
      </c>
      <c r="E54" s="129">
        <v>6</v>
      </c>
      <c r="G54" s="151">
        <f t="shared" si="7"/>
        <v>0.34375</v>
      </c>
      <c r="H54" s="151">
        <f t="shared" si="8"/>
        <v>0.34375</v>
      </c>
      <c r="I54" s="147">
        <f t="shared" si="9"/>
        <v>39</v>
      </c>
      <c r="J54" s="152">
        <f t="shared" si="10"/>
        <v>1.21875</v>
      </c>
      <c r="K54" s="147">
        <f t="shared" si="11"/>
        <v>28</v>
      </c>
      <c r="L54" s="153">
        <f t="shared" si="12"/>
        <v>0.875</v>
      </c>
      <c r="M54" s="149">
        <v>28</v>
      </c>
      <c r="N54" s="154">
        <f t="shared" si="13"/>
        <v>0.875</v>
      </c>
      <c r="O54" s="128" t="s">
        <v>684</v>
      </c>
    </row>
    <row r="55" spans="1:15" x14ac:dyDescent="0.25">
      <c r="A55" s="129">
        <v>49</v>
      </c>
      <c r="B55" s="129" t="s">
        <v>419</v>
      </c>
      <c r="C55" s="129">
        <v>36</v>
      </c>
      <c r="D55" s="129">
        <v>12</v>
      </c>
      <c r="E55" s="129">
        <v>3</v>
      </c>
      <c r="G55" s="151">
        <f t="shared" si="7"/>
        <v>0.33333333333333331</v>
      </c>
      <c r="H55" s="151">
        <f t="shared" si="8"/>
        <v>0.33333333333333331</v>
      </c>
      <c r="I55" s="147">
        <f t="shared" si="9"/>
        <v>39</v>
      </c>
      <c r="J55" s="152">
        <f t="shared" si="10"/>
        <v>1.0833333333333333</v>
      </c>
      <c r="K55" s="147">
        <f t="shared" si="11"/>
        <v>27</v>
      </c>
      <c r="L55" s="153">
        <f t="shared" si="12"/>
        <v>0.75</v>
      </c>
      <c r="M55" s="149">
        <v>27</v>
      </c>
      <c r="N55" s="154">
        <f t="shared" si="13"/>
        <v>0.75</v>
      </c>
      <c r="O55" s="128" t="s">
        <v>684</v>
      </c>
    </row>
    <row r="56" spans="1:15" x14ac:dyDescent="0.25">
      <c r="A56" s="129">
        <v>56</v>
      </c>
      <c r="B56" s="129" t="s">
        <v>397</v>
      </c>
      <c r="C56" s="129">
        <v>32</v>
      </c>
      <c r="D56" s="129">
        <v>10</v>
      </c>
      <c r="E56" s="129">
        <v>7</v>
      </c>
      <c r="G56" s="151">
        <f t="shared" si="7"/>
        <v>0.3125</v>
      </c>
      <c r="H56" s="151">
        <f t="shared" si="8"/>
        <v>0.3125</v>
      </c>
      <c r="I56" s="147">
        <f t="shared" si="9"/>
        <v>37</v>
      </c>
      <c r="J56" s="152">
        <f t="shared" si="10"/>
        <v>1.15625</v>
      </c>
      <c r="K56" s="147">
        <f t="shared" si="11"/>
        <v>27</v>
      </c>
      <c r="L56" s="153">
        <f t="shared" si="12"/>
        <v>0.84375</v>
      </c>
      <c r="M56" s="149">
        <v>27</v>
      </c>
      <c r="N56" s="154">
        <f t="shared" si="13"/>
        <v>0.84375</v>
      </c>
      <c r="O56" s="128" t="s">
        <v>684</v>
      </c>
    </row>
    <row r="57" spans="1:15" x14ac:dyDescent="0.25">
      <c r="A57" s="129">
        <v>45</v>
      </c>
      <c r="B57" s="129" t="s">
        <v>430</v>
      </c>
      <c r="C57" s="129">
        <v>32</v>
      </c>
      <c r="D57" s="129">
        <v>12</v>
      </c>
      <c r="E57" s="129">
        <v>2</v>
      </c>
      <c r="G57" s="151">
        <f t="shared" si="7"/>
        <v>0.375</v>
      </c>
      <c r="H57" s="151">
        <f t="shared" si="8"/>
        <v>0.375</v>
      </c>
      <c r="I57" s="147">
        <f t="shared" si="9"/>
        <v>38</v>
      </c>
      <c r="J57" s="152">
        <f t="shared" si="10"/>
        <v>1.1875</v>
      </c>
      <c r="K57" s="147">
        <f t="shared" si="11"/>
        <v>26</v>
      </c>
      <c r="L57" s="153">
        <f t="shared" si="12"/>
        <v>0.8125</v>
      </c>
      <c r="M57" s="149">
        <v>26</v>
      </c>
      <c r="N57" s="154">
        <f t="shared" si="13"/>
        <v>0.8125</v>
      </c>
      <c r="O57" s="128" t="s">
        <v>684</v>
      </c>
    </row>
    <row r="58" spans="1:15" x14ac:dyDescent="0.25">
      <c r="A58" s="129">
        <v>51</v>
      </c>
      <c r="B58" s="129" t="s">
        <v>413</v>
      </c>
      <c r="C58" s="129">
        <v>36</v>
      </c>
      <c r="D58" s="129">
        <v>11</v>
      </c>
      <c r="E58" s="129">
        <v>4</v>
      </c>
      <c r="G58" s="151">
        <f t="shared" si="7"/>
        <v>0.30555555555555558</v>
      </c>
      <c r="H58" s="151">
        <f t="shared" si="8"/>
        <v>0.30555555555555558</v>
      </c>
      <c r="I58" s="147">
        <f t="shared" si="9"/>
        <v>37</v>
      </c>
      <c r="J58" s="152">
        <f t="shared" si="10"/>
        <v>1.0277777777777777</v>
      </c>
      <c r="K58" s="147">
        <f t="shared" si="11"/>
        <v>26</v>
      </c>
      <c r="L58" s="153">
        <f t="shared" si="12"/>
        <v>0.72222222222222221</v>
      </c>
      <c r="M58" s="149">
        <v>26</v>
      </c>
      <c r="N58" s="154">
        <f t="shared" si="13"/>
        <v>0.72222222222222221</v>
      </c>
      <c r="O58" s="128" t="s">
        <v>684</v>
      </c>
    </row>
    <row r="59" spans="1:15" x14ac:dyDescent="0.25">
      <c r="A59" s="129">
        <v>53</v>
      </c>
      <c r="B59" s="129" t="s">
        <v>408</v>
      </c>
      <c r="C59" s="129">
        <v>36</v>
      </c>
      <c r="D59" s="129">
        <v>10</v>
      </c>
      <c r="E59" s="129">
        <v>6</v>
      </c>
      <c r="G59" s="151">
        <f t="shared" si="7"/>
        <v>0.27777777777777779</v>
      </c>
      <c r="H59" s="151">
        <f t="shared" si="8"/>
        <v>0.27777777777777779</v>
      </c>
      <c r="I59" s="147">
        <f t="shared" si="9"/>
        <v>36</v>
      </c>
      <c r="J59" s="152">
        <f t="shared" si="10"/>
        <v>1</v>
      </c>
      <c r="K59" s="147">
        <f t="shared" si="11"/>
        <v>26</v>
      </c>
      <c r="L59" s="153">
        <f t="shared" si="12"/>
        <v>0.72222222222222221</v>
      </c>
      <c r="M59" s="149">
        <v>26</v>
      </c>
      <c r="N59" s="154">
        <f t="shared" si="13"/>
        <v>0.72222222222222221</v>
      </c>
      <c r="O59" s="128" t="s">
        <v>684</v>
      </c>
    </row>
    <row r="60" spans="1:15" x14ac:dyDescent="0.25">
      <c r="A60" s="129">
        <v>52</v>
      </c>
      <c r="B60" s="129" t="s">
        <v>411</v>
      </c>
      <c r="C60" s="129">
        <v>36</v>
      </c>
      <c r="D60" s="129">
        <v>10</v>
      </c>
      <c r="E60" s="129">
        <v>5</v>
      </c>
      <c r="G60" s="151">
        <f t="shared" si="7"/>
        <v>0.27777777777777779</v>
      </c>
      <c r="H60" s="151">
        <f t="shared" si="8"/>
        <v>0.27777777777777779</v>
      </c>
      <c r="I60" s="147">
        <f t="shared" si="9"/>
        <v>35</v>
      </c>
      <c r="J60" s="152">
        <f t="shared" si="10"/>
        <v>0.97222222222222221</v>
      </c>
      <c r="K60" s="147">
        <f t="shared" si="11"/>
        <v>25</v>
      </c>
      <c r="L60" s="153">
        <f t="shared" si="12"/>
        <v>0.69444444444444442</v>
      </c>
      <c r="M60" s="149">
        <v>25</v>
      </c>
      <c r="N60" s="154">
        <f t="shared" si="13"/>
        <v>0.69444444444444442</v>
      </c>
      <c r="O60" s="128" t="s">
        <v>684</v>
      </c>
    </row>
    <row r="61" spans="1:15" x14ac:dyDescent="0.25">
      <c r="A61" s="129">
        <v>54</v>
      </c>
      <c r="B61" s="129" t="s">
        <v>405</v>
      </c>
      <c r="C61" s="129">
        <v>36</v>
      </c>
      <c r="D61" s="129">
        <v>10</v>
      </c>
      <c r="E61" s="129">
        <v>2</v>
      </c>
      <c r="G61" s="151">
        <f t="shared" si="7"/>
        <v>0.27777777777777779</v>
      </c>
      <c r="H61" s="151">
        <f t="shared" si="8"/>
        <v>0.27777777777777779</v>
      </c>
      <c r="I61" s="147">
        <f t="shared" si="9"/>
        <v>32</v>
      </c>
      <c r="J61" s="152">
        <f t="shared" si="10"/>
        <v>0.88888888888888884</v>
      </c>
      <c r="K61" s="147">
        <f t="shared" si="11"/>
        <v>22</v>
      </c>
      <c r="L61" s="153">
        <f t="shared" si="12"/>
        <v>0.61111111111111116</v>
      </c>
      <c r="M61" s="149">
        <v>22</v>
      </c>
      <c r="N61" s="154">
        <f t="shared" si="13"/>
        <v>0.61111111111111116</v>
      </c>
      <c r="O61" s="128" t="s">
        <v>684</v>
      </c>
    </row>
    <row r="62" spans="1:15" x14ac:dyDescent="0.25">
      <c r="A62" s="129">
        <v>55</v>
      </c>
      <c r="B62" s="129" t="s">
        <v>402</v>
      </c>
      <c r="C62" s="129">
        <v>36</v>
      </c>
      <c r="D62" s="129">
        <v>9</v>
      </c>
      <c r="E62" s="129">
        <v>2</v>
      </c>
      <c r="G62" s="151">
        <f t="shared" si="7"/>
        <v>0.25</v>
      </c>
      <c r="H62" s="151">
        <f t="shared" si="8"/>
        <v>0.25</v>
      </c>
      <c r="I62" s="147">
        <f t="shared" si="9"/>
        <v>29</v>
      </c>
      <c r="J62" s="152">
        <f t="shared" si="10"/>
        <v>0.80555555555555558</v>
      </c>
      <c r="K62" s="147">
        <f t="shared" si="11"/>
        <v>20</v>
      </c>
      <c r="L62" s="153">
        <f t="shared" si="12"/>
        <v>0.55555555555555558</v>
      </c>
      <c r="M62" s="149">
        <v>20</v>
      </c>
      <c r="N62" s="154">
        <f t="shared" si="13"/>
        <v>0.55555555555555558</v>
      </c>
      <c r="O62" s="128" t="s">
        <v>684</v>
      </c>
    </row>
    <row r="63" spans="1:15" x14ac:dyDescent="0.25">
      <c r="A63" s="129">
        <v>59</v>
      </c>
      <c r="B63" s="129" t="s">
        <v>382</v>
      </c>
      <c r="C63" s="129">
        <v>32</v>
      </c>
      <c r="D63" s="129">
        <v>7</v>
      </c>
      <c r="E63" s="129">
        <v>6</v>
      </c>
      <c r="G63" s="151">
        <f t="shared" si="7"/>
        <v>0.21875</v>
      </c>
      <c r="H63" s="151">
        <f t="shared" si="8"/>
        <v>0.21875</v>
      </c>
      <c r="I63" s="147">
        <f t="shared" si="9"/>
        <v>27</v>
      </c>
      <c r="J63" s="152">
        <f t="shared" si="10"/>
        <v>0.84375</v>
      </c>
      <c r="K63" s="147">
        <f t="shared" si="11"/>
        <v>20</v>
      </c>
      <c r="L63" s="153">
        <f t="shared" si="12"/>
        <v>0.625</v>
      </c>
      <c r="M63" s="149">
        <v>20</v>
      </c>
      <c r="N63" s="154">
        <f t="shared" si="13"/>
        <v>0.625</v>
      </c>
      <c r="O63" s="128" t="s">
        <v>684</v>
      </c>
    </row>
    <row r="64" spans="1:15" x14ac:dyDescent="0.25">
      <c r="A64" s="129">
        <v>61</v>
      </c>
      <c r="B64" s="129" t="s">
        <v>367</v>
      </c>
      <c r="C64" s="129">
        <v>22</v>
      </c>
      <c r="D64" s="129">
        <v>10</v>
      </c>
      <c r="E64" s="129">
        <v>0</v>
      </c>
      <c r="G64" s="151">
        <f t="shared" si="7"/>
        <v>0.45454545454545453</v>
      </c>
      <c r="H64" s="151">
        <f t="shared" si="8"/>
        <v>0.45454545454545453</v>
      </c>
      <c r="I64" s="147">
        <f t="shared" si="9"/>
        <v>30</v>
      </c>
      <c r="J64" s="152">
        <f t="shared" si="10"/>
        <v>1.3636363636363635</v>
      </c>
      <c r="K64" s="147">
        <f t="shared" si="11"/>
        <v>20</v>
      </c>
      <c r="L64" s="153">
        <f t="shared" si="12"/>
        <v>0.90909090909090906</v>
      </c>
      <c r="M64" s="149">
        <v>20</v>
      </c>
      <c r="N64" s="154">
        <f t="shared" si="13"/>
        <v>0.90909090909090906</v>
      </c>
      <c r="O64" s="134" t="s">
        <v>689</v>
      </c>
    </row>
  </sheetData>
  <autoFilter ref="A3:O64" xr:uid="{00000000-0009-0000-0000-000023000000}">
    <sortState xmlns:xlrd2="http://schemas.microsoft.com/office/spreadsheetml/2017/richdata2" ref="A5:O64">
      <sortCondition descending="1" ref="M3:M64"/>
    </sortState>
  </autoFilter>
  <mergeCells count="15">
    <mergeCell ref="A2:A3"/>
    <mergeCell ref="B2:B3"/>
    <mergeCell ref="C2:C3"/>
    <mergeCell ref="D2:D3"/>
    <mergeCell ref="F2:F3"/>
    <mergeCell ref="L2:L3"/>
    <mergeCell ref="M2:M3"/>
    <mergeCell ref="N2:N3"/>
    <mergeCell ref="O2:O3"/>
    <mergeCell ref="E2:E3"/>
    <mergeCell ref="K2:K3"/>
    <mergeCell ref="I2:I3"/>
    <mergeCell ref="G2:G3"/>
    <mergeCell ref="H2:H3"/>
    <mergeCell ref="J2:J3"/>
  </mergeCells>
  <pageMargins left="0.7" right="0.7" top="0.78740157499999996" bottom="0.78740157499999996" header="0.3" footer="0.3"/>
  <pageSetup paperSize="9" orientation="portrait" verticalDpi="0"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2:V85"/>
  <sheetViews>
    <sheetView topLeftCell="K1" workbookViewId="0">
      <selection activeCell="L12" sqref="L12"/>
    </sheetView>
  </sheetViews>
  <sheetFormatPr defaultColWidth="9.109375" defaultRowHeight="14.4" x14ac:dyDescent="0.3"/>
  <cols>
    <col min="1" max="1" width="9.109375" style="2"/>
    <col min="2" max="2" width="14.88671875" style="2" customWidth="1"/>
    <col min="3" max="4" width="16.109375" style="2" customWidth="1"/>
    <col min="5" max="5" width="20.33203125" style="2" customWidth="1"/>
    <col min="6" max="6" width="18.5546875" style="2" customWidth="1"/>
    <col min="7" max="7" width="21.6640625" style="2" customWidth="1"/>
    <col min="8" max="8" width="17.33203125" style="2" customWidth="1"/>
    <col min="9" max="9" width="17.88671875" style="2" customWidth="1"/>
    <col min="10" max="10" width="59.33203125" style="2" customWidth="1"/>
    <col min="11" max="11" width="9.109375" style="2"/>
    <col min="12" max="12" width="11.5546875" style="2" customWidth="1"/>
    <col min="13" max="13" width="15" style="2" customWidth="1"/>
    <col min="14" max="15" width="9.109375" style="2"/>
    <col min="16" max="16" width="14.88671875" style="2" customWidth="1"/>
    <col min="17" max="17" width="13.6640625" style="2" customWidth="1"/>
    <col min="18" max="18" width="21.44140625" style="2" customWidth="1"/>
    <col min="19" max="19" width="20.88671875" style="2" customWidth="1"/>
    <col min="20" max="20" width="14.33203125" style="2" customWidth="1"/>
    <col min="21" max="21" width="15.44140625" style="2" customWidth="1"/>
    <col min="22" max="22" width="15.88671875" style="2" customWidth="1"/>
    <col min="23" max="16384" width="9.109375" style="2"/>
  </cols>
  <sheetData>
    <row r="2" spans="2:22" x14ac:dyDescent="0.3">
      <c r="B2" s="8" t="s">
        <v>1068</v>
      </c>
      <c r="D2" s="2" t="s">
        <v>1059</v>
      </c>
      <c r="E2" s="2" t="s">
        <v>332</v>
      </c>
      <c r="F2" s="4">
        <v>39004</v>
      </c>
      <c r="G2" s="2" t="s">
        <v>1067</v>
      </c>
      <c r="H2" s="2" t="s">
        <v>16</v>
      </c>
      <c r="I2" s="60">
        <v>0.29444444444444445</v>
      </c>
    </row>
    <row r="3" spans="2:22" x14ac:dyDescent="0.3">
      <c r="B3" s="8"/>
      <c r="F3" s="4"/>
    </row>
    <row r="4" spans="2:22" x14ac:dyDescent="0.3">
      <c r="B4" s="1184" t="s">
        <v>1069</v>
      </c>
      <c r="C4" s="1184"/>
      <c r="D4" s="1184"/>
      <c r="E4" s="1184"/>
      <c r="F4" s="1184"/>
      <c r="G4" s="1184"/>
      <c r="H4" s="1184"/>
      <c r="I4" s="1184"/>
      <c r="J4" s="1184"/>
      <c r="K4"/>
      <c r="L4"/>
    </row>
    <row r="5" spans="2:22" x14ac:dyDescent="0.3">
      <c r="Q5" s="1188" t="s">
        <v>1080</v>
      </c>
      <c r="R5" s="1188"/>
      <c r="S5" s="1188"/>
      <c r="T5" s="1188"/>
      <c r="U5" s="1188"/>
      <c r="V5" s="1188"/>
    </row>
    <row r="6" spans="2:22" x14ac:dyDescent="0.3">
      <c r="B6" s="2" t="s">
        <v>1076</v>
      </c>
      <c r="C6" s="2" t="s">
        <v>1053</v>
      </c>
      <c r="D6" s="2" t="s">
        <v>1058</v>
      </c>
      <c r="E6" s="2" t="s">
        <v>15</v>
      </c>
      <c r="F6" s="2" t="s">
        <v>11</v>
      </c>
      <c r="G6" s="2" t="s">
        <v>12</v>
      </c>
      <c r="H6" s="2" t="s">
        <v>1051</v>
      </c>
      <c r="I6" s="2" t="s">
        <v>1047</v>
      </c>
      <c r="J6" s="2" t="s">
        <v>1119</v>
      </c>
    </row>
    <row r="7" spans="2:22" x14ac:dyDescent="0.3">
      <c r="B7" s="2">
        <v>1</v>
      </c>
      <c r="C7" s="2" t="s">
        <v>452</v>
      </c>
      <c r="D7" s="2" t="s">
        <v>1059</v>
      </c>
      <c r="E7" s="2" t="s">
        <v>331</v>
      </c>
      <c r="F7" s="4">
        <v>39843</v>
      </c>
      <c r="G7" s="2" t="s">
        <v>1054</v>
      </c>
      <c r="H7" s="2" t="s">
        <v>16</v>
      </c>
      <c r="I7" s="60">
        <v>0.16805555555555554</v>
      </c>
      <c r="J7" s="2" t="s">
        <v>1055</v>
      </c>
      <c r="Q7" s="294" t="s">
        <v>1079</v>
      </c>
      <c r="R7" s="2" t="s">
        <v>797</v>
      </c>
      <c r="S7" s="2" t="s">
        <v>798</v>
      </c>
      <c r="T7" s="2" t="s">
        <v>817</v>
      </c>
      <c r="U7" s="2" t="s">
        <v>1081</v>
      </c>
      <c r="V7" s="2" t="s">
        <v>1082</v>
      </c>
    </row>
    <row r="8" spans="2:22" x14ac:dyDescent="0.3">
      <c r="B8" s="2">
        <v>2</v>
      </c>
      <c r="C8" s="2" t="s">
        <v>455</v>
      </c>
      <c r="D8" s="2" t="s">
        <v>1059</v>
      </c>
      <c r="E8" s="2" t="s">
        <v>331</v>
      </c>
      <c r="F8" s="4">
        <v>40186</v>
      </c>
      <c r="G8" s="2" t="s">
        <v>1054</v>
      </c>
      <c r="H8" s="2" t="s">
        <v>743</v>
      </c>
      <c r="I8" s="60">
        <v>0.17222222222222225</v>
      </c>
      <c r="J8" s="2" t="s">
        <v>1056</v>
      </c>
      <c r="Q8" s="2" t="s">
        <v>447</v>
      </c>
      <c r="R8" s="2">
        <v>14</v>
      </c>
      <c r="S8" s="2">
        <v>0</v>
      </c>
      <c r="T8" s="2">
        <f>R8+S8</f>
        <v>14</v>
      </c>
    </row>
    <row r="9" spans="2:22" x14ac:dyDescent="0.3">
      <c r="B9" s="2">
        <v>3</v>
      </c>
      <c r="C9" s="2" t="s">
        <v>455</v>
      </c>
      <c r="D9" s="2" t="s">
        <v>1060</v>
      </c>
      <c r="E9" s="2" t="s">
        <v>333</v>
      </c>
      <c r="F9" s="4">
        <v>40245</v>
      </c>
      <c r="G9" s="2" t="s">
        <v>1057</v>
      </c>
      <c r="H9" s="2" t="s">
        <v>743</v>
      </c>
      <c r="I9" s="60">
        <v>4.3750000000000004E-2</v>
      </c>
      <c r="J9" s="2" t="s">
        <v>1061</v>
      </c>
      <c r="Q9" s="2" t="s">
        <v>449</v>
      </c>
      <c r="R9" s="2">
        <v>25</v>
      </c>
      <c r="S9" s="2">
        <v>0</v>
      </c>
      <c r="T9" s="2">
        <f t="shared" ref="T9:T20" si="0">R9+S9</f>
        <v>25</v>
      </c>
      <c r="U9" s="2">
        <v>2</v>
      </c>
    </row>
    <row r="10" spans="2:22" x14ac:dyDescent="0.3">
      <c r="B10" s="2">
        <v>4</v>
      </c>
      <c r="C10" s="2" t="s">
        <v>372</v>
      </c>
      <c r="D10" s="2" t="s">
        <v>1059</v>
      </c>
      <c r="E10" s="2" t="s">
        <v>333</v>
      </c>
      <c r="F10" s="4">
        <v>40937</v>
      </c>
      <c r="G10" s="2" t="s">
        <v>1066</v>
      </c>
      <c r="H10" s="2" t="s">
        <v>16</v>
      </c>
      <c r="I10" s="60">
        <v>0.20902777777777778</v>
      </c>
      <c r="J10" s="2" t="s">
        <v>1065</v>
      </c>
      <c r="Q10" s="2" t="s">
        <v>452</v>
      </c>
      <c r="R10" s="2">
        <v>25</v>
      </c>
      <c r="S10" s="2">
        <v>1</v>
      </c>
      <c r="T10" s="2">
        <f t="shared" si="0"/>
        <v>26</v>
      </c>
      <c r="U10" s="2">
        <v>2</v>
      </c>
    </row>
    <row r="11" spans="2:22" x14ac:dyDescent="0.3">
      <c r="B11" s="2">
        <v>5</v>
      </c>
      <c r="C11" s="2" t="s">
        <v>379</v>
      </c>
      <c r="D11" s="2" t="s">
        <v>1062</v>
      </c>
      <c r="E11" s="2" t="s">
        <v>331</v>
      </c>
      <c r="F11" s="4">
        <v>41341</v>
      </c>
      <c r="G11" s="2" t="s">
        <v>1054</v>
      </c>
      <c r="H11" s="2" t="s">
        <v>743</v>
      </c>
      <c r="I11" s="60">
        <v>4.3055555555555562E-2</v>
      </c>
      <c r="J11" s="2" t="s">
        <v>1061</v>
      </c>
      <c r="Q11" s="2" t="s">
        <v>455</v>
      </c>
      <c r="R11" s="2">
        <v>26</v>
      </c>
      <c r="S11" s="2">
        <v>2</v>
      </c>
      <c r="T11" s="2">
        <f t="shared" si="0"/>
        <v>28</v>
      </c>
      <c r="U11" s="2">
        <v>3</v>
      </c>
    </row>
    <row r="12" spans="2:22" x14ac:dyDescent="0.3">
      <c r="B12" s="2">
        <v>6</v>
      </c>
      <c r="C12" s="2" t="s">
        <v>386</v>
      </c>
      <c r="D12" s="2" t="s">
        <v>1059</v>
      </c>
      <c r="E12" s="2" t="s">
        <v>612</v>
      </c>
      <c r="F12" s="4">
        <v>41621</v>
      </c>
      <c r="G12" s="2" t="s">
        <v>1054</v>
      </c>
      <c r="H12" s="2" t="s">
        <v>16</v>
      </c>
      <c r="I12" s="60">
        <v>0.16666666666666666</v>
      </c>
      <c r="J12" s="2" t="s">
        <v>1061</v>
      </c>
      <c r="Q12" s="2" t="s">
        <v>458</v>
      </c>
      <c r="R12" s="2">
        <v>29</v>
      </c>
      <c r="S12" s="2">
        <v>0</v>
      </c>
      <c r="T12" s="2">
        <f t="shared" si="0"/>
        <v>29</v>
      </c>
      <c r="U12" s="2">
        <v>5</v>
      </c>
    </row>
    <row r="13" spans="2:22" ht="15" thickBot="1" x14ac:dyDescent="0.35">
      <c r="B13" s="2">
        <v>7</v>
      </c>
      <c r="C13" s="2" t="s">
        <v>390</v>
      </c>
      <c r="D13" s="2" t="s">
        <v>1062</v>
      </c>
      <c r="E13" s="2" t="s">
        <v>327</v>
      </c>
      <c r="F13" s="4">
        <v>42080</v>
      </c>
      <c r="G13" s="2" t="s">
        <v>1063</v>
      </c>
      <c r="H13" s="2" t="s">
        <v>16</v>
      </c>
      <c r="I13" s="60">
        <v>0.12569444444444444</v>
      </c>
      <c r="J13" s="2" t="s">
        <v>1064</v>
      </c>
      <c r="Q13" s="2" t="s">
        <v>372</v>
      </c>
      <c r="R13" s="2">
        <v>30</v>
      </c>
      <c r="S13" s="2">
        <v>1</v>
      </c>
      <c r="T13" s="2">
        <f t="shared" si="0"/>
        <v>31</v>
      </c>
    </row>
    <row r="14" spans="2:22" ht="15" thickBot="1" x14ac:dyDescent="0.35">
      <c r="B14" s="2">
        <v>8</v>
      </c>
      <c r="C14" s="2" t="s">
        <v>395</v>
      </c>
      <c r="D14" s="2" t="s">
        <v>1059</v>
      </c>
      <c r="E14" s="2" t="s">
        <v>1274</v>
      </c>
      <c r="F14" s="4">
        <v>42360</v>
      </c>
      <c r="G14" s="2" t="s">
        <v>1063</v>
      </c>
      <c r="H14" s="2" t="s">
        <v>743</v>
      </c>
      <c r="I14" s="60">
        <v>4.5138888888888888E-2</v>
      </c>
      <c r="J14" s="2" t="s">
        <v>1070</v>
      </c>
      <c r="L14" s="1185" t="s">
        <v>1078</v>
      </c>
      <c r="M14" s="1186"/>
      <c r="N14" s="1187"/>
      <c r="Q14" s="2" t="s">
        <v>379</v>
      </c>
      <c r="R14" s="2">
        <v>25</v>
      </c>
      <c r="S14" s="2">
        <v>1</v>
      </c>
      <c r="T14" s="2">
        <f t="shared" si="0"/>
        <v>26</v>
      </c>
      <c r="U14" s="2">
        <v>4</v>
      </c>
    </row>
    <row r="15" spans="2:22" x14ac:dyDescent="0.3">
      <c r="B15" s="2">
        <v>9</v>
      </c>
      <c r="C15" s="2" t="s">
        <v>395</v>
      </c>
      <c r="D15" s="2" t="s">
        <v>1059</v>
      </c>
      <c r="E15" s="2" t="s">
        <v>612</v>
      </c>
      <c r="F15" s="4">
        <v>42379</v>
      </c>
      <c r="G15" s="2" t="s">
        <v>1066</v>
      </c>
      <c r="H15" s="2" t="s">
        <v>16</v>
      </c>
      <c r="I15" s="2" t="s">
        <v>351</v>
      </c>
      <c r="J15" s="2" t="s">
        <v>1071</v>
      </c>
      <c r="L15" s="106" t="s">
        <v>332</v>
      </c>
      <c r="M15" s="2" t="s">
        <v>6076</v>
      </c>
      <c r="N15" s="99" t="s">
        <v>325</v>
      </c>
      <c r="Q15" s="2" t="s">
        <v>386</v>
      </c>
      <c r="R15" s="2">
        <v>24</v>
      </c>
      <c r="S15" s="2">
        <v>1</v>
      </c>
      <c r="T15" s="2">
        <f t="shared" si="0"/>
        <v>25</v>
      </c>
    </row>
    <row r="16" spans="2:22" x14ac:dyDescent="0.3">
      <c r="B16" s="2">
        <v>10</v>
      </c>
      <c r="C16" s="2" t="s">
        <v>395</v>
      </c>
      <c r="D16" s="2" t="s">
        <v>1059</v>
      </c>
      <c r="E16" s="2" t="s">
        <v>327</v>
      </c>
      <c r="F16" s="4">
        <v>42426</v>
      </c>
      <c r="G16" s="2" t="s">
        <v>1054</v>
      </c>
      <c r="H16" s="2" t="s">
        <v>743</v>
      </c>
      <c r="I16" s="60">
        <v>4.3055555555555562E-2</v>
      </c>
      <c r="J16" s="2" t="s">
        <v>1070</v>
      </c>
      <c r="L16" s="106" t="s">
        <v>327</v>
      </c>
      <c r="M16" s="2" t="s">
        <v>1274</v>
      </c>
      <c r="N16" s="99" t="s">
        <v>331</v>
      </c>
      <c r="Q16" s="2" t="s">
        <v>390</v>
      </c>
      <c r="R16" s="2">
        <v>26</v>
      </c>
      <c r="S16" s="2">
        <v>1</v>
      </c>
      <c r="T16" s="2">
        <f t="shared" si="0"/>
        <v>27</v>
      </c>
      <c r="U16" s="2">
        <v>9</v>
      </c>
    </row>
    <row r="17" spans="2:22" ht="15" thickBot="1" x14ac:dyDescent="0.35">
      <c r="B17" s="2">
        <v>11</v>
      </c>
      <c r="C17" s="2" t="s">
        <v>395</v>
      </c>
      <c r="D17" s="2" t="s">
        <v>211</v>
      </c>
      <c r="E17" s="2" t="s">
        <v>323</v>
      </c>
      <c r="F17" s="4">
        <v>42461</v>
      </c>
      <c r="G17" s="2" t="s">
        <v>1054</v>
      </c>
      <c r="H17" s="2" t="s">
        <v>743</v>
      </c>
      <c r="I17" s="2" t="s">
        <v>208</v>
      </c>
      <c r="J17" s="2" t="s">
        <v>1072</v>
      </c>
      <c r="L17" s="187" t="s">
        <v>610</v>
      </c>
      <c r="M17" s="103" t="s">
        <v>6086</v>
      </c>
      <c r="N17" s="104"/>
      <c r="Q17" s="2" t="s">
        <v>395</v>
      </c>
      <c r="R17" s="2">
        <v>26</v>
      </c>
      <c r="S17" s="2">
        <v>5</v>
      </c>
      <c r="T17" s="2">
        <f t="shared" si="0"/>
        <v>31</v>
      </c>
      <c r="V17" s="2">
        <v>6</v>
      </c>
    </row>
    <row r="18" spans="2:22" x14ac:dyDescent="0.3">
      <c r="B18" s="2">
        <v>12</v>
      </c>
      <c r="C18" s="2" t="s">
        <v>395</v>
      </c>
      <c r="D18" s="2" t="s">
        <v>211</v>
      </c>
      <c r="E18" s="2" t="s">
        <v>6076</v>
      </c>
      <c r="F18" s="4">
        <v>42479</v>
      </c>
      <c r="G18" s="2" t="s">
        <v>1063</v>
      </c>
      <c r="H18" s="2" t="s">
        <v>743</v>
      </c>
      <c r="I18" s="60">
        <v>0.12847222222222224</v>
      </c>
      <c r="J18" s="2" t="s">
        <v>1070</v>
      </c>
      <c r="Q18" s="2" t="s">
        <v>401</v>
      </c>
      <c r="R18" s="2">
        <v>25</v>
      </c>
      <c r="S18" s="2">
        <v>10</v>
      </c>
      <c r="T18" s="2">
        <f t="shared" si="0"/>
        <v>35</v>
      </c>
      <c r="U18" s="2">
        <v>5</v>
      </c>
    </row>
    <row r="19" spans="2:22" x14ac:dyDescent="0.3">
      <c r="B19" s="2">
        <v>13</v>
      </c>
      <c r="C19" s="2" t="s">
        <v>401</v>
      </c>
      <c r="D19" s="2" t="s">
        <v>1059</v>
      </c>
      <c r="E19" s="2" t="s">
        <v>612</v>
      </c>
      <c r="F19" s="4">
        <v>42673</v>
      </c>
      <c r="G19" s="2" t="s">
        <v>1066</v>
      </c>
      <c r="H19" s="2" t="s">
        <v>16</v>
      </c>
      <c r="I19" s="60">
        <v>0.16805555555555554</v>
      </c>
      <c r="J19" s="2" t="s">
        <v>1073</v>
      </c>
      <c r="Q19" s="2" t="s">
        <v>683</v>
      </c>
      <c r="R19" s="2">
        <v>27</v>
      </c>
      <c r="S19" s="2">
        <v>10</v>
      </c>
      <c r="T19" s="2">
        <f t="shared" si="0"/>
        <v>37</v>
      </c>
      <c r="V19" s="2">
        <v>10</v>
      </c>
    </row>
    <row r="20" spans="2:22" x14ac:dyDescent="0.3">
      <c r="B20" s="2">
        <v>14</v>
      </c>
      <c r="C20" s="2" t="s">
        <v>401</v>
      </c>
      <c r="D20" s="2" t="s">
        <v>1059</v>
      </c>
      <c r="E20" s="2" t="s">
        <v>1274</v>
      </c>
      <c r="F20" s="4">
        <v>42685</v>
      </c>
      <c r="G20" s="2" t="s">
        <v>1054</v>
      </c>
      <c r="H20" s="2" t="s">
        <v>16</v>
      </c>
      <c r="I20" s="60">
        <v>0.125</v>
      </c>
      <c r="J20" s="2" t="s">
        <v>1070</v>
      </c>
      <c r="Q20" s="2" t="s">
        <v>259</v>
      </c>
      <c r="R20" s="2">
        <v>23</v>
      </c>
      <c r="S20" s="2">
        <v>10</v>
      </c>
      <c r="T20" s="2">
        <f t="shared" si="0"/>
        <v>33</v>
      </c>
    </row>
    <row r="21" spans="2:22" x14ac:dyDescent="0.3">
      <c r="B21" s="2">
        <v>15</v>
      </c>
      <c r="C21" s="2" t="s">
        <v>401</v>
      </c>
      <c r="D21" s="2" t="s">
        <v>1059</v>
      </c>
      <c r="E21" s="2" t="s">
        <v>610</v>
      </c>
      <c r="F21" s="4">
        <v>42701</v>
      </c>
      <c r="G21" s="2" t="s">
        <v>1066</v>
      </c>
      <c r="H21" s="2" t="s">
        <v>16</v>
      </c>
      <c r="I21" s="60">
        <v>8.4027777777777771E-2</v>
      </c>
      <c r="J21" s="2" t="s">
        <v>1074</v>
      </c>
      <c r="Q21" s="2" t="s">
        <v>1120</v>
      </c>
      <c r="R21" s="2">
        <v>23</v>
      </c>
      <c r="S21" s="2">
        <v>8</v>
      </c>
      <c r="T21" s="2">
        <f t="shared" ref="T21:T26" si="1">R21+S21</f>
        <v>31</v>
      </c>
    </row>
    <row r="22" spans="2:22" x14ac:dyDescent="0.3">
      <c r="B22" s="2">
        <v>16</v>
      </c>
      <c r="C22" s="2" t="s">
        <v>401</v>
      </c>
      <c r="D22" s="2" t="s">
        <v>1059</v>
      </c>
      <c r="E22" s="2" t="s">
        <v>331</v>
      </c>
      <c r="F22" s="4">
        <v>42741</v>
      </c>
      <c r="G22" s="2" t="s">
        <v>1054</v>
      </c>
      <c r="H22" s="2" t="s">
        <v>743</v>
      </c>
      <c r="I22" s="60">
        <v>8.6111111111111124E-2</v>
      </c>
      <c r="J22" s="2" t="s">
        <v>1074</v>
      </c>
      <c r="Q22" s="2" t="s">
        <v>3606</v>
      </c>
      <c r="R22" s="2">
        <v>1</v>
      </c>
      <c r="S22" s="2">
        <v>0</v>
      </c>
      <c r="T22" s="2">
        <f t="shared" si="1"/>
        <v>1</v>
      </c>
    </row>
    <row r="23" spans="2:22" x14ac:dyDescent="0.3">
      <c r="B23" s="2">
        <v>17</v>
      </c>
      <c r="C23" s="2" t="s">
        <v>401</v>
      </c>
      <c r="D23" s="2" t="s">
        <v>1059</v>
      </c>
      <c r="E23" s="2" t="s">
        <v>612</v>
      </c>
      <c r="F23" s="4">
        <v>42764</v>
      </c>
      <c r="G23" s="2" t="s">
        <v>1066</v>
      </c>
      <c r="H23" s="2" t="s">
        <v>16</v>
      </c>
      <c r="I23" s="60">
        <v>8.4027777777777771E-2</v>
      </c>
      <c r="J23" s="2" t="s">
        <v>1073</v>
      </c>
      <c r="Q23" s="2" t="s">
        <v>4613</v>
      </c>
      <c r="R23" s="2">
        <v>26</v>
      </c>
      <c r="S23" s="2">
        <v>6</v>
      </c>
      <c r="T23" s="2">
        <f t="shared" si="1"/>
        <v>32</v>
      </c>
    </row>
    <row r="24" spans="2:22" x14ac:dyDescent="0.3">
      <c r="B24" s="2">
        <v>18</v>
      </c>
      <c r="C24" s="2" t="s">
        <v>401</v>
      </c>
      <c r="D24" s="2" t="s">
        <v>1059</v>
      </c>
      <c r="E24" s="2" t="s">
        <v>1274</v>
      </c>
      <c r="F24" s="4">
        <v>42771</v>
      </c>
      <c r="G24" s="2" t="s">
        <v>1066</v>
      </c>
      <c r="H24" s="2" t="s">
        <v>743</v>
      </c>
      <c r="I24" s="60">
        <v>4.3750000000000004E-2</v>
      </c>
      <c r="J24" s="2" t="s">
        <v>1070</v>
      </c>
      <c r="Q24" s="2" t="s">
        <v>4807</v>
      </c>
      <c r="R24" s="2">
        <v>20</v>
      </c>
      <c r="S24" s="2">
        <v>5</v>
      </c>
      <c r="T24" s="2">
        <f t="shared" si="1"/>
        <v>25</v>
      </c>
      <c r="U24" s="2">
        <v>1</v>
      </c>
    </row>
    <row r="25" spans="2:22" x14ac:dyDescent="0.3">
      <c r="B25" s="2">
        <v>19</v>
      </c>
      <c r="C25" s="2" t="s">
        <v>401</v>
      </c>
      <c r="D25" s="2" t="s">
        <v>1059</v>
      </c>
      <c r="E25" s="2" t="s">
        <v>325</v>
      </c>
      <c r="F25" s="4">
        <v>42792</v>
      </c>
      <c r="G25" s="2" t="s">
        <v>1066</v>
      </c>
      <c r="H25" s="2" t="s">
        <v>743</v>
      </c>
      <c r="I25" s="60">
        <v>4.3750000000000004E-2</v>
      </c>
      <c r="J25" s="2" t="s">
        <v>1073</v>
      </c>
      <c r="Q25" s="2" t="s">
        <v>5273</v>
      </c>
      <c r="T25" s="2">
        <f t="shared" si="1"/>
        <v>0</v>
      </c>
    </row>
    <row r="26" spans="2:22" x14ac:dyDescent="0.3">
      <c r="B26" s="2">
        <v>20</v>
      </c>
      <c r="C26" s="2" t="s">
        <v>401</v>
      </c>
      <c r="D26" s="2" t="s">
        <v>1062</v>
      </c>
      <c r="E26" s="2" t="s">
        <v>1274</v>
      </c>
      <c r="F26" s="4">
        <v>42807</v>
      </c>
      <c r="G26" s="2" t="s">
        <v>1057</v>
      </c>
      <c r="H26" s="2" t="s">
        <v>16</v>
      </c>
      <c r="I26" s="60">
        <v>0.12638888888888888</v>
      </c>
      <c r="J26" s="2" t="s">
        <v>1074</v>
      </c>
      <c r="T26" s="2">
        <f t="shared" si="1"/>
        <v>0</v>
      </c>
    </row>
    <row r="27" spans="2:22" x14ac:dyDescent="0.3">
      <c r="B27" s="2">
        <v>21</v>
      </c>
      <c r="C27" s="2" t="s">
        <v>401</v>
      </c>
      <c r="D27" s="2" t="s">
        <v>1062</v>
      </c>
      <c r="E27" s="2" t="s">
        <v>1274</v>
      </c>
      <c r="F27" s="4">
        <v>42808</v>
      </c>
      <c r="G27" s="2" t="s">
        <v>1063</v>
      </c>
      <c r="H27" s="2" t="s">
        <v>743</v>
      </c>
      <c r="I27" s="60">
        <v>2.0833333333333333E-3</v>
      </c>
      <c r="J27" s="2" t="s">
        <v>1074</v>
      </c>
      <c r="Q27" s="2" t="s">
        <v>817</v>
      </c>
      <c r="R27" s="2">
        <f>SUBTOTAL(109,Tabulka3[Doma])</f>
        <v>395</v>
      </c>
      <c r="S27" s="2">
        <f>SUBTOTAL(109,Tabulka3[Venku])</f>
        <v>61</v>
      </c>
      <c r="T27" s="2">
        <f>SUBTOTAL(109,Tabulka3[Celkem])</f>
        <v>456</v>
      </c>
      <c r="U27" s="2">
        <f>SUBTOTAL(109,Tabulka3[Z toho playoff])</f>
        <v>31</v>
      </c>
      <c r="V27" s="2">
        <f>SUBTOTAL(109,Tabulka3[Z toho baráž])</f>
        <v>16</v>
      </c>
    </row>
    <row r="28" spans="2:22" x14ac:dyDescent="0.3">
      <c r="B28" s="2">
        <v>22</v>
      </c>
      <c r="C28" s="2" t="s">
        <v>401</v>
      </c>
      <c r="D28" s="2" t="s">
        <v>1062</v>
      </c>
      <c r="E28" s="2" t="s">
        <v>1274</v>
      </c>
      <c r="F28" s="4">
        <v>42815</v>
      </c>
      <c r="G28" s="2" t="s">
        <v>1063</v>
      </c>
      <c r="H28" s="2" t="s">
        <v>743</v>
      </c>
      <c r="I28" s="60">
        <v>0.17152777777777775</v>
      </c>
      <c r="J28" s="2" t="s">
        <v>1074</v>
      </c>
    </row>
    <row r="29" spans="2:22" x14ac:dyDescent="0.3">
      <c r="B29" s="2">
        <v>23</v>
      </c>
      <c r="C29" s="2" t="s">
        <v>683</v>
      </c>
      <c r="D29" s="2" t="s">
        <v>1059</v>
      </c>
      <c r="E29" s="2" t="s">
        <v>331</v>
      </c>
      <c r="F29" s="4">
        <v>42986</v>
      </c>
      <c r="G29" s="2" t="s">
        <v>1054</v>
      </c>
      <c r="H29" s="2" t="s">
        <v>743</v>
      </c>
      <c r="I29" s="60">
        <v>4.5138888888888888E-2</v>
      </c>
      <c r="J29" s="2" t="s">
        <v>1070</v>
      </c>
    </row>
    <row r="30" spans="2:22" x14ac:dyDescent="0.3">
      <c r="B30" s="2">
        <v>24</v>
      </c>
      <c r="C30" s="2" t="s">
        <v>683</v>
      </c>
      <c r="D30" s="2" t="s">
        <v>1059</v>
      </c>
      <c r="E30" s="2" t="s">
        <v>325</v>
      </c>
      <c r="F30" s="4">
        <v>43018</v>
      </c>
      <c r="G30" s="2" t="s">
        <v>1063</v>
      </c>
      <c r="H30" s="2" t="s">
        <v>743</v>
      </c>
      <c r="I30" s="60">
        <v>4.3750000000000004E-2</v>
      </c>
      <c r="J30" s="2" t="s">
        <v>1070</v>
      </c>
    </row>
    <row r="31" spans="2:22" x14ac:dyDescent="0.3">
      <c r="B31" s="2">
        <v>25</v>
      </c>
      <c r="C31" s="2" t="s">
        <v>683</v>
      </c>
      <c r="D31" s="2" t="s">
        <v>1059</v>
      </c>
      <c r="E31" s="2" t="s">
        <v>612</v>
      </c>
      <c r="F31" s="4">
        <v>43056</v>
      </c>
      <c r="G31" s="2" t="s">
        <v>1054</v>
      </c>
      <c r="H31" s="2" t="s">
        <v>16</v>
      </c>
      <c r="I31" s="60">
        <v>0.12569444444444444</v>
      </c>
      <c r="J31" s="2" t="s">
        <v>1073</v>
      </c>
    </row>
    <row r="32" spans="2:22" x14ac:dyDescent="0.3">
      <c r="B32" s="2">
        <v>26</v>
      </c>
      <c r="C32" s="2" t="s">
        <v>683</v>
      </c>
      <c r="D32" s="2" t="s">
        <v>1059</v>
      </c>
      <c r="E32" s="2" t="s">
        <v>325</v>
      </c>
      <c r="F32" s="4">
        <v>43079</v>
      </c>
      <c r="G32" s="2" t="s">
        <v>1066</v>
      </c>
      <c r="H32" s="2" t="s">
        <v>16</v>
      </c>
      <c r="I32" s="60">
        <v>0.25208333333333333</v>
      </c>
      <c r="J32" s="2" t="s">
        <v>1073</v>
      </c>
    </row>
    <row r="33" spans="2:10" x14ac:dyDescent="0.3">
      <c r="B33" s="2">
        <v>27</v>
      </c>
      <c r="C33" s="2" t="s">
        <v>683</v>
      </c>
      <c r="D33" s="2" t="s">
        <v>1059</v>
      </c>
      <c r="E33" s="2" t="s">
        <v>6086</v>
      </c>
      <c r="F33" s="4">
        <v>43097</v>
      </c>
      <c r="G33" s="2" t="s">
        <v>1075</v>
      </c>
      <c r="H33" s="2" t="s">
        <v>16</v>
      </c>
      <c r="I33" s="60">
        <v>8.3333333333333329E-2</v>
      </c>
      <c r="J33" s="2" t="s">
        <v>1070</v>
      </c>
    </row>
    <row r="34" spans="2:10" x14ac:dyDescent="0.3">
      <c r="B34" s="2">
        <v>28</v>
      </c>
      <c r="C34" s="2" t="s">
        <v>683</v>
      </c>
      <c r="D34" s="2" t="s">
        <v>1059</v>
      </c>
      <c r="E34" s="2" t="s">
        <v>610</v>
      </c>
      <c r="F34" s="4">
        <v>43119</v>
      </c>
      <c r="G34" s="2" t="s">
        <v>1054</v>
      </c>
      <c r="H34" s="2" t="s">
        <v>743</v>
      </c>
      <c r="I34" s="60">
        <v>4.5138888888888888E-2</v>
      </c>
      <c r="J34" s="2" t="s">
        <v>1074</v>
      </c>
    </row>
    <row r="35" spans="2:10" x14ac:dyDescent="0.3">
      <c r="B35" s="2">
        <v>29</v>
      </c>
      <c r="C35" s="2" t="s">
        <v>683</v>
      </c>
      <c r="D35" s="2" t="s">
        <v>211</v>
      </c>
      <c r="E35" s="2" t="s">
        <v>332</v>
      </c>
      <c r="F35" s="4">
        <v>43189</v>
      </c>
      <c r="G35" s="2" t="s">
        <v>1054</v>
      </c>
      <c r="H35" s="2" t="s">
        <v>16</v>
      </c>
      <c r="I35" s="60">
        <v>8.4027777777777771E-2</v>
      </c>
      <c r="J35" s="2" t="s">
        <v>1070</v>
      </c>
    </row>
    <row r="36" spans="2:10" x14ac:dyDescent="0.3">
      <c r="B36" s="2">
        <v>30</v>
      </c>
      <c r="C36" s="2" t="s">
        <v>683</v>
      </c>
      <c r="D36" s="2" t="s">
        <v>211</v>
      </c>
      <c r="E36" s="2" t="s">
        <v>323</v>
      </c>
      <c r="F36" s="4">
        <v>43191</v>
      </c>
      <c r="G36" s="2" t="s">
        <v>1066</v>
      </c>
      <c r="H36" s="2" t="s">
        <v>743</v>
      </c>
      <c r="I36" s="60">
        <v>4.4444444444444446E-2</v>
      </c>
      <c r="J36" s="2" t="s">
        <v>1074</v>
      </c>
    </row>
    <row r="37" spans="2:10" x14ac:dyDescent="0.3">
      <c r="B37" s="2">
        <v>31</v>
      </c>
      <c r="C37" s="2" t="s">
        <v>683</v>
      </c>
      <c r="D37" s="2" t="s">
        <v>211</v>
      </c>
      <c r="E37" s="2" t="s">
        <v>6076</v>
      </c>
      <c r="F37" s="4">
        <v>43196</v>
      </c>
      <c r="G37" s="2" t="s">
        <v>1054</v>
      </c>
      <c r="H37" s="2" t="s">
        <v>16</v>
      </c>
      <c r="I37" s="2" t="s">
        <v>164</v>
      </c>
      <c r="J37" s="2" t="s">
        <v>1074</v>
      </c>
    </row>
    <row r="38" spans="2:10" x14ac:dyDescent="0.3">
      <c r="B38" s="2">
        <v>32</v>
      </c>
      <c r="C38" s="2" t="s">
        <v>683</v>
      </c>
      <c r="D38" s="2" t="s">
        <v>211</v>
      </c>
      <c r="E38" s="2" t="s">
        <v>332</v>
      </c>
      <c r="F38" s="4">
        <v>43203</v>
      </c>
      <c r="G38" s="2" t="s">
        <v>1054</v>
      </c>
      <c r="H38" s="2" t="s">
        <v>16</v>
      </c>
      <c r="I38" s="60">
        <v>0.12569444444444444</v>
      </c>
      <c r="J38" s="2" t="s">
        <v>1074</v>
      </c>
    </row>
    <row r="39" spans="2:10" x14ac:dyDescent="0.3">
      <c r="B39" s="2">
        <v>33</v>
      </c>
      <c r="C39" s="2" t="s">
        <v>259</v>
      </c>
      <c r="D39" s="2" t="s">
        <v>1059</v>
      </c>
      <c r="E39" s="2" t="s">
        <v>327</v>
      </c>
      <c r="F39" s="4">
        <v>43364</v>
      </c>
      <c r="G39" s="2" t="s">
        <v>1054</v>
      </c>
      <c r="H39" s="2" t="s">
        <v>16</v>
      </c>
      <c r="I39" s="60">
        <v>0.25138888888888888</v>
      </c>
      <c r="J39" s="2" t="s">
        <v>1070</v>
      </c>
    </row>
    <row r="40" spans="2:10" x14ac:dyDescent="0.3">
      <c r="B40" s="2">
        <v>34</v>
      </c>
      <c r="C40" s="2" t="s">
        <v>259</v>
      </c>
      <c r="D40" s="2" t="s">
        <v>1059</v>
      </c>
      <c r="E40" s="2" t="s">
        <v>6076</v>
      </c>
      <c r="F40" s="4">
        <v>43371</v>
      </c>
      <c r="G40" s="2" t="s">
        <v>1054</v>
      </c>
      <c r="H40" s="2" t="s">
        <v>16</v>
      </c>
      <c r="I40" s="2" t="s">
        <v>164</v>
      </c>
      <c r="J40" s="2" t="s">
        <v>827</v>
      </c>
    </row>
    <row r="41" spans="2:10" x14ac:dyDescent="0.3">
      <c r="B41" s="2">
        <v>35</v>
      </c>
      <c r="C41" s="2" t="s">
        <v>259</v>
      </c>
      <c r="D41" s="2" t="s">
        <v>1059</v>
      </c>
      <c r="E41" s="2" t="s">
        <v>331</v>
      </c>
      <c r="F41" s="4">
        <v>43394</v>
      </c>
      <c r="G41" s="2" t="s">
        <v>1066</v>
      </c>
      <c r="H41" s="2" t="s">
        <v>743</v>
      </c>
      <c r="I41" s="60">
        <v>4.4444444444444446E-2</v>
      </c>
      <c r="J41" s="2" t="s">
        <v>825</v>
      </c>
    </row>
    <row r="42" spans="2:10" x14ac:dyDescent="0.3">
      <c r="B42" s="2">
        <v>36</v>
      </c>
      <c r="C42" s="2" t="s">
        <v>259</v>
      </c>
      <c r="D42" s="2" t="s">
        <v>1059</v>
      </c>
      <c r="E42" s="2" t="s">
        <v>325</v>
      </c>
      <c r="F42" s="4">
        <v>43396</v>
      </c>
      <c r="G42" s="2" t="s">
        <v>1063</v>
      </c>
      <c r="H42" s="2" t="s">
        <v>16</v>
      </c>
      <c r="I42" s="60">
        <v>8.4027777777777771E-2</v>
      </c>
      <c r="J42" s="2" t="s">
        <v>1074</v>
      </c>
    </row>
    <row r="43" spans="2:10" x14ac:dyDescent="0.3">
      <c r="B43" s="2">
        <v>37</v>
      </c>
      <c r="C43" s="2" t="s">
        <v>259</v>
      </c>
      <c r="D43" s="2" t="s">
        <v>1059</v>
      </c>
      <c r="E43" s="2" t="s">
        <v>6086</v>
      </c>
      <c r="F43" s="4">
        <v>43453</v>
      </c>
      <c r="G43" s="2" t="s">
        <v>1077</v>
      </c>
      <c r="H43" s="2" t="s">
        <v>743</v>
      </c>
      <c r="I43" s="60">
        <v>8.6805555555555566E-2</v>
      </c>
      <c r="J43" s="2" t="s">
        <v>1070</v>
      </c>
    </row>
    <row r="44" spans="2:10" x14ac:dyDescent="0.3">
      <c r="B44" s="2">
        <v>38</v>
      </c>
      <c r="C44" s="2" t="s">
        <v>259</v>
      </c>
      <c r="D44" s="2" t="s">
        <v>1059</v>
      </c>
      <c r="E44" s="2" t="s">
        <v>327</v>
      </c>
      <c r="F44" s="4">
        <v>43460</v>
      </c>
      <c r="G44" s="2" t="s">
        <v>1077</v>
      </c>
      <c r="H44" s="2" t="s">
        <v>16</v>
      </c>
      <c r="I44" s="60">
        <v>0.12638888888888888</v>
      </c>
      <c r="J44" s="2" t="s">
        <v>1070</v>
      </c>
    </row>
    <row r="45" spans="2:10" x14ac:dyDescent="0.3">
      <c r="B45" s="2">
        <v>39</v>
      </c>
      <c r="C45" s="2" t="s">
        <v>259</v>
      </c>
      <c r="D45" s="2" t="s">
        <v>1059</v>
      </c>
      <c r="E45" s="2" t="s">
        <v>610</v>
      </c>
      <c r="F45" s="4">
        <v>43483</v>
      </c>
      <c r="G45" s="2" t="s">
        <v>1054</v>
      </c>
      <c r="H45" s="2" t="s">
        <v>16</v>
      </c>
      <c r="I45" s="60">
        <v>0.12638888888888888</v>
      </c>
      <c r="J45" s="2" t="s">
        <v>1074</v>
      </c>
    </row>
    <row r="46" spans="2:10" x14ac:dyDescent="0.3">
      <c r="B46" s="2">
        <v>40</v>
      </c>
      <c r="C46" s="2" t="s">
        <v>259</v>
      </c>
      <c r="D46" s="2" t="s">
        <v>1059</v>
      </c>
      <c r="E46" s="2" t="s">
        <v>331</v>
      </c>
      <c r="F46" s="4">
        <v>43490</v>
      </c>
      <c r="G46" s="2" t="s">
        <v>1054</v>
      </c>
      <c r="H46" s="2" t="s">
        <v>743</v>
      </c>
      <c r="I46" s="60">
        <v>4.6527777777777779E-2</v>
      </c>
      <c r="J46" s="2" t="s">
        <v>1074</v>
      </c>
    </row>
    <row r="47" spans="2:10" x14ac:dyDescent="0.3">
      <c r="B47" s="2">
        <v>41</v>
      </c>
      <c r="C47" s="2" t="s">
        <v>259</v>
      </c>
      <c r="D47" s="2" t="s">
        <v>1059</v>
      </c>
      <c r="E47" s="2" t="s">
        <v>612</v>
      </c>
      <c r="F47" s="4">
        <v>43509</v>
      </c>
      <c r="G47" s="2" t="s">
        <v>1077</v>
      </c>
      <c r="H47" s="2" t="s">
        <v>743</v>
      </c>
      <c r="I47" s="60">
        <v>4.4444444444444446E-2</v>
      </c>
      <c r="J47" s="2" t="s">
        <v>1073</v>
      </c>
    </row>
    <row r="48" spans="2:10" x14ac:dyDescent="0.3">
      <c r="B48" s="2">
        <v>42</v>
      </c>
      <c r="C48" s="2" t="s">
        <v>259</v>
      </c>
      <c r="D48" s="2" t="s">
        <v>1059</v>
      </c>
      <c r="E48" s="2" t="s">
        <v>325</v>
      </c>
      <c r="F48" s="4">
        <v>43527</v>
      </c>
      <c r="G48" s="2" t="s">
        <v>1066</v>
      </c>
      <c r="H48" s="2" t="s">
        <v>743</v>
      </c>
      <c r="I48" s="60">
        <v>0.12847222222222224</v>
      </c>
      <c r="J48" s="2" t="s">
        <v>1073</v>
      </c>
    </row>
    <row r="49" spans="2:10" x14ac:dyDescent="0.3">
      <c r="B49" s="2">
        <v>43</v>
      </c>
      <c r="C49" s="2" t="s">
        <v>1120</v>
      </c>
      <c r="D49" s="2" t="s">
        <v>1059</v>
      </c>
      <c r="E49" s="2" t="s">
        <v>331</v>
      </c>
      <c r="F49" s="4">
        <v>43723</v>
      </c>
      <c r="G49" s="2" t="s">
        <v>1066</v>
      </c>
      <c r="H49" s="2" t="s">
        <v>743</v>
      </c>
      <c r="I49" s="60">
        <v>1.3888888888888889E-3</v>
      </c>
      <c r="J49" s="2" t="s">
        <v>1070</v>
      </c>
    </row>
    <row r="50" spans="2:10" x14ac:dyDescent="0.3">
      <c r="B50" s="2">
        <v>44</v>
      </c>
      <c r="C50" s="2" t="s">
        <v>1120</v>
      </c>
      <c r="D50" s="2" t="s">
        <v>1059</v>
      </c>
      <c r="E50" s="2" t="s">
        <v>6076</v>
      </c>
      <c r="F50" s="4">
        <v>43747</v>
      </c>
      <c r="G50" s="2" t="s">
        <v>1077</v>
      </c>
      <c r="H50" s="2" t="s">
        <v>743</v>
      </c>
      <c r="I50" s="2" t="s">
        <v>163</v>
      </c>
      <c r="J50" s="2" t="s">
        <v>3469</v>
      </c>
    </row>
    <row r="51" spans="2:10" x14ac:dyDescent="0.3">
      <c r="B51" s="2">
        <v>45</v>
      </c>
      <c r="C51" s="2" t="s">
        <v>1120</v>
      </c>
      <c r="D51" s="2" t="s">
        <v>1059</v>
      </c>
      <c r="E51" s="2" t="s">
        <v>1274</v>
      </c>
      <c r="F51" s="4">
        <v>43793</v>
      </c>
      <c r="G51" s="2" t="s">
        <v>1066</v>
      </c>
      <c r="H51" s="2" t="s">
        <v>743</v>
      </c>
      <c r="I51" s="60">
        <v>8.7500000000000008E-2</v>
      </c>
      <c r="J51" s="2" t="s">
        <v>1074</v>
      </c>
    </row>
    <row r="52" spans="2:10" x14ac:dyDescent="0.3">
      <c r="B52" s="2">
        <v>46</v>
      </c>
      <c r="C52" s="2" t="s">
        <v>1120</v>
      </c>
      <c r="D52" s="2" t="s">
        <v>1059</v>
      </c>
      <c r="E52" s="2" t="s">
        <v>626</v>
      </c>
      <c r="F52" s="4">
        <v>43805</v>
      </c>
      <c r="G52" s="2" t="s">
        <v>1054</v>
      </c>
      <c r="H52" s="2" t="s">
        <v>743</v>
      </c>
      <c r="I52" s="60">
        <v>4.3750000000000004E-2</v>
      </c>
      <c r="J52" s="2" t="s">
        <v>3501</v>
      </c>
    </row>
    <row r="53" spans="2:10" x14ac:dyDescent="0.3">
      <c r="B53" s="2">
        <v>47</v>
      </c>
      <c r="C53" s="2" t="s">
        <v>1120</v>
      </c>
      <c r="D53" s="2" t="s">
        <v>1059</v>
      </c>
      <c r="E53" s="2" t="s">
        <v>325</v>
      </c>
      <c r="F53" s="4">
        <v>43829</v>
      </c>
      <c r="G53" s="2" t="s">
        <v>1057</v>
      </c>
      <c r="H53" s="2" t="s">
        <v>743</v>
      </c>
      <c r="I53" s="60">
        <v>0.17222222222222225</v>
      </c>
      <c r="J53" s="2" t="s">
        <v>3359</v>
      </c>
    </row>
    <row r="54" spans="2:10" x14ac:dyDescent="0.3">
      <c r="B54" s="2">
        <v>48</v>
      </c>
      <c r="C54" s="2" t="s">
        <v>1120</v>
      </c>
      <c r="D54" s="2" t="s">
        <v>1059</v>
      </c>
      <c r="E54" s="2" t="s">
        <v>6076</v>
      </c>
      <c r="F54" s="4">
        <v>43840</v>
      </c>
      <c r="G54" s="2" t="s">
        <v>1054</v>
      </c>
      <c r="H54" s="2" t="s">
        <v>743</v>
      </c>
      <c r="I54" s="2" t="s">
        <v>171</v>
      </c>
      <c r="J54" s="2" t="s">
        <v>1074</v>
      </c>
    </row>
    <row r="55" spans="2:10" x14ac:dyDescent="0.3">
      <c r="B55" s="2">
        <v>49</v>
      </c>
      <c r="C55" s="2" t="s">
        <v>1120</v>
      </c>
      <c r="D55" s="2" t="s">
        <v>1059</v>
      </c>
      <c r="E55" s="2" t="s">
        <v>327</v>
      </c>
      <c r="F55" s="4">
        <v>43861</v>
      </c>
      <c r="G55" s="2" t="s">
        <v>1054</v>
      </c>
      <c r="H55" s="2" t="s">
        <v>16</v>
      </c>
      <c r="I55" s="60">
        <v>8.4027777777777771E-2</v>
      </c>
      <c r="J55" s="2" t="s">
        <v>1074</v>
      </c>
    </row>
    <row r="56" spans="2:10" x14ac:dyDescent="0.3">
      <c r="B56" s="2">
        <v>50</v>
      </c>
      <c r="C56" s="2" t="s">
        <v>1120</v>
      </c>
      <c r="D56" s="2" t="s">
        <v>1059</v>
      </c>
      <c r="E56" s="2" t="s">
        <v>610</v>
      </c>
      <c r="F56" s="4">
        <v>43873</v>
      </c>
      <c r="G56" s="2" t="s">
        <v>1077</v>
      </c>
      <c r="H56" s="2" t="s">
        <v>743</v>
      </c>
      <c r="I56" s="2" t="s">
        <v>359</v>
      </c>
      <c r="J56" s="2" t="s">
        <v>1074</v>
      </c>
    </row>
    <row r="57" spans="2:10" x14ac:dyDescent="0.3">
      <c r="B57" s="2">
        <v>51</v>
      </c>
      <c r="C57" s="2" t="s">
        <v>4613</v>
      </c>
      <c r="D57" s="2" t="s">
        <v>1059</v>
      </c>
      <c r="E57" s="2" t="s">
        <v>332</v>
      </c>
      <c r="F57" s="4">
        <v>44458</v>
      </c>
      <c r="G57" s="2" t="s">
        <v>1066</v>
      </c>
      <c r="H57" s="2" t="s">
        <v>743</v>
      </c>
      <c r="I57" s="60">
        <v>8.5416666666666655E-2</v>
      </c>
      <c r="J57" s="2" t="s">
        <v>4113</v>
      </c>
    </row>
    <row r="58" spans="2:10" x14ac:dyDescent="0.3">
      <c r="B58" s="2">
        <v>52</v>
      </c>
      <c r="C58" s="2" t="s">
        <v>4613</v>
      </c>
      <c r="D58" s="2" t="s">
        <v>1059</v>
      </c>
      <c r="E58" s="2" t="s">
        <v>325</v>
      </c>
      <c r="F58" s="4">
        <v>44462</v>
      </c>
      <c r="G58" s="2" t="s">
        <v>1075</v>
      </c>
      <c r="H58" s="2" t="s">
        <v>743</v>
      </c>
      <c r="I58" s="60">
        <v>0.17083333333333331</v>
      </c>
      <c r="J58" s="2" t="s">
        <v>1074</v>
      </c>
    </row>
    <row r="59" spans="2:10" x14ac:dyDescent="0.3">
      <c r="B59" s="2">
        <v>53</v>
      </c>
      <c r="C59" s="2" t="s">
        <v>4613</v>
      </c>
      <c r="D59" s="2" t="s">
        <v>1059</v>
      </c>
      <c r="E59" s="2" t="s">
        <v>6091</v>
      </c>
      <c r="F59" s="4">
        <v>44472</v>
      </c>
      <c r="G59" s="2" t="s">
        <v>1066</v>
      </c>
      <c r="H59" s="2" t="s">
        <v>16</v>
      </c>
      <c r="I59" s="60">
        <v>0.125</v>
      </c>
      <c r="J59" s="2" t="s">
        <v>1074</v>
      </c>
    </row>
    <row r="60" spans="2:10" x14ac:dyDescent="0.3">
      <c r="B60" s="2">
        <v>54</v>
      </c>
      <c r="C60" s="2" t="s">
        <v>4613</v>
      </c>
      <c r="D60" s="2" t="s">
        <v>1059</v>
      </c>
      <c r="E60" s="2" t="s">
        <v>610</v>
      </c>
      <c r="F60" s="795">
        <v>44493</v>
      </c>
      <c r="G60" s="2" t="s">
        <v>1066</v>
      </c>
      <c r="H60" s="2" t="s">
        <v>743</v>
      </c>
      <c r="I60" s="60">
        <v>2.0833333333333333E-3</v>
      </c>
      <c r="J60" s="2" t="s">
        <v>1074</v>
      </c>
    </row>
    <row r="61" spans="2:10" x14ac:dyDescent="0.3">
      <c r="B61" s="2">
        <v>55</v>
      </c>
      <c r="C61" s="2" t="s">
        <v>4613</v>
      </c>
      <c r="D61" s="2" t="s">
        <v>1059</v>
      </c>
      <c r="E61" s="2" t="s">
        <v>332</v>
      </c>
      <c r="F61" s="795">
        <v>44556</v>
      </c>
      <c r="G61" s="2" t="s">
        <v>1066</v>
      </c>
      <c r="H61" s="2" t="s">
        <v>743</v>
      </c>
      <c r="I61" s="60" t="s">
        <v>171</v>
      </c>
      <c r="J61" s="2" t="s">
        <v>4113</v>
      </c>
    </row>
    <row r="62" spans="2:10" x14ac:dyDescent="0.3">
      <c r="B62" s="2">
        <v>56</v>
      </c>
      <c r="C62" s="2" t="s">
        <v>4613</v>
      </c>
      <c r="D62" s="2" t="s">
        <v>1059</v>
      </c>
      <c r="E62" s="2" t="s">
        <v>1274</v>
      </c>
      <c r="F62" s="795">
        <v>44624</v>
      </c>
      <c r="G62" s="2" t="s">
        <v>1054</v>
      </c>
      <c r="H62" s="2" t="s">
        <v>743</v>
      </c>
      <c r="I62" s="60">
        <v>2.0833333333333333E-3</v>
      </c>
      <c r="J62" s="2" t="s">
        <v>1074</v>
      </c>
    </row>
    <row r="63" spans="2:10" x14ac:dyDescent="0.3">
      <c r="B63" s="2">
        <v>57</v>
      </c>
      <c r="C63" s="2" t="s">
        <v>4807</v>
      </c>
      <c r="D63" s="2" t="s">
        <v>1059</v>
      </c>
      <c r="E63" s="2" t="s">
        <v>325</v>
      </c>
      <c r="F63" s="4">
        <v>44822</v>
      </c>
      <c r="G63" s="2" t="s">
        <v>1066</v>
      </c>
      <c r="H63" s="2" t="s">
        <v>743</v>
      </c>
      <c r="I63" s="60">
        <v>2.0833333333333333E-3</v>
      </c>
      <c r="J63" s="2" t="s">
        <v>1073</v>
      </c>
    </row>
    <row r="64" spans="2:10" x14ac:dyDescent="0.3">
      <c r="B64" s="2">
        <v>58</v>
      </c>
      <c r="C64" s="2" t="s">
        <v>4807</v>
      </c>
      <c r="D64" s="2" t="s">
        <v>1059</v>
      </c>
      <c r="E64" s="2" t="s">
        <v>331</v>
      </c>
      <c r="F64" s="4">
        <v>44850</v>
      </c>
      <c r="G64" s="2" t="s">
        <v>1066</v>
      </c>
      <c r="H64" s="2" t="s">
        <v>743</v>
      </c>
      <c r="I64" s="60">
        <v>0.1277777777777778</v>
      </c>
      <c r="J64" s="2" t="s">
        <v>4808</v>
      </c>
    </row>
    <row r="65" spans="2:10" x14ac:dyDescent="0.3">
      <c r="B65" s="2">
        <v>59</v>
      </c>
      <c r="C65" s="2" t="s">
        <v>4807</v>
      </c>
      <c r="D65" s="2" t="s">
        <v>1059</v>
      </c>
      <c r="E65" s="2" t="s">
        <v>332</v>
      </c>
      <c r="F65" s="4">
        <v>44869</v>
      </c>
      <c r="G65" s="2" t="s">
        <v>1054</v>
      </c>
      <c r="H65" s="2" t="s">
        <v>743</v>
      </c>
      <c r="I65" s="60" t="s">
        <v>171</v>
      </c>
      <c r="J65" s="2" t="s">
        <v>1074</v>
      </c>
    </row>
    <row r="66" spans="2:10" x14ac:dyDescent="0.3">
      <c r="B66" s="2">
        <v>60</v>
      </c>
      <c r="C66" s="2" t="s">
        <v>4807</v>
      </c>
      <c r="D66" s="2" t="s">
        <v>1059</v>
      </c>
      <c r="E66" s="2" t="s">
        <v>1274</v>
      </c>
      <c r="F66" s="4">
        <v>44883</v>
      </c>
      <c r="G66" s="2" t="s">
        <v>1054</v>
      </c>
      <c r="H66" s="2" t="s">
        <v>743</v>
      </c>
      <c r="I66" s="60">
        <v>2.0833333333333333E-3</v>
      </c>
      <c r="J66" s="2" t="s">
        <v>1074</v>
      </c>
    </row>
    <row r="67" spans="2:10" x14ac:dyDescent="0.3">
      <c r="B67" s="2">
        <v>61</v>
      </c>
      <c r="C67" s="2" t="s">
        <v>4807</v>
      </c>
      <c r="D67" s="2" t="s">
        <v>1059</v>
      </c>
      <c r="E67" s="2" t="s">
        <v>332</v>
      </c>
      <c r="F67" s="2" t="s">
        <v>332</v>
      </c>
      <c r="G67" s="4">
        <v>44960</v>
      </c>
      <c r="H67" s="2" t="s">
        <v>743</v>
      </c>
      <c r="I67" s="60">
        <v>8.6805555555555566E-2</v>
      </c>
      <c r="J67" s="2" t="s">
        <v>1074</v>
      </c>
    </row>
    <row r="68" spans="2:10" x14ac:dyDescent="0.3">
      <c r="F68" s="795"/>
    </row>
    <row r="69" spans="2:10" x14ac:dyDescent="0.3">
      <c r="H69"/>
      <c r="I69"/>
      <c r="J69"/>
    </row>
    <row r="70" spans="2:10" x14ac:dyDescent="0.3">
      <c r="H70"/>
      <c r="I70"/>
      <c r="J70"/>
    </row>
    <row r="71" spans="2:10" x14ac:dyDescent="0.3">
      <c r="H71"/>
      <c r="I71"/>
      <c r="J71"/>
    </row>
    <row r="72" spans="2:10" x14ac:dyDescent="0.3">
      <c r="H72"/>
      <c r="I72"/>
      <c r="J72"/>
    </row>
    <row r="73" spans="2:10" x14ac:dyDescent="0.3">
      <c r="H73"/>
      <c r="I73"/>
      <c r="J73"/>
    </row>
    <row r="74" spans="2:10" x14ac:dyDescent="0.3">
      <c r="H74"/>
      <c r="I74"/>
      <c r="J74"/>
    </row>
    <row r="75" spans="2:10" x14ac:dyDescent="0.3">
      <c r="C75"/>
      <c r="D75"/>
      <c r="E75"/>
      <c r="F75"/>
      <c r="G75"/>
      <c r="H75"/>
      <c r="I75"/>
      <c r="J75"/>
    </row>
    <row r="76" spans="2:10" x14ac:dyDescent="0.3">
      <c r="C76"/>
      <c r="D76"/>
      <c r="E76"/>
      <c r="F76"/>
      <c r="G76"/>
      <c r="H76"/>
      <c r="I76"/>
      <c r="J76"/>
    </row>
    <row r="77" spans="2:10" x14ac:dyDescent="0.3">
      <c r="C77"/>
      <c r="D77"/>
      <c r="E77"/>
      <c r="F77"/>
      <c r="G77"/>
      <c r="H77"/>
      <c r="I77"/>
      <c r="J77"/>
    </row>
    <row r="78" spans="2:10" x14ac:dyDescent="0.3">
      <c r="C78"/>
      <c r="D78"/>
      <c r="E78"/>
      <c r="F78"/>
      <c r="G78"/>
      <c r="H78"/>
      <c r="I78"/>
      <c r="J78"/>
    </row>
    <row r="79" spans="2:10" x14ac:dyDescent="0.3">
      <c r="C79"/>
      <c r="D79"/>
      <c r="E79"/>
      <c r="F79"/>
      <c r="G79"/>
      <c r="H79"/>
      <c r="I79"/>
      <c r="J79"/>
    </row>
    <row r="80" spans="2:10" x14ac:dyDescent="0.3">
      <c r="C80"/>
      <c r="D80"/>
      <c r="E80"/>
      <c r="F80"/>
      <c r="G80"/>
      <c r="H80"/>
      <c r="I80"/>
      <c r="J80"/>
    </row>
    <row r="81" spans="3:10" x14ac:dyDescent="0.3">
      <c r="C81"/>
      <c r="D81"/>
      <c r="E81"/>
      <c r="F81"/>
      <c r="G81"/>
      <c r="H81"/>
      <c r="I81"/>
      <c r="J81"/>
    </row>
    <row r="82" spans="3:10" x14ac:dyDescent="0.3">
      <c r="C82"/>
      <c r="D82"/>
      <c r="E82"/>
      <c r="F82"/>
      <c r="G82"/>
      <c r="H82"/>
      <c r="I82"/>
      <c r="J82"/>
    </row>
    <row r="83" spans="3:10" x14ac:dyDescent="0.3">
      <c r="C83"/>
      <c r="D83"/>
      <c r="E83"/>
      <c r="F83"/>
      <c r="G83"/>
      <c r="H83"/>
      <c r="I83"/>
      <c r="J83"/>
    </row>
    <row r="84" spans="3:10" x14ac:dyDescent="0.3">
      <c r="C84"/>
      <c r="D84"/>
      <c r="E84"/>
      <c r="F84"/>
      <c r="G84"/>
      <c r="H84"/>
      <c r="I84"/>
      <c r="J84"/>
    </row>
    <row r="85" spans="3:10" x14ac:dyDescent="0.3">
      <c r="C85"/>
      <c r="D85"/>
      <c r="E85"/>
      <c r="F85"/>
      <c r="G85"/>
      <c r="H85"/>
      <c r="I85"/>
      <c r="J85"/>
    </row>
  </sheetData>
  <mergeCells count="3">
    <mergeCell ref="B4:J4"/>
    <mergeCell ref="L14:N14"/>
    <mergeCell ref="Q5:V5"/>
  </mergeCells>
  <pageMargins left="0.7" right="0.7" top="0.78740157499999996" bottom="0.78740157499999996" header="0.3" footer="0.3"/>
  <legacyDrawing r:id="rId1"/>
  <tableParts count="2">
    <tablePart r:id="rId2"/>
    <tablePart r:id="rId3"/>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3:MH73"/>
  <sheetViews>
    <sheetView workbookViewId="0">
      <pane xSplit="2" ySplit="4" topLeftCell="C5" activePane="bottomRight" state="frozen"/>
      <selection activeCell="L12" sqref="L12"/>
      <selection pane="topRight" activeCell="L12" sqref="L12"/>
      <selection pane="bottomLeft" activeCell="L12" sqref="L12"/>
      <selection pane="bottomRight" activeCell="L12" sqref="L12"/>
    </sheetView>
  </sheetViews>
  <sheetFormatPr defaultColWidth="9.109375" defaultRowHeight="14.4" x14ac:dyDescent="0.3"/>
  <cols>
    <col min="1" max="1" width="15.88671875" style="2" customWidth="1"/>
    <col min="2" max="2" width="16.5546875" style="2" customWidth="1"/>
    <col min="3" max="3" width="9.5546875" style="2" customWidth="1"/>
    <col min="4" max="4" width="13.6640625" style="2" customWidth="1"/>
    <col min="5" max="5" width="9.109375" style="2"/>
    <col min="6" max="10" width="11.44140625" style="2" bestFit="1" customWidth="1"/>
    <col min="11" max="11" width="14.5546875" style="2" bestFit="1" customWidth="1"/>
    <col min="12" max="15" width="11.44140625" style="2" bestFit="1" customWidth="1"/>
    <col min="16" max="16" width="14.5546875" style="2" bestFit="1" customWidth="1"/>
    <col min="17" max="17" width="11.44140625" style="2" bestFit="1" customWidth="1"/>
    <col min="18" max="18" width="9.109375" style="168"/>
    <col min="19" max="33" width="9.109375" style="2"/>
    <col min="34" max="34" width="9.109375" style="168"/>
    <col min="35" max="49" width="9.109375" style="2"/>
    <col min="50" max="50" width="9.109375" style="168"/>
    <col min="51" max="65" width="9.109375" style="2"/>
    <col min="66" max="66" width="9.109375" style="168"/>
    <col min="67" max="81" width="9.109375" style="2"/>
    <col min="82" max="82" width="9.109375" style="168"/>
    <col min="83" max="97" width="9.109375" style="2"/>
    <col min="98" max="98" width="9.109375" style="168"/>
    <col min="99" max="113" width="9.109375" style="2"/>
    <col min="114" max="114" width="9.109375" style="168"/>
    <col min="115" max="129" width="9.109375" style="2"/>
    <col min="130" max="130" width="9.109375" style="168"/>
    <col min="131" max="145" width="9.109375" style="2"/>
    <col min="146" max="146" width="9.109375" style="168"/>
    <col min="147" max="161" width="9.109375" style="2"/>
    <col min="162" max="162" width="9.109375" style="168"/>
    <col min="163" max="177" width="9.109375" style="2"/>
    <col min="178" max="178" width="9.109375" style="168"/>
    <col min="179" max="193" width="9.109375" style="2"/>
    <col min="194" max="194" width="9.109375" style="168"/>
    <col min="195" max="209" width="9.109375" style="2"/>
    <col min="210" max="210" width="9.109375" style="168"/>
    <col min="211" max="226" width="9.109375" style="2"/>
    <col min="227" max="227" width="9.109375" style="168"/>
    <col min="228" max="243" width="9.109375" style="2"/>
    <col min="244" max="244" width="9.109375" style="168"/>
    <col min="245" max="260" width="9.109375" style="2"/>
    <col min="261" max="261" width="9.109375" style="168"/>
    <col min="262" max="277" width="9.109375" style="2"/>
    <col min="278" max="278" width="9.109375" style="168"/>
    <col min="279" max="294" width="9.109375" style="2"/>
    <col min="295" max="295" width="9.109375" style="168"/>
    <col min="296" max="311" width="9.109375" style="2"/>
    <col min="312" max="312" width="9.109375" style="168"/>
    <col min="313" max="328" width="9.109375" style="2"/>
    <col min="329" max="329" width="9.109375" style="168"/>
    <col min="330" max="345" width="9.109375" style="2"/>
    <col min="346" max="346" width="9.109375" style="168"/>
    <col min="347" max="16384" width="9.109375" style="2"/>
  </cols>
  <sheetData>
    <row r="3" spans="2:344" ht="19.2" thickBot="1" x14ac:dyDescent="0.4">
      <c r="B3" s="363" t="s">
        <v>1253</v>
      </c>
      <c r="F3" s="364" t="s">
        <v>1492</v>
      </c>
      <c r="G3" s="364"/>
      <c r="S3" s="363" t="s">
        <v>1253</v>
      </c>
      <c r="W3" s="364" t="s">
        <v>1493</v>
      </c>
      <c r="AI3" s="363" t="s">
        <v>1253</v>
      </c>
      <c r="AM3" s="364" t="s">
        <v>1586</v>
      </c>
      <c r="AY3" s="363" t="s">
        <v>1253</v>
      </c>
      <c r="BC3" s="364" t="s">
        <v>1693</v>
      </c>
      <c r="BO3" s="363" t="s">
        <v>1253</v>
      </c>
      <c r="BS3" s="364" t="s">
        <v>1785</v>
      </c>
      <c r="CE3" s="363" t="s">
        <v>1253</v>
      </c>
      <c r="CI3" s="364" t="s">
        <v>1876</v>
      </c>
      <c r="CU3" s="363" t="s">
        <v>1253</v>
      </c>
      <c r="CY3" s="364" t="s">
        <v>1974</v>
      </c>
      <c r="DK3" s="363" t="s">
        <v>1253</v>
      </c>
      <c r="DO3" s="364" t="s">
        <v>2061</v>
      </c>
      <c r="EA3" s="363" t="s">
        <v>1253</v>
      </c>
      <c r="EE3" s="364" t="s">
        <v>2138</v>
      </c>
      <c r="EQ3" s="363" t="s">
        <v>2139</v>
      </c>
      <c r="ET3" s="364" t="s">
        <v>2221</v>
      </c>
      <c r="FG3" s="363" t="s">
        <v>2139</v>
      </c>
      <c r="FJ3" s="364" t="s">
        <v>2308</v>
      </c>
      <c r="FW3" s="363" t="s">
        <v>2139</v>
      </c>
      <c r="FZ3" s="364" t="s">
        <v>2387</v>
      </c>
      <c r="GM3" s="363" t="s">
        <v>2139</v>
      </c>
      <c r="GP3" s="364" t="s">
        <v>2469</v>
      </c>
      <c r="HC3" s="363" t="s">
        <v>1253</v>
      </c>
      <c r="HG3" s="364" t="s">
        <v>2542</v>
      </c>
      <c r="HT3" s="363" t="s">
        <v>1253</v>
      </c>
      <c r="HX3" s="364" t="s">
        <v>2609</v>
      </c>
      <c r="IK3" s="363" t="s">
        <v>1253</v>
      </c>
      <c r="IO3" s="364" t="s">
        <v>2689</v>
      </c>
      <c r="JB3" s="363" t="s">
        <v>2690</v>
      </c>
      <c r="JE3" s="364" t="s">
        <v>2755</v>
      </c>
      <c r="JS3" s="363" t="s">
        <v>2690</v>
      </c>
      <c r="JV3" s="364" t="s">
        <v>2791</v>
      </c>
      <c r="KJ3" s="363" t="s">
        <v>2690</v>
      </c>
      <c r="KM3" s="364" t="s">
        <v>2825</v>
      </c>
      <c r="LA3" s="363" t="s">
        <v>2690</v>
      </c>
      <c r="LD3" s="364" t="s">
        <v>2860</v>
      </c>
      <c r="LG3" s="2" t="s">
        <v>2925</v>
      </c>
      <c r="LR3" s="363" t="s">
        <v>2690</v>
      </c>
      <c r="LU3" s="364" t="s">
        <v>2926</v>
      </c>
      <c r="LX3" s="2" t="s">
        <v>2925</v>
      </c>
    </row>
    <row r="4" spans="2:344" ht="15.6" thickTop="1" thickBot="1" x14ac:dyDescent="0.35">
      <c r="B4" s="357" t="s">
        <v>1254</v>
      </c>
      <c r="C4" s="357" t="s">
        <v>813</v>
      </c>
      <c r="D4" s="357" t="s">
        <v>1255</v>
      </c>
      <c r="E4" s="357" t="s">
        <v>16</v>
      </c>
      <c r="F4" s="357" t="s">
        <v>793</v>
      </c>
      <c r="G4" s="357" t="s">
        <v>2470</v>
      </c>
      <c r="H4" s="357" t="s">
        <v>794</v>
      </c>
      <c r="I4" s="357" t="s">
        <v>743</v>
      </c>
      <c r="J4" s="357" t="s">
        <v>795</v>
      </c>
      <c r="K4" s="365" t="s">
        <v>1256</v>
      </c>
      <c r="L4" s="357" t="s">
        <v>1257</v>
      </c>
      <c r="M4" s="357" t="s">
        <v>1258</v>
      </c>
      <c r="N4" s="357" t="s">
        <v>1259</v>
      </c>
      <c r="O4" s="357" t="s">
        <v>1260</v>
      </c>
      <c r="P4" s="357" t="s">
        <v>1261</v>
      </c>
      <c r="Q4" s="358"/>
      <c r="S4" s="357" t="s">
        <v>1254</v>
      </c>
      <c r="T4" s="357" t="s">
        <v>813</v>
      </c>
      <c r="U4" s="357" t="s">
        <v>1255</v>
      </c>
      <c r="V4" s="357" t="s">
        <v>16</v>
      </c>
      <c r="W4" s="357" t="s">
        <v>793</v>
      </c>
      <c r="X4" s="357" t="s">
        <v>794</v>
      </c>
      <c r="Y4" s="357" t="s">
        <v>743</v>
      </c>
      <c r="Z4" s="357" t="s">
        <v>795</v>
      </c>
      <c r="AA4" s="365" t="s">
        <v>1256</v>
      </c>
      <c r="AB4" s="357" t="s">
        <v>1257</v>
      </c>
      <c r="AC4" s="357" t="s">
        <v>1258</v>
      </c>
      <c r="AD4" s="357" t="s">
        <v>1259</v>
      </c>
      <c r="AE4" s="357" t="s">
        <v>1260</v>
      </c>
      <c r="AF4" s="357" t="s">
        <v>1261</v>
      </c>
      <c r="AI4" s="357" t="s">
        <v>1254</v>
      </c>
      <c r="AJ4" s="357" t="s">
        <v>813</v>
      </c>
      <c r="AK4" s="357" t="s">
        <v>1255</v>
      </c>
      <c r="AL4" s="357" t="s">
        <v>16</v>
      </c>
      <c r="AM4" s="357" t="s">
        <v>793</v>
      </c>
      <c r="AN4" s="357" t="s">
        <v>794</v>
      </c>
      <c r="AO4" s="357" t="s">
        <v>743</v>
      </c>
      <c r="AP4" s="357" t="s">
        <v>795</v>
      </c>
      <c r="AQ4" s="365" t="s">
        <v>1256</v>
      </c>
      <c r="AR4" s="357" t="s">
        <v>1257</v>
      </c>
      <c r="AS4" s="357" t="s">
        <v>1258</v>
      </c>
      <c r="AT4" s="357" t="s">
        <v>1259</v>
      </c>
      <c r="AU4" s="357" t="s">
        <v>1260</v>
      </c>
      <c r="AV4" s="357" t="s">
        <v>1261</v>
      </c>
      <c r="AY4" s="357" t="s">
        <v>1254</v>
      </c>
      <c r="AZ4" s="357" t="s">
        <v>813</v>
      </c>
      <c r="BA4" s="357" t="s">
        <v>1255</v>
      </c>
      <c r="BB4" s="357" t="s">
        <v>16</v>
      </c>
      <c r="BC4" s="357" t="s">
        <v>793</v>
      </c>
      <c r="BD4" s="357" t="s">
        <v>794</v>
      </c>
      <c r="BE4" s="357" t="s">
        <v>743</v>
      </c>
      <c r="BF4" s="357" t="s">
        <v>795</v>
      </c>
      <c r="BG4" s="365" t="s">
        <v>1256</v>
      </c>
      <c r="BH4" s="357" t="s">
        <v>1257</v>
      </c>
      <c r="BI4" s="357" t="s">
        <v>1258</v>
      </c>
      <c r="BJ4" s="357" t="s">
        <v>1259</v>
      </c>
      <c r="BK4" s="357" t="s">
        <v>1260</v>
      </c>
      <c r="BL4" s="357" t="s">
        <v>1261</v>
      </c>
      <c r="BO4" s="357" t="s">
        <v>1254</v>
      </c>
      <c r="BP4" s="357" t="s">
        <v>813</v>
      </c>
      <c r="BQ4" s="357" t="s">
        <v>1255</v>
      </c>
      <c r="BR4" s="357" t="s">
        <v>16</v>
      </c>
      <c r="BS4" s="357" t="s">
        <v>793</v>
      </c>
      <c r="BT4" s="357" t="s">
        <v>794</v>
      </c>
      <c r="BU4" s="357" t="s">
        <v>743</v>
      </c>
      <c r="BV4" s="357" t="s">
        <v>795</v>
      </c>
      <c r="BW4" s="365" t="s">
        <v>1256</v>
      </c>
      <c r="BX4" s="357" t="s">
        <v>1257</v>
      </c>
      <c r="BY4" s="357" t="s">
        <v>1258</v>
      </c>
      <c r="BZ4" s="357" t="s">
        <v>1259</v>
      </c>
      <c r="CA4" s="357" t="s">
        <v>1260</v>
      </c>
      <c r="CB4" s="357" t="s">
        <v>1261</v>
      </c>
      <c r="CE4" s="357" t="s">
        <v>1254</v>
      </c>
      <c r="CF4" s="357" t="s">
        <v>813</v>
      </c>
      <c r="CG4" s="357" t="s">
        <v>1255</v>
      </c>
      <c r="CH4" s="357" t="s">
        <v>16</v>
      </c>
      <c r="CI4" s="357" t="s">
        <v>793</v>
      </c>
      <c r="CJ4" s="357" t="s">
        <v>794</v>
      </c>
      <c r="CK4" s="357" t="s">
        <v>743</v>
      </c>
      <c r="CL4" s="357" t="s">
        <v>795</v>
      </c>
      <c r="CM4" s="365" t="s">
        <v>1256</v>
      </c>
      <c r="CN4" s="357" t="s">
        <v>1257</v>
      </c>
      <c r="CO4" s="357" t="s">
        <v>1258</v>
      </c>
      <c r="CP4" s="357" t="s">
        <v>1259</v>
      </c>
      <c r="CQ4" s="357" t="s">
        <v>1260</v>
      </c>
      <c r="CR4" s="357" t="s">
        <v>1261</v>
      </c>
      <c r="CU4" s="357" t="s">
        <v>1254</v>
      </c>
      <c r="CV4" s="357" t="s">
        <v>813</v>
      </c>
      <c r="CW4" s="357" t="s">
        <v>1255</v>
      </c>
      <c r="CX4" s="357" t="s">
        <v>16</v>
      </c>
      <c r="CY4" s="357" t="s">
        <v>793</v>
      </c>
      <c r="CZ4" s="357" t="s">
        <v>794</v>
      </c>
      <c r="DA4" s="357" t="s">
        <v>743</v>
      </c>
      <c r="DB4" s="357" t="s">
        <v>795</v>
      </c>
      <c r="DC4" s="365" t="s">
        <v>1256</v>
      </c>
      <c r="DD4" s="357" t="s">
        <v>1257</v>
      </c>
      <c r="DE4" s="357" t="s">
        <v>1258</v>
      </c>
      <c r="DF4" s="357" t="s">
        <v>1259</v>
      </c>
      <c r="DG4" s="357" t="s">
        <v>1260</v>
      </c>
      <c r="DH4" s="357" t="s">
        <v>1261</v>
      </c>
      <c r="DK4" s="357" t="s">
        <v>1254</v>
      </c>
      <c r="DL4" s="357" t="s">
        <v>813</v>
      </c>
      <c r="DM4" s="357" t="s">
        <v>1255</v>
      </c>
      <c r="DN4" s="357" t="s">
        <v>16</v>
      </c>
      <c r="DO4" s="357" t="s">
        <v>793</v>
      </c>
      <c r="DP4" s="357" t="s">
        <v>794</v>
      </c>
      <c r="DQ4" s="357" t="s">
        <v>743</v>
      </c>
      <c r="DR4" s="357" t="s">
        <v>795</v>
      </c>
      <c r="DS4" s="365" t="s">
        <v>1256</v>
      </c>
      <c r="DT4" s="357" t="s">
        <v>1257</v>
      </c>
      <c r="DU4" s="357" t="s">
        <v>1258</v>
      </c>
      <c r="DV4" s="357" t="s">
        <v>1259</v>
      </c>
      <c r="DW4" s="357" t="s">
        <v>1260</v>
      </c>
      <c r="DX4" s="357" t="s">
        <v>1261</v>
      </c>
      <c r="EA4" s="357" t="s">
        <v>1254</v>
      </c>
      <c r="EB4" s="357" t="s">
        <v>813</v>
      </c>
      <c r="EC4" s="357" t="s">
        <v>1255</v>
      </c>
      <c r="ED4" s="357" t="s">
        <v>16</v>
      </c>
      <c r="EE4" s="357" t="s">
        <v>793</v>
      </c>
      <c r="EF4" s="357" t="s">
        <v>794</v>
      </c>
      <c r="EG4" s="357" t="s">
        <v>743</v>
      </c>
      <c r="EH4" s="357" t="s">
        <v>795</v>
      </c>
      <c r="EI4" s="365" t="s">
        <v>1256</v>
      </c>
      <c r="EJ4" s="357" t="s">
        <v>1257</v>
      </c>
      <c r="EK4" s="357" t="s">
        <v>1258</v>
      </c>
      <c r="EL4" s="357" t="s">
        <v>1259</v>
      </c>
      <c r="EM4" s="357" t="s">
        <v>1260</v>
      </c>
      <c r="EN4" s="357" t="s">
        <v>1261</v>
      </c>
      <c r="EQ4" s="357" t="s">
        <v>1254</v>
      </c>
      <c r="ER4" s="357" t="s">
        <v>813</v>
      </c>
      <c r="ES4" s="357" t="s">
        <v>1255</v>
      </c>
      <c r="ET4" s="357" t="s">
        <v>16</v>
      </c>
      <c r="EU4" s="357" t="s">
        <v>793</v>
      </c>
      <c r="EV4" s="357" t="s">
        <v>794</v>
      </c>
      <c r="EW4" s="357" t="s">
        <v>743</v>
      </c>
      <c r="EX4" s="357" t="s">
        <v>795</v>
      </c>
      <c r="EY4" s="365" t="s">
        <v>1256</v>
      </c>
      <c r="EZ4" s="357" t="s">
        <v>1257</v>
      </c>
      <c r="FA4" s="357" t="s">
        <v>1258</v>
      </c>
      <c r="FB4" s="357" t="s">
        <v>1259</v>
      </c>
      <c r="FC4" s="357" t="s">
        <v>1260</v>
      </c>
      <c r="FD4" s="357" t="s">
        <v>1261</v>
      </c>
      <c r="FG4" s="357" t="s">
        <v>1254</v>
      </c>
      <c r="FH4" s="357" t="s">
        <v>813</v>
      </c>
      <c r="FI4" s="357" t="s">
        <v>1255</v>
      </c>
      <c r="FJ4" s="357" t="s">
        <v>16</v>
      </c>
      <c r="FK4" s="357" t="s">
        <v>793</v>
      </c>
      <c r="FL4" s="357" t="s">
        <v>794</v>
      </c>
      <c r="FM4" s="357" t="s">
        <v>743</v>
      </c>
      <c r="FN4" s="357" t="s">
        <v>795</v>
      </c>
      <c r="FO4" s="365" t="s">
        <v>1256</v>
      </c>
      <c r="FP4" s="357" t="s">
        <v>1257</v>
      </c>
      <c r="FQ4" s="357" t="s">
        <v>1258</v>
      </c>
      <c r="FR4" s="357" t="s">
        <v>1259</v>
      </c>
      <c r="FS4" s="357" t="s">
        <v>1260</v>
      </c>
      <c r="FT4" s="357" t="s">
        <v>1261</v>
      </c>
      <c r="FW4" s="357" t="s">
        <v>1254</v>
      </c>
      <c r="FX4" s="357" t="s">
        <v>813</v>
      </c>
      <c r="FY4" s="357" t="s">
        <v>1255</v>
      </c>
      <c r="FZ4" s="357" t="s">
        <v>16</v>
      </c>
      <c r="GA4" s="357" t="s">
        <v>793</v>
      </c>
      <c r="GB4" s="357" t="s">
        <v>794</v>
      </c>
      <c r="GC4" s="357" t="s">
        <v>743</v>
      </c>
      <c r="GD4" s="357" t="s">
        <v>795</v>
      </c>
      <c r="GE4" s="365" t="s">
        <v>1256</v>
      </c>
      <c r="GF4" s="357" t="s">
        <v>1257</v>
      </c>
      <c r="GG4" s="357" t="s">
        <v>1258</v>
      </c>
      <c r="GH4" s="357" t="s">
        <v>1259</v>
      </c>
      <c r="GI4" s="357" t="s">
        <v>1260</v>
      </c>
      <c r="GJ4" s="357" t="s">
        <v>1261</v>
      </c>
      <c r="GM4" s="357" t="s">
        <v>1254</v>
      </c>
      <c r="GN4" s="357" t="s">
        <v>813</v>
      </c>
      <c r="GO4" s="357" t="s">
        <v>1255</v>
      </c>
      <c r="GP4" s="357" t="s">
        <v>16</v>
      </c>
      <c r="GQ4" s="357" t="s">
        <v>793</v>
      </c>
      <c r="GR4" s="357" t="s">
        <v>794</v>
      </c>
      <c r="GS4" s="357" t="s">
        <v>743</v>
      </c>
      <c r="GT4" s="357" t="s">
        <v>795</v>
      </c>
      <c r="GU4" s="365" t="s">
        <v>1256</v>
      </c>
      <c r="GV4" s="357" t="s">
        <v>1257</v>
      </c>
      <c r="GW4" s="357" t="s">
        <v>1258</v>
      </c>
      <c r="GX4" s="357" t="s">
        <v>1259</v>
      </c>
      <c r="GY4" s="357" t="s">
        <v>1260</v>
      </c>
      <c r="GZ4" s="357" t="s">
        <v>1261</v>
      </c>
      <c r="HC4" s="357" t="s">
        <v>1254</v>
      </c>
      <c r="HD4" s="357" t="s">
        <v>813</v>
      </c>
      <c r="HE4" s="357" t="s">
        <v>1255</v>
      </c>
      <c r="HF4" s="357" t="s">
        <v>16</v>
      </c>
      <c r="HG4" s="357" t="s">
        <v>793</v>
      </c>
      <c r="HH4" s="357" t="s">
        <v>2470</v>
      </c>
      <c r="HI4" s="357" t="s">
        <v>794</v>
      </c>
      <c r="HJ4" s="357" t="s">
        <v>743</v>
      </c>
      <c r="HK4" s="357" t="s">
        <v>795</v>
      </c>
      <c r="HL4" s="365" t="s">
        <v>1256</v>
      </c>
      <c r="HM4" s="357" t="s">
        <v>1257</v>
      </c>
      <c r="HN4" s="357" t="s">
        <v>1258</v>
      </c>
      <c r="HO4" s="357" t="s">
        <v>1259</v>
      </c>
      <c r="HP4" s="357" t="s">
        <v>1260</v>
      </c>
      <c r="HQ4" s="357" t="s">
        <v>1261</v>
      </c>
      <c r="HT4" s="357" t="s">
        <v>1254</v>
      </c>
      <c r="HU4" s="357" t="s">
        <v>813</v>
      </c>
      <c r="HV4" s="357" t="s">
        <v>1255</v>
      </c>
      <c r="HW4" s="357" t="s">
        <v>16</v>
      </c>
      <c r="HX4" s="357" t="s">
        <v>793</v>
      </c>
      <c r="HY4" s="357" t="s">
        <v>2470</v>
      </c>
      <c r="HZ4" s="357" t="s">
        <v>794</v>
      </c>
      <c r="IA4" s="357" t="s">
        <v>743</v>
      </c>
      <c r="IB4" s="357" t="s">
        <v>795</v>
      </c>
      <c r="IC4" s="365" t="s">
        <v>1256</v>
      </c>
      <c r="ID4" s="357" t="s">
        <v>1257</v>
      </c>
      <c r="IE4" s="357" t="s">
        <v>1258</v>
      </c>
      <c r="IF4" s="357" t="s">
        <v>1259</v>
      </c>
      <c r="IG4" s="357" t="s">
        <v>1260</v>
      </c>
      <c r="IH4" s="357" t="s">
        <v>1261</v>
      </c>
      <c r="IK4" s="357" t="s">
        <v>1254</v>
      </c>
      <c r="IL4" s="357" t="s">
        <v>813</v>
      </c>
      <c r="IM4" s="357" t="s">
        <v>1255</v>
      </c>
      <c r="IN4" s="357" t="s">
        <v>16</v>
      </c>
      <c r="IO4" s="357" t="s">
        <v>793</v>
      </c>
      <c r="IP4" s="357" t="s">
        <v>2470</v>
      </c>
      <c r="IQ4" s="357" t="s">
        <v>794</v>
      </c>
      <c r="IR4" s="357" t="s">
        <v>743</v>
      </c>
      <c r="IS4" s="357" t="s">
        <v>795</v>
      </c>
      <c r="IT4" s="365" t="s">
        <v>1256</v>
      </c>
      <c r="IU4" s="357" t="s">
        <v>1257</v>
      </c>
      <c r="IV4" s="357" t="s">
        <v>1258</v>
      </c>
      <c r="IW4" s="357" t="s">
        <v>1259</v>
      </c>
      <c r="IX4" s="357" t="s">
        <v>1260</v>
      </c>
      <c r="IY4" s="357" t="s">
        <v>1261</v>
      </c>
      <c r="JB4" s="357" t="s">
        <v>1254</v>
      </c>
      <c r="JC4" s="357" t="s">
        <v>813</v>
      </c>
      <c r="JD4" s="357" t="s">
        <v>1255</v>
      </c>
      <c r="JE4" s="357" t="s">
        <v>16</v>
      </c>
      <c r="JF4" s="357" t="s">
        <v>793</v>
      </c>
      <c r="JG4" s="357" t="s">
        <v>2470</v>
      </c>
      <c r="JH4" s="357" t="s">
        <v>794</v>
      </c>
      <c r="JI4" s="357" t="s">
        <v>743</v>
      </c>
      <c r="JJ4" s="357" t="s">
        <v>795</v>
      </c>
      <c r="JK4" s="365" t="s">
        <v>1256</v>
      </c>
      <c r="JL4" s="357" t="s">
        <v>1257</v>
      </c>
      <c r="JM4" s="357" t="s">
        <v>1258</v>
      </c>
      <c r="JN4" s="357" t="s">
        <v>1259</v>
      </c>
      <c r="JO4" s="357" t="s">
        <v>1260</v>
      </c>
      <c r="JP4" s="357" t="s">
        <v>1261</v>
      </c>
      <c r="JS4" s="357" t="s">
        <v>1254</v>
      </c>
      <c r="JT4" s="357" t="s">
        <v>813</v>
      </c>
      <c r="JU4" s="357" t="s">
        <v>1255</v>
      </c>
      <c r="JV4" s="357" t="s">
        <v>16</v>
      </c>
      <c r="JW4" s="357" t="s">
        <v>793</v>
      </c>
      <c r="JX4" s="357" t="s">
        <v>2470</v>
      </c>
      <c r="JY4" s="357" t="s">
        <v>794</v>
      </c>
      <c r="JZ4" s="357" t="s">
        <v>743</v>
      </c>
      <c r="KA4" s="357" t="s">
        <v>795</v>
      </c>
      <c r="KB4" s="365" t="s">
        <v>1256</v>
      </c>
      <c r="KC4" s="357" t="s">
        <v>1257</v>
      </c>
      <c r="KD4" s="357" t="s">
        <v>1258</v>
      </c>
      <c r="KE4" s="357" t="s">
        <v>1259</v>
      </c>
      <c r="KF4" s="357" t="s">
        <v>1260</v>
      </c>
      <c r="KG4" s="357" t="s">
        <v>1261</v>
      </c>
      <c r="KJ4" s="357" t="s">
        <v>1254</v>
      </c>
      <c r="KK4" s="357" t="s">
        <v>813</v>
      </c>
      <c r="KL4" s="357" t="s">
        <v>1255</v>
      </c>
      <c r="KM4" s="357" t="s">
        <v>16</v>
      </c>
      <c r="KN4" s="357" t="s">
        <v>793</v>
      </c>
      <c r="KO4" s="357" t="s">
        <v>2470</v>
      </c>
      <c r="KP4" s="357" t="s">
        <v>794</v>
      </c>
      <c r="KQ4" s="357" t="s">
        <v>743</v>
      </c>
      <c r="KR4" s="357" t="s">
        <v>795</v>
      </c>
      <c r="KS4" s="365" t="s">
        <v>1256</v>
      </c>
      <c r="KT4" s="357" t="s">
        <v>1257</v>
      </c>
      <c r="KU4" s="357" t="s">
        <v>1258</v>
      </c>
      <c r="KV4" s="357" t="s">
        <v>1259</v>
      </c>
      <c r="KW4" s="357" t="s">
        <v>1260</v>
      </c>
      <c r="KX4" s="357" t="s">
        <v>1261</v>
      </c>
      <c r="LA4" s="357" t="s">
        <v>1254</v>
      </c>
      <c r="LB4" s="357" t="s">
        <v>813</v>
      </c>
      <c r="LC4" s="357" t="s">
        <v>1255</v>
      </c>
      <c r="LD4" s="357" t="s">
        <v>16</v>
      </c>
      <c r="LE4" s="357" t="s">
        <v>793</v>
      </c>
      <c r="LF4" s="357" t="s">
        <v>2470</v>
      </c>
      <c r="LG4" s="357" t="s">
        <v>794</v>
      </c>
      <c r="LH4" s="357" t="s">
        <v>743</v>
      </c>
      <c r="LI4" s="357" t="s">
        <v>795</v>
      </c>
      <c r="LJ4" s="365" t="s">
        <v>1256</v>
      </c>
      <c r="LK4" s="357" t="s">
        <v>1257</v>
      </c>
      <c r="LL4" s="357" t="s">
        <v>1258</v>
      </c>
      <c r="LM4" s="357" t="s">
        <v>1259</v>
      </c>
      <c r="LN4" s="357" t="s">
        <v>1260</v>
      </c>
      <c r="LO4" s="357" t="s">
        <v>1261</v>
      </c>
      <c r="LR4" s="357" t="s">
        <v>1254</v>
      </c>
      <c r="LS4" s="357" t="s">
        <v>813</v>
      </c>
      <c r="LT4" s="357" t="s">
        <v>1255</v>
      </c>
      <c r="LU4" s="357" t="s">
        <v>16</v>
      </c>
      <c r="LV4" s="357" t="s">
        <v>793</v>
      </c>
      <c r="LW4" s="357" t="s">
        <v>2470</v>
      </c>
      <c r="LX4" s="357" t="s">
        <v>794</v>
      </c>
      <c r="LY4" s="357" t="s">
        <v>743</v>
      </c>
      <c r="LZ4" s="357" t="s">
        <v>795</v>
      </c>
      <c r="MA4" s="365" t="s">
        <v>1256</v>
      </c>
      <c r="MB4" s="357" t="s">
        <v>1257</v>
      </c>
      <c r="MC4" s="357" t="s">
        <v>1258</v>
      </c>
      <c r="MD4" s="357" t="s">
        <v>1259</v>
      </c>
      <c r="ME4" s="357" t="s">
        <v>1260</v>
      </c>
      <c r="MF4" s="357" t="s">
        <v>1261</v>
      </c>
    </row>
    <row r="5" spans="2:344" ht="42" thickBot="1" x14ac:dyDescent="0.35">
      <c r="B5" s="339">
        <v>1</v>
      </c>
      <c r="C5" s="339" t="s">
        <v>1262</v>
      </c>
      <c r="D5" s="339">
        <v>52</v>
      </c>
      <c r="E5" s="339">
        <v>30</v>
      </c>
      <c r="F5" s="339">
        <v>3</v>
      </c>
      <c r="G5" s="339"/>
      <c r="H5" s="339">
        <v>5</v>
      </c>
      <c r="I5" s="339">
        <v>14</v>
      </c>
      <c r="J5" s="339" t="s">
        <v>1263</v>
      </c>
      <c r="K5" s="351">
        <v>101</v>
      </c>
      <c r="L5" s="339">
        <v>51</v>
      </c>
      <c r="M5" s="339" t="s">
        <v>1264</v>
      </c>
      <c r="N5" s="339">
        <v>30</v>
      </c>
      <c r="O5" s="339" t="s">
        <v>1265</v>
      </c>
      <c r="P5" s="339">
        <v>6</v>
      </c>
      <c r="Q5" s="342"/>
      <c r="S5" s="339">
        <v>1</v>
      </c>
      <c r="T5" s="339" t="s">
        <v>1270</v>
      </c>
      <c r="U5" s="339">
        <v>52</v>
      </c>
      <c r="V5" s="339">
        <v>28</v>
      </c>
      <c r="W5" s="339">
        <v>7</v>
      </c>
      <c r="X5" s="339">
        <v>9</v>
      </c>
      <c r="Y5" s="339">
        <v>8</v>
      </c>
      <c r="Z5" s="339" t="s">
        <v>1401</v>
      </c>
      <c r="AA5" s="351">
        <v>107</v>
      </c>
      <c r="AB5" s="339">
        <v>43</v>
      </c>
      <c r="AC5" s="339" t="s">
        <v>1402</v>
      </c>
      <c r="AD5" s="339">
        <v>36</v>
      </c>
      <c r="AE5" s="339" t="s">
        <v>1403</v>
      </c>
      <c r="AF5" s="339">
        <v>6</v>
      </c>
      <c r="AI5" s="339">
        <v>1</v>
      </c>
      <c r="AJ5" s="339" t="s">
        <v>1262</v>
      </c>
      <c r="AK5" s="339">
        <v>52</v>
      </c>
      <c r="AL5" s="339">
        <v>31</v>
      </c>
      <c r="AM5" s="339">
        <v>2</v>
      </c>
      <c r="AN5" s="339">
        <v>6</v>
      </c>
      <c r="AO5" s="339">
        <v>13</v>
      </c>
      <c r="AP5" s="339" t="s">
        <v>1494</v>
      </c>
      <c r="AQ5" s="351">
        <v>103</v>
      </c>
      <c r="AR5" s="339">
        <v>34</v>
      </c>
      <c r="AS5" s="339" t="s">
        <v>1495</v>
      </c>
      <c r="AT5" s="339">
        <v>35</v>
      </c>
      <c r="AU5" s="339" t="s">
        <v>1496</v>
      </c>
      <c r="AV5" s="339">
        <v>4</v>
      </c>
      <c r="AY5" s="339">
        <v>1</v>
      </c>
      <c r="AZ5" s="339" t="s">
        <v>1262</v>
      </c>
      <c r="BA5" s="339">
        <v>52</v>
      </c>
      <c r="BB5" s="339">
        <v>33</v>
      </c>
      <c r="BC5" s="339">
        <v>8</v>
      </c>
      <c r="BD5" s="339">
        <v>3</v>
      </c>
      <c r="BE5" s="339">
        <v>8</v>
      </c>
      <c r="BF5" s="339" t="s">
        <v>1605</v>
      </c>
      <c r="BG5" s="351">
        <v>118</v>
      </c>
      <c r="BH5" s="339">
        <v>53</v>
      </c>
      <c r="BI5" s="339" t="s">
        <v>1606</v>
      </c>
      <c r="BJ5" s="339">
        <v>34</v>
      </c>
      <c r="BK5" s="339" t="s">
        <v>1607</v>
      </c>
      <c r="BL5" s="339">
        <v>7</v>
      </c>
      <c r="BO5" s="339">
        <v>1</v>
      </c>
      <c r="BP5" s="339" t="s">
        <v>1266</v>
      </c>
      <c r="BQ5" s="339">
        <v>52</v>
      </c>
      <c r="BR5" s="339">
        <v>32</v>
      </c>
      <c r="BS5" s="339">
        <v>4</v>
      </c>
      <c r="BT5" s="339">
        <v>3</v>
      </c>
      <c r="BU5" s="339">
        <v>13</v>
      </c>
      <c r="BV5" s="339" t="s">
        <v>1694</v>
      </c>
      <c r="BW5" s="351">
        <v>107</v>
      </c>
      <c r="BX5" s="339">
        <v>59</v>
      </c>
      <c r="BY5" s="339" t="s">
        <v>1695</v>
      </c>
      <c r="BZ5" s="339">
        <v>47</v>
      </c>
      <c r="CA5" s="339" t="s">
        <v>1696</v>
      </c>
      <c r="CB5" s="339">
        <v>13</v>
      </c>
      <c r="CE5" s="339">
        <v>1</v>
      </c>
      <c r="CF5" s="339" t="s">
        <v>1297</v>
      </c>
      <c r="CG5" s="339">
        <v>52</v>
      </c>
      <c r="CH5" s="339">
        <v>34</v>
      </c>
      <c r="CI5" s="339">
        <v>1</v>
      </c>
      <c r="CJ5" s="339">
        <v>6</v>
      </c>
      <c r="CK5" s="339">
        <v>11</v>
      </c>
      <c r="CL5" s="339" t="s">
        <v>1786</v>
      </c>
      <c r="CM5" s="351">
        <v>110</v>
      </c>
      <c r="CN5" s="339">
        <v>53</v>
      </c>
      <c r="CO5" s="339" t="s">
        <v>1787</v>
      </c>
      <c r="CP5" s="339">
        <v>34</v>
      </c>
      <c r="CQ5" s="339" t="s">
        <v>1788</v>
      </c>
      <c r="CR5" s="339">
        <v>8</v>
      </c>
      <c r="CU5" s="339">
        <v>1</v>
      </c>
      <c r="CV5" s="339" t="s">
        <v>1293</v>
      </c>
      <c r="CW5" s="339">
        <v>52</v>
      </c>
      <c r="CX5" s="339">
        <v>25</v>
      </c>
      <c r="CY5" s="339">
        <v>7</v>
      </c>
      <c r="CZ5" s="339">
        <v>5</v>
      </c>
      <c r="DA5" s="339">
        <v>15</v>
      </c>
      <c r="DB5" s="339" t="s">
        <v>1877</v>
      </c>
      <c r="DC5" s="351">
        <v>94</v>
      </c>
      <c r="DD5" s="339">
        <v>50</v>
      </c>
      <c r="DE5" s="339" t="s">
        <v>1878</v>
      </c>
      <c r="DF5" s="339">
        <v>30</v>
      </c>
      <c r="DG5" s="339" t="s">
        <v>1879</v>
      </c>
      <c r="DH5" s="339">
        <v>3</v>
      </c>
      <c r="DK5" s="339">
        <v>1</v>
      </c>
      <c r="DL5" s="339" t="s">
        <v>1297</v>
      </c>
      <c r="DM5" s="339">
        <v>52</v>
      </c>
      <c r="DN5" s="339">
        <v>27</v>
      </c>
      <c r="DO5" s="339">
        <v>8</v>
      </c>
      <c r="DP5" s="339">
        <v>10</v>
      </c>
      <c r="DQ5" s="339">
        <v>7</v>
      </c>
      <c r="DR5" s="339" t="s">
        <v>1975</v>
      </c>
      <c r="DS5" s="351">
        <v>107</v>
      </c>
      <c r="DT5" s="339">
        <v>44</v>
      </c>
      <c r="DU5" s="339" t="s">
        <v>1976</v>
      </c>
      <c r="DV5" s="339">
        <v>21</v>
      </c>
      <c r="DW5" s="339" t="s">
        <v>1977</v>
      </c>
      <c r="DX5" s="339">
        <v>5</v>
      </c>
      <c r="EA5" s="339">
        <v>1</v>
      </c>
      <c r="EB5" s="339" t="s">
        <v>1266</v>
      </c>
      <c r="EC5" s="339">
        <v>52</v>
      </c>
      <c r="ED5" s="339">
        <v>26</v>
      </c>
      <c r="EE5" s="339">
        <v>5</v>
      </c>
      <c r="EF5" s="339">
        <v>8</v>
      </c>
      <c r="EG5" s="339">
        <v>13</v>
      </c>
      <c r="EH5" s="339" t="s">
        <v>2062</v>
      </c>
      <c r="EI5" s="351">
        <v>96</v>
      </c>
      <c r="EJ5" s="339">
        <v>51</v>
      </c>
      <c r="EK5" s="339" t="s">
        <v>1563</v>
      </c>
      <c r="EL5" s="339">
        <v>37</v>
      </c>
      <c r="EM5" s="339" t="s">
        <v>2063</v>
      </c>
      <c r="EN5" s="339">
        <v>6</v>
      </c>
      <c r="EQ5" s="339">
        <v>1</v>
      </c>
      <c r="ER5" s="339" t="s">
        <v>1978</v>
      </c>
      <c r="ES5" s="339">
        <v>52</v>
      </c>
      <c r="ET5" s="339">
        <v>29</v>
      </c>
      <c r="EU5" s="339">
        <v>6</v>
      </c>
      <c r="EV5" s="339">
        <v>7</v>
      </c>
      <c r="EW5" s="339">
        <v>10</v>
      </c>
      <c r="EX5" s="339" t="s">
        <v>2140</v>
      </c>
      <c r="EY5" s="351">
        <v>106</v>
      </c>
      <c r="EZ5" s="339">
        <v>64</v>
      </c>
      <c r="FA5" s="339" t="s">
        <v>2141</v>
      </c>
      <c r="FB5" s="339">
        <v>32</v>
      </c>
      <c r="FC5" s="339" t="s">
        <v>2018</v>
      </c>
      <c r="FD5" s="339">
        <v>7</v>
      </c>
      <c r="FG5" s="339">
        <v>1</v>
      </c>
      <c r="FH5" s="339" t="s">
        <v>1591</v>
      </c>
      <c r="FI5" s="339">
        <v>52</v>
      </c>
      <c r="FJ5" s="339">
        <v>23</v>
      </c>
      <c r="FK5" s="339">
        <v>9</v>
      </c>
      <c r="FL5" s="339">
        <v>6</v>
      </c>
      <c r="FM5" s="339">
        <v>14</v>
      </c>
      <c r="FN5" s="339" t="s">
        <v>2222</v>
      </c>
      <c r="FO5" s="351">
        <v>93</v>
      </c>
      <c r="FP5" s="339">
        <v>53</v>
      </c>
      <c r="FQ5" s="339" t="s">
        <v>2223</v>
      </c>
      <c r="FR5" s="339">
        <v>44</v>
      </c>
      <c r="FS5" s="339" t="s">
        <v>1796</v>
      </c>
      <c r="FT5" s="339">
        <v>7</v>
      </c>
      <c r="FW5" s="339">
        <v>1</v>
      </c>
      <c r="FX5" s="339" t="s">
        <v>1895</v>
      </c>
      <c r="FY5" s="339">
        <v>52</v>
      </c>
      <c r="FZ5" s="339">
        <v>30</v>
      </c>
      <c r="GA5" s="339">
        <v>5</v>
      </c>
      <c r="GB5" s="339">
        <v>6</v>
      </c>
      <c r="GC5" s="339">
        <v>11</v>
      </c>
      <c r="GD5" s="339" t="s">
        <v>2309</v>
      </c>
      <c r="GE5" s="351">
        <v>106</v>
      </c>
      <c r="GF5" s="339">
        <v>56</v>
      </c>
      <c r="GG5" s="339" t="s">
        <v>2310</v>
      </c>
      <c r="GH5" s="339">
        <v>41</v>
      </c>
      <c r="GI5" s="339" t="s">
        <v>2311</v>
      </c>
      <c r="GJ5" s="339">
        <v>8</v>
      </c>
      <c r="GM5" s="339">
        <v>1</v>
      </c>
      <c r="GN5" s="339" t="s">
        <v>1262</v>
      </c>
      <c r="GO5" s="339">
        <v>52</v>
      </c>
      <c r="GP5" s="339">
        <v>28</v>
      </c>
      <c r="GQ5" s="339">
        <v>6</v>
      </c>
      <c r="GR5" s="339">
        <v>4</v>
      </c>
      <c r="GS5" s="339">
        <v>14</v>
      </c>
      <c r="GT5" s="339" t="s">
        <v>2388</v>
      </c>
      <c r="GU5" s="351">
        <v>100</v>
      </c>
      <c r="GV5" s="339">
        <v>63</v>
      </c>
      <c r="GW5" s="339" t="s">
        <v>1564</v>
      </c>
      <c r="GX5" s="339">
        <v>48</v>
      </c>
      <c r="GY5" s="339" t="s">
        <v>2389</v>
      </c>
      <c r="GZ5" s="339">
        <v>12</v>
      </c>
      <c r="HC5" s="339">
        <v>1</v>
      </c>
      <c r="HD5" s="339" t="s">
        <v>1262</v>
      </c>
      <c r="HE5" s="339">
        <v>52</v>
      </c>
      <c r="HF5" s="339">
        <v>32</v>
      </c>
      <c r="HG5" s="339">
        <v>1</v>
      </c>
      <c r="HH5" s="339">
        <v>5</v>
      </c>
      <c r="HI5" s="339">
        <v>3</v>
      </c>
      <c r="HJ5" s="339">
        <v>11</v>
      </c>
      <c r="HK5" s="339" t="s">
        <v>2471</v>
      </c>
      <c r="HL5" s="351">
        <v>106</v>
      </c>
      <c r="HM5" s="339">
        <v>55</v>
      </c>
      <c r="HN5" s="339" t="s">
        <v>2472</v>
      </c>
      <c r="HO5" s="339">
        <v>41</v>
      </c>
      <c r="HP5" s="339" t="s">
        <v>2473</v>
      </c>
      <c r="HQ5" s="339">
        <v>7</v>
      </c>
      <c r="HT5" s="339">
        <v>1</v>
      </c>
      <c r="HU5" s="339" t="s">
        <v>1293</v>
      </c>
      <c r="HV5" s="339">
        <v>52</v>
      </c>
      <c r="HW5" s="339">
        <v>31</v>
      </c>
      <c r="HX5" s="339">
        <v>2</v>
      </c>
      <c r="HY5" s="339">
        <v>4</v>
      </c>
      <c r="HZ5" s="339">
        <v>3</v>
      </c>
      <c r="IA5" s="339">
        <v>12</v>
      </c>
      <c r="IB5" s="339" t="s">
        <v>2543</v>
      </c>
      <c r="IC5" s="351">
        <v>104</v>
      </c>
      <c r="ID5" s="339">
        <v>40</v>
      </c>
      <c r="IE5" s="339" t="s">
        <v>2084</v>
      </c>
      <c r="IF5" s="339">
        <v>26</v>
      </c>
      <c r="IG5" s="339" t="s">
        <v>2544</v>
      </c>
      <c r="IH5" s="339">
        <v>4</v>
      </c>
      <c r="IK5" s="339">
        <v>1</v>
      </c>
      <c r="IL5" s="339" t="s">
        <v>2224</v>
      </c>
      <c r="IM5" s="339">
        <v>52</v>
      </c>
      <c r="IN5" s="339">
        <v>32</v>
      </c>
      <c r="IO5" s="339">
        <v>0</v>
      </c>
      <c r="IP5" s="339">
        <v>7</v>
      </c>
      <c r="IQ5" s="339">
        <v>5</v>
      </c>
      <c r="IR5" s="339">
        <v>8</v>
      </c>
      <c r="IS5" s="339" t="s">
        <v>2610</v>
      </c>
      <c r="IT5" s="351">
        <v>108</v>
      </c>
      <c r="IU5" s="339">
        <v>51</v>
      </c>
      <c r="IV5" s="339" t="s">
        <v>2611</v>
      </c>
      <c r="IW5" s="339">
        <v>25</v>
      </c>
      <c r="IX5" s="339" t="s">
        <v>2612</v>
      </c>
      <c r="IY5" s="339">
        <v>9</v>
      </c>
      <c r="JB5" s="339">
        <v>1</v>
      </c>
      <c r="JC5" s="339" t="s">
        <v>1311</v>
      </c>
      <c r="JD5" s="339">
        <v>52</v>
      </c>
      <c r="JE5" s="339">
        <v>33</v>
      </c>
      <c r="JF5" s="339">
        <v>4</v>
      </c>
      <c r="JG5" s="339">
        <v>2</v>
      </c>
      <c r="JH5" s="339">
        <v>2</v>
      </c>
      <c r="JI5" s="339">
        <v>11</v>
      </c>
      <c r="JJ5" s="339" t="s">
        <v>2691</v>
      </c>
      <c r="JK5" s="351">
        <v>111</v>
      </c>
      <c r="JL5" s="339">
        <v>44</v>
      </c>
      <c r="JM5" s="339" t="s">
        <v>1903</v>
      </c>
      <c r="JN5" s="339">
        <v>39</v>
      </c>
      <c r="JO5" s="339" t="s">
        <v>2692</v>
      </c>
      <c r="JP5" s="339">
        <v>8</v>
      </c>
      <c r="JS5" s="339">
        <v>1</v>
      </c>
      <c r="JT5" s="339" t="s">
        <v>1297</v>
      </c>
      <c r="JU5" s="339">
        <v>52</v>
      </c>
      <c r="JV5" s="339">
        <v>28</v>
      </c>
      <c r="JW5" s="339">
        <v>4</v>
      </c>
      <c r="JX5" s="339">
        <v>8</v>
      </c>
      <c r="JY5" s="339">
        <v>3</v>
      </c>
      <c r="JZ5" s="339">
        <v>9</v>
      </c>
      <c r="KA5" s="339" t="s">
        <v>2756</v>
      </c>
      <c r="KB5" s="351">
        <v>103</v>
      </c>
      <c r="KC5" s="339">
        <v>0</v>
      </c>
      <c r="KD5" s="339" t="s">
        <v>78</v>
      </c>
      <c r="KE5" s="339">
        <v>0</v>
      </c>
      <c r="KF5" s="339" t="s">
        <v>2757</v>
      </c>
      <c r="KG5" s="339">
        <v>0</v>
      </c>
      <c r="KJ5" s="339">
        <v>1</v>
      </c>
      <c r="KK5" s="339" t="s">
        <v>2418</v>
      </c>
      <c r="KL5" s="339">
        <v>52</v>
      </c>
      <c r="KM5" s="339">
        <v>30</v>
      </c>
      <c r="KN5" s="339">
        <v>2</v>
      </c>
      <c r="KO5" s="339">
        <v>4</v>
      </c>
      <c r="KP5" s="339">
        <v>1</v>
      </c>
      <c r="KQ5" s="339">
        <v>15</v>
      </c>
      <c r="KR5" s="339" t="s">
        <v>2792</v>
      </c>
      <c r="KS5" s="351">
        <v>99</v>
      </c>
      <c r="KT5" s="339">
        <v>0</v>
      </c>
      <c r="KU5" s="339" t="s">
        <v>78</v>
      </c>
      <c r="KV5" s="339">
        <v>0</v>
      </c>
      <c r="KW5" s="339" t="s">
        <v>2757</v>
      </c>
      <c r="KX5" s="339">
        <v>0</v>
      </c>
      <c r="LA5" s="339">
        <v>1</v>
      </c>
      <c r="LB5" s="339" t="s">
        <v>1297</v>
      </c>
      <c r="LC5" s="339">
        <v>52</v>
      </c>
      <c r="LD5" s="339">
        <v>34</v>
      </c>
      <c r="LE5" s="339">
        <v>0</v>
      </c>
      <c r="LF5" s="339">
        <v>8</v>
      </c>
      <c r="LG5" s="339">
        <v>0</v>
      </c>
      <c r="LH5" s="339">
        <v>10</v>
      </c>
      <c r="LI5" s="339" t="s">
        <v>2826</v>
      </c>
      <c r="LJ5" s="351">
        <v>76</v>
      </c>
      <c r="LK5" s="339">
        <v>0</v>
      </c>
      <c r="LL5" s="339" t="s">
        <v>78</v>
      </c>
      <c r="LM5" s="339">
        <v>0</v>
      </c>
      <c r="LN5" s="339" t="s">
        <v>2757</v>
      </c>
      <c r="LO5" s="339">
        <v>0</v>
      </c>
      <c r="LR5" s="339">
        <v>1</v>
      </c>
      <c r="LS5" s="339" t="s">
        <v>2418</v>
      </c>
      <c r="LT5" s="339">
        <v>52</v>
      </c>
      <c r="LU5" s="339">
        <v>33</v>
      </c>
      <c r="LV5" s="339">
        <v>0</v>
      </c>
      <c r="LW5" s="339">
        <v>12</v>
      </c>
      <c r="LX5" s="339">
        <v>0</v>
      </c>
      <c r="LY5" s="339">
        <v>7</v>
      </c>
      <c r="LZ5" s="339" t="s">
        <v>2861</v>
      </c>
      <c r="MA5" s="351">
        <v>78</v>
      </c>
      <c r="MB5" s="339">
        <v>30</v>
      </c>
      <c r="MC5" s="339" t="s">
        <v>2862</v>
      </c>
      <c r="MD5" s="339">
        <v>15</v>
      </c>
      <c r="ME5" s="339" t="s">
        <v>2863</v>
      </c>
      <c r="MF5" s="339">
        <v>9</v>
      </c>
    </row>
    <row r="6" spans="2:344" ht="42" thickBot="1" x14ac:dyDescent="0.35">
      <c r="B6" s="339">
        <v>2</v>
      </c>
      <c r="C6" s="339" t="s">
        <v>1266</v>
      </c>
      <c r="D6" s="339">
        <v>52</v>
      </c>
      <c r="E6" s="339">
        <v>30</v>
      </c>
      <c r="F6" s="339">
        <v>3</v>
      </c>
      <c r="G6" s="339"/>
      <c r="H6" s="339">
        <v>3</v>
      </c>
      <c r="I6" s="339">
        <v>16</v>
      </c>
      <c r="J6" s="339" t="s">
        <v>1267</v>
      </c>
      <c r="K6" s="351">
        <v>99</v>
      </c>
      <c r="L6" s="339">
        <v>42</v>
      </c>
      <c r="M6" s="339" t="s">
        <v>1268</v>
      </c>
      <c r="N6" s="339">
        <v>31</v>
      </c>
      <c r="O6" s="339" t="s">
        <v>1269</v>
      </c>
      <c r="P6" s="339">
        <v>3</v>
      </c>
      <c r="Q6" s="342"/>
      <c r="S6" s="339">
        <v>2</v>
      </c>
      <c r="T6" s="339" t="s">
        <v>1274</v>
      </c>
      <c r="U6" s="339">
        <v>52</v>
      </c>
      <c r="V6" s="339">
        <v>26</v>
      </c>
      <c r="W6" s="339">
        <v>7</v>
      </c>
      <c r="X6" s="339">
        <v>7</v>
      </c>
      <c r="Y6" s="339">
        <v>12</v>
      </c>
      <c r="Z6" s="339" t="s">
        <v>1404</v>
      </c>
      <c r="AA6" s="351">
        <v>99</v>
      </c>
      <c r="AB6" s="339">
        <v>39</v>
      </c>
      <c r="AC6" s="366">
        <v>43758</v>
      </c>
      <c r="AD6" s="339">
        <v>30</v>
      </c>
      <c r="AE6" s="339" t="s">
        <v>1405</v>
      </c>
      <c r="AF6" s="339">
        <v>5</v>
      </c>
      <c r="AI6" s="339">
        <v>2</v>
      </c>
      <c r="AJ6" s="339" t="s">
        <v>1266</v>
      </c>
      <c r="AK6" s="339">
        <v>52</v>
      </c>
      <c r="AL6" s="339">
        <v>24</v>
      </c>
      <c r="AM6" s="339">
        <v>9</v>
      </c>
      <c r="AN6" s="339">
        <v>8</v>
      </c>
      <c r="AO6" s="339">
        <v>11</v>
      </c>
      <c r="AP6" s="339" t="s">
        <v>1497</v>
      </c>
      <c r="AQ6" s="351">
        <v>98</v>
      </c>
      <c r="AR6" s="339">
        <v>37</v>
      </c>
      <c r="AS6" s="339" t="s">
        <v>1452</v>
      </c>
      <c r="AT6" s="339">
        <v>24</v>
      </c>
      <c r="AU6" s="339" t="s">
        <v>1498</v>
      </c>
      <c r="AV6" s="339">
        <v>8</v>
      </c>
      <c r="AY6" s="339">
        <v>2</v>
      </c>
      <c r="AZ6" s="339" t="s">
        <v>1297</v>
      </c>
      <c r="BA6" s="339">
        <v>52</v>
      </c>
      <c r="BB6" s="339">
        <v>30</v>
      </c>
      <c r="BC6" s="339">
        <v>7</v>
      </c>
      <c r="BD6" s="339">
        <v>6</v>
      </c>
      <c r="BE6" s="339">
        <v>9</v>
      </c>
      <c r="BF6" s="339" t="s">
        <v>1608</v>
      </c>
      <c r="BG6" s="351">
        <v>110</v>
      </c>
      <c r="BH6" s="339">
        <v>49</v>
      </c>
      <c r="BI6" s="339" t="s">
        <v>1609</v>
      </c>
      <c r="BJ6" s="339">
        <v>43</v>
      </c>
      <c r="BK6" s="339" t="s">
        <v>1610</v>
      </c>
      <c r="BL6" s="339">
        <v>3</v>
      </c>
      <c r="BO6" s="339">
        <v>2</v>
      </c>
      <c r="BP6" s="339" t="s">
        <v>80</v>
      </c>
      <c r="BQ6" s="339">
        <v>52</v>
      </c>
      <c r="BR6" s="339">
        <v>30</v>
      </c>
      <c r="BS6" s="339">
        <v>6</v>
      </c>
      <c r="BT6" s="339">
        <v>3</v>
      </c>
      <c r="BU6" s="339">
        <v>13</v>
      </c>
      <c r="BV6" s="339" t="s">
        <v>1697</v>
      </c>
      <c r="BW6" s="351">
        <v>105</v>
      </c>
      <c r="BX6" s="339">
        <v>61</v>
      </c>
      <c r="BY6" s="339" t="s">
        <v>1698</v>
      </c>
      <c r="BZ6" s="339">
        <v>36</v>
      </c>
      <c r="CA6" s="339" t="s">
        <v>1699</v>
      </c>
      <c r="CB6" s="339">
        <v>5</v>
      </c>
      <c r="CE6" s="339">
        <v>2</v>
      </c>
      <c r="CF6" s="339" t="s">
        <v>1266</v>
      </c>
      <c r="CG6" s="339">
        <v>52</v>
      </c>
      <c r="CH6" s="339">
        <v>29</v>
      </c>
      <c r="CI6" s="339">
        <v>3</v>
      </c>
      <c r="CJ6" s="339">
        <v>2</v>
      </c>
      <c r="CK6" s="339">
        <v>18</v>
      </c>
      <c r="CL6" s="339" t="s">
        <v>1789</v>
      </c>
      <c r="CM6" s="351">
        <v>95</v>
      </c>
      <c r="CN6" s="339">
        <v>49</v>
      </c>
      <c r="CO6" s="339" t="s">
        <v>1790</v>
      </c>
      <c r="CP6" s="339">
        <v>36</v>
      </c>
      <c r="CQ6" s="339" t="s">
        <v>1374</v>
      </c>
      <c r="CR6" s="339">
        <v>8</v>
      </c>
      <c r="CU6" s="339">
        <v>2</v>
      </c>
      <c r="CV6" s="339" t="s">
        <v>1591</v>
      </c>
      <c r="CW6" s="339">
        <v>52</v>
      </c>
      <c r="CX6" s="339">
        <v>23</v>
      </c>
      <c r="CY6" s="339">
        <v>11</v>
      </c>
      <c r="CZ6" s="339">
        <v>3</v>
      </c>
      <c r="DA6" s="339">
        <v>15</v>
      </c>
      <c r="DB6" s="339" t="s">
        <v>1880</v>
      </c>
      <c r="DC6" s="351">
        <v>94</v>
      </c>
      <c r="DD6" s="339">
        <v>33</v>
      </c>
      <c r="DE6" s="339" t="s">
        <v>1881</v>
      </c>
      <c r="DF6" s="339">
        <v>41</v>
      </c>
      <c r="DG6" s="339" t="s">
        <v>1882</v>
      </c>
      <c r="DH6" s="339">
        <v>3</v>
      </c>
      <c r="DK6" s="339">
        <v>2</v>
      </c>
      <c r="DL6" s="339" t="s">
        <v>1978</v>
      </c>
      <c r="DM6" s="339">
        <v>52</v>
      </c>
      <c r="DN6" s="339">
        <v>26</v>
      </c>
      <c r="DO6" s="339">
        <v>7</v>
      </c>
      <c r="DP6" s="339">
        <v>7</v>
      </c>
      <c r="DQ6" s="339">
        <v>12</v>
      </c>
      <c r="DR6" s="339" t="s">
        <v>1979</v>
      </c>
      <c r="DS6" s="351">
        <v>99</v>
      </c>
      <c r="DT6" s="339">
        <v>47</v>
      </c>
      <c r="DU6" s="339" t="s">
        <v>1980</v>
      </c>
      <c r="DV6" s="339">
        <v>44</v>
      </c>
      <c r="DW6" s="339" t="s">
        <v>1981</v>
      </c>
      <c r="DX6" s="339">
        <v>5</v>
      </c>
      <c r="EA6" s="339">
        <v>2</v>
      </c>
      <c r="EB6" s="339" t="s">
        <v>1262</v>
      </c>
      <c r="EC6" s="339">
        <v>52</v>
      </c>
      <c r="ED6" s="339">
        <v>26</v>
      </c>
      <c r="EE6" s="339">
        <v>5</v>
      </c>
      <c r="EF6" s="339">
        <v>6</v>
      </c>
      <c r="EG6" s="339">
        <v>15</v>
      </c>
      <c r="EH6" s="339" t="s">
        <v>2064</v>
      </c>
      <c r="EI6" s="351">
        <v>94</v>
      </c>
      <c r="EJ6" s="339">
        <v>45</v>
      </c>
      <c r="EK6" s="339" t="s">
        <v>1980</v>
      </c>
      <c r="EL6" s="339">
        <v>43</v>
      </c>
      <c r="EM6" s="339" t="s">
        <v>1995</v>
      </c>
      <c r="EN6" s="339">
        <v>3</v>
      </c>
      <c r="EQ6" s="339">
        <v>2</v>
      </c>
      <c r="ER6" s="339" t="s">
        <v>1293</v>
      </c>
      <c r="ES6" s="339">
        <v>52</v>
      </c>
      <c r="ET6" s="339">
        <v>25</v>
      </c>
      <c r="EU6" s="339">
        <v>9</v>
      </c>
      <c r="EV6" s="339">
        <v>3</v>
      </c>
      <c r="EW6" s="339">
        <v>15</v>
      </c>
      <c r="EX6" s="339" t="s">
        <v>2142</v>
      </c>
      <c r="EY6" s="351">
        <v>96</v>
      </c>
      <c r="EZ6" s="339">
        <v>48</v>
      </c>
      <c r="FA6" s="339" t="s">
        <v>2143</v>
      </c>
      <c r="FB6" s="339">
        <v>52</v>
      </c>
      <c r="FC6" s="339" t="s">
        <v>2144</v>
      </c>
      <c r="FD6" s="339">
        <v>5</v>
      </c>
      <c r="FG6" s="339">
        <v>2</v>
      </c>
      <c r="FH6" s="339" t="s">
        <v>2224</v>
      </c>
      <c r="FI6" s="339">
        <v>52</v>
      </c>
      <c r="FJ6" s="339">
        <v>24</v>
      </c>
      <c r="FK6" s="339">
        <v>5</v>
      </c>
      <c r="FL6" s="339">
        <v>8</v>
      </c>
      <c r="FM6" s="339">
        <v>15</v>
      </c>
      <c r="FN6" s="339" t="s">
        <v>2225</v>
      </c>
      <c r="FO6" s="351">
        <v>90</v>
      </c>
      <c r="FP6" s="339">
        <v>56</v>
      </c>
      <c r="FQ6" s="339" t="s">
        <v>1514</v>
      </c>
      <c r="FR6" s="339">
        <v>48</v>
      </c>
      <c r="FS6" s="339" t="s">
        <v>2226</v>
      </c>
      <c r="FT6" s="339">
        <v>3</v>
      </c>
      <c r="FW6" s="339">
        <v>2</v>
      </c>
      <c r="FX6" s="339" t="s">
        <v>1591</v>
      </c>
      <c r="FY6" s="339">
        <v>52</v>
      </c>
      <c r="FZ6" s="339">
        <v>29</v>
      </c>
      <c r="GA6" s="339">
        <v>3</v>
      </c>
      <c r="GB6" s="339">
        <v>5</v>
      </c>
      <c r="GC6" s="339">
        <v>15</v>
      </c>
      <c r="GD6" s="339" t="s">
        <v>2312</v>
      </c>
      <c r="GE6" s="351">
        <v>98</v>
      </c>
      <c r="GF6" s="339">
        <v>55</v>
      </c>
      <c r="GG6" s="339" t="s">
        <v>1484</v>
      </c>
      <c r="GH6" s="339">
        <v>51</v>
      </c>
      <c r="GI6" s="339" t="s">
        <v>1269</v>
      </c>
      <c r="GJ6" s="339">
        <v>12</v>
      </c>
      <c r="GM6" s="339">
        <v>2</v>
      </c>
      <c r="GN6" s="339" t="s">
        <v>2224</v>
      </c>
      <c r="GO6" s="339">
        <v>52</v>
      </c>
      <c r="GP6" s="339">
        <v>29</v>
      </c>
      <c r="GQ6" s="339">
        <v>1</v>
      </c>
      <c r="GR6" s="339">
        <v>3</v>
      </c>
      <c r="GS6" s="339">
        <v>19</v>
      </c>
      <c r="GT6" s="339" t="s">
        <v>2390</v>
      </c>
      <c r="GU6" s="351">
        <v>92</v>
      </c>
      <c r="GV6" s="339">
        <v>61</v>
      </c>
      <c r="GW6" s="339" t="s">
        <v>1900</v>
      </c>
      <c r="GX6" s="339">
        <v>51</v>
      </c>
      <c r="GY6" s="339" t="s">
        <v>2391</v>
      </c>
      <c r="GZ6" s="339">
        <v>13</v>
      </c>
      <c r="HC6" s="339">
        <v>2</v>
      </c>
      <c r="HD6" s="339" t="s">
        <v>1591</v>
      </c>
      <c r="HE6" s="339">
        <v>52</v>
      </c>
      <c r="HF6" s="339">
        <v>31</v>
      </c>
      <c r="HG6" s="339">
        <v>0</v>
      </c>
      <c r="HH6" s="339">
        <v>7</v>
      </c>
      <c r="HI6" s="339">
        <v>1</v>
      </c>
      <c r="HJ6" s="339">
        <v>13</v>
      </c>
      <c r="HK6" s="339" t="s">
        <v>2474</v>
      </c>
      <c r="HL6" s="351">
        <v>101</v>
      </c>
      <c r="HM6" s="339">
        <v>49</v>
      </c>
      <c r="HN6" s="339" t="s">
        <v>2475</v>
      </c>
      <c r="HO6" s="339">
        <v>33</v>
      </c>
      <c r="HP6" s="339" t="s">
        <v>2476</v>
      </c>
      <c r="HQ6" s="339">
        <v>4</v>
      </c>
      <c r="HT6" s="339">
        <v>2</v>
      </c>
      <c r="HU6" s="339" t="s">
        <v>1297</v>
      </c>
      <c r="HV6" s="339">
        <v>52</v>
      </c>
      <c r="HW6" s="339">
        <v>29</v>
      </c>
      <c r="HX6" s="339">
        <v>4</v>
      </c>
      <c r="HY6" s="339">
        <v>5</v>
      </c>
      <c r="HZ6" s="339">
        <v>2</v>
      </c>
      <c r="IA6" s="339">
        <v>12</v>
      </c>
      <c r="IB6" s="339" t="s">
        <v>2545</v>
      </c>
      <c r="IC6" s="351">
        <v>102</v>
      </c>
      <c r="ID6" s="339">
        <v>46</v>
      </c>
      <c r="IE6" s="339" t="s">
        <v>2546</v>
      </c>
      <c r="IF6" s="339">
        <v>31</v>
      </c>
      <c r="IG6" s="339" t="s">
        <v>1879</v>
      </c>
      <c r="IH6" s="339">
        <v>6</v>
      </c>
      <c r="IK6" s="339">
        <v>2</v>
      </c>
      <c r="IL6" s="339" t="s">
        <v>1293</v>
      </c>
      <c r="IM6" s="339">
        <v>52</v>
      </c>
      <c r="IN6" s="339">
        <v>27</v>
      </c>
      <c r="IO6" s="339">
        <v>3</v>
      </c>
      <c r="IP6" s="339">
        <v>3</v>
      </c>
      <c r="IQ6" s="339">
        <v>3</v>
      </c>
      <c r="IR6" s="339">
        <v>16</v>
      </c>
      <c r="IS6" s="339" t="s">
        <v>2613</v>
      </c>
      <c r="IT6" s="351">
        <v>93</v>
      </c>
      <c r="IU6" s="339">
        <v>54</v>
      </c>
      <c r="IV6" s="339" t="s">
        <v>2614</v>
      </c>
      <c r="IW6" s="339">
        <v>33</v>
      </c>
      <c r="IX6" s="339" t="s">
        <v>2615</v>
      </c>
      <c r="IY6" s="339">
        <v>3</v>
      </c>
      <c r="JB6" s="339">
        <v>2</v>
      </c>
      <c r="JC6" s="339" t="s">
        <v>1591</v>
      </c>
      <c r="JD6" s="339">
        <v>52</v>
      </c>
      <c r="JE6" s="339">
        <v>26</v>
      </c>
      <c r="JF6" s="339">
        <v>6</v>
      </c>
      <c r="JG6" s="339">
        <v>7</v>
      </c>
      <c r="JH6" s="339">
        <v>2</v>
      </c>
      <c r="JI6" s="339">
        <v>11</v>
      </c>
      <c r="JJ6" s="339" t="s">
        <v>2693</v>
      </c>
      <c r="JK6" s="351">
        <v>99</v>
      </c>
      <c r="JL6" s="339">
        <v>39</v>
      </c>
      <c r="JM6" s="339" t="s">
        <v>2694</v>
      </c>
      <c r="JN6" s="339">
        <v>23</v>
      </c>
      <c r="JO6" s="339" t="s">
        <v>1356</v>
      </c>
      <c r="JP6" s="339">
        <v>6</v>
      </c>
      <c r="JS6" s="339">
        <v>2</v>
      </c>
      <c r="JT6" s="339" t="s">
        <v>1293</v>
      </c>
      <c r="JU6" s="339">
        <v>52</v>
      </c>
      <c r="JV6" s="339">
        <v>25</v>
      </c>
      <c r="JW6" s="339">
        <v>5</v>
      </c>
      <c r="JX6" s="339">
        <v>4</v>
      </c>
      <c r="JY6" s="339">
        <v>3</v>
      </c>
      <c r="JZ6" s="339">
        <v>15</v>
      </c>
      <c r="KA6" s="339" t="s">
        <v>2758</v>
      </c>
      <c r="KB6" s="351">
        <v>92</v>
      </c>
      <c r="KC6" s="339">
        <v>0</v>
      </c>
      <c r="KD6" s="339" t="s">
        <v>78</v>
      </c>
      <c r="KE6" s="339">
        <v>0</v>
      </c>
      <c r="KF6" s="339" t="s">
        <v>2757</v>
      </c>
      <c r="KG6" s="339">
        <v>0</v>
      </c>
      <c r="KJ6" s="339">
        <v>2</v>
      </c>
      <c r="KK6" s="339" t="s">
        <v>2249</v>
      </c>
      <c r="KL6" s="339">
        <v>52</v>
      </c>
      <c r="KM6" s="339">
        <v>21</v>
      </c>
      <c r="KN6" s="339">
        <v>6</v>
      </c>
      <c r="KO6" s="339">
        <v>5</v>
      </c>
      <c r="KP6" s="339">
        <v>2</v>
      </c>
      <c r="KQ6" s="339">
        <v>18</v>
      </c>
      <c r="KR6" s="339" t="s">
        <v>2793</v>
      </c>
      <c r="KS6" s="351">
        <v>82</v>
      </c>
      <c r="KT6" s="339">
        <v>0</v>
      </c>
      <c r="KU6" s="339" t="s">
        <v>78</v>
      </c>
      <c r="KV6" s="339">
        <v>0</v>
      </c>
      <c r="KW6" s="339" t="s">
        <v>2757</v>
      </c>
      <c r="KX6" s="339">
        <v>0</v>
      </c>
      <c r="LA6" s="339">
        <v>2</v>
      </c>
      <c r="LB6" s="339" t="s">
        <v>1293</v>
      </c>
      <c r="LC6" s="339">
        <v>52</v>
      </c>
      <c r="LD6" s="339">
        <v>27</v>
      </c>
      <c r="LE6" s="339">
        <v>0</v>
      </c>
      <c r="LF6" s="339">
        <v>11</v>
      </c>
      <c r="LG6" s="339">
        <v>0</v>
      </c>
      <c r="LH6" s="339">
        <v>14</v>
      </c>
      <c r="LI6" s="339" t="s">
        <v>2827</v>
      </c>
      <c r="LJ6" s="351">
        <v>65</v>
      </c>
      <c r="LK6" s="339">
        <v>0</v>
      </c>
      <c r="LL6" s="339" t="s">
        <v>78</v>
      </c>
      <c r="LM6" s="339">
        <v>0</v>
      </c>
      <c r="LN6" s="339" t="s">
        <v>2757</v>
      </c>
      <c r="LO6" s="339">
        <v>0</v>
      </c>
      <c r="LR6" s="339">
        <v>2</v>
      </c>
      <c r="LS6" s="339" t="s">
        <v>1293</v>
      </c>
      <c r="LT6" s="339">
        <v>52</v>
      </c>
      <c r="LU6" s="339">
        <v>26</v>
      </c>
      <c r="LV6" s="339">
        <v>0</v>
      </c>
      <c r="LW6" s="339">
        <v>17</v>
      </c>
      <c r="LX6" s="339">
        <v>0</v>
      </c>
      <c r="LY6" s="339">
        <v>9</v>
      </c>
      <c r="LZ6" s="339" t="s">
        <v>2864</v>
      </c>
      <c r="MA6" s="351">
        <v>69</v>
      </c>
      <c r="MB6" s="339">
        <v>47</v>
      </c>
      <c r="MC6" s="366">
        <v>43578</v>
      </c>
      <c r="MD6" s="339">
        <v>35</v>
      </c>
      <c r="ME6" s="339" t="s">
        <v>2865</v>
      </c>
      <c r="MF6" s="339">
        <v>11</v>
      </c>
    </row>
    <row r="7" spans="2:344" ht="42" thickBot="1" x14ac:dyDescent="0.35">
      <c r="B7" s="339">
        <v>3</v>
      </c>
      <c r="C7" s="339" t="s">
        <v>1270</v>
      </c>
      <c r="D7" s="339">
        <v>52</v>
      </c>
      <c r="E7" s="339">
        <v>26</v>
      </c>
      <c r="F7" s="339">
        <v>7</v>
      </c>
      <c r="G7" s="339"/>
      <c r="H7" s="339">
        <v>6</v>
      </c>
      <c r="I7" s="339">
        <v>13</v>
      </c>
      <c r="J7" s="339" t="s">
        <v>1271</v>
      </c>
      <c r="K7" s="351">
        <v>98</v>
      </c>
      <c r="L7" s="339">
        <v>46</v>
      </c>
      <c r="M7" s="339" t="s">
        <v>1272</v>
      </c>
      <c r="N7" s="339">
        <v>15</v>
      </c>
      <c r="O7" s="339" t="s">
        <v>1273</v>
      </c>
      <c r="P7" s="339">
        <v>7</v>
      </c>
      <c r="Q7" s="342"/>
      <c r="S7" s="339">
        <v>3</v>
      </c>
      <c r="T7" s="339" t="s">
        <v>1266</v>
      </c>
      <c r="U7" s="339">
        <v>52</v>
      </c>
      <c r="V7" s="339">
        <v>24</v>
      </c>
      <c r="W7" s="339">
        <v>6</v>
      </c>
      <c r="X7" s="339">
        <v>8</v>
      </c>
      <c r="Y7" s="339">
        <v>14</v>
      </c>
      <c r="Z7" s="339" t="s">
        <v>1406</v>
      </c>
      <c r="AA7" s="351">
        <v>92</v>
      </c>
      <c r="AB7" s="339">
        <v>34</v>
      </c>
      <c r="AC7" s="339" t="s">
        <v>1407</v>
      </c>
      <c r="AD7" s="339">
        <v>24</v>
      </c>
      <c r="AE7" s="339" t="s">
        <v>1408</v>
      </c>
      <c r="AF7" s="339">
        <v>5</v>
      </c>
      <c r="AI7" s="339">
        <v>3</v>
      </c>
      <c r="AJ7" s="339" t="s">
        <v>1297</v>
      </c>
      <c r="AK7" s="339">
        <v>52</v>
      </c>
      <c r="AL7" s="339">
        <v>26</v>
      </c>
      <c r="AM7" s="339">
        <v>5</v>
      </c>
      <c r="AN7" s="339">
        <v>6</v>
      </c>
      <c r="AO7" s="339">
        <v>15</v>
      </c>
      <c r="AP7" s="339" t="s">
        <v>1499</v>
      </c>
      <c r="AQ7" s="351">
        <v>94</v>
      </c>
      <c r="AR7" s="339">
        <v>50</v>
      </c>
      <c r="AS7" s="366">
        <v>43546</v>
      </c>
      <c r="AT7" s="339">
        <v>36</v>
      </c>
      <c r="AU7" s="339" t="s">
        <v>1500</v>
      </c>
      <c r="AV7" s="339">
        <v>7</v>
      </c>
      <c r="AY7" s="339">
        <v>3</v>
      </c>
      <c r="AZ7" s="339" t="s">
        <v>1274</v>
      </c>
      <c r="BA7" s="339">
        <v>52</v>
      </c>
      <c r="BB7" s="339">
        <v>24</v>
      </c>
      <c r="BC7" s="339">
        <v>4</v>
      </c>
      <c r="BD7" s="339">
        <v>8</v>
      </c>
      <c r="BE7" s="339">
        <v>16</v>
      </c>
      <c r="BF7" s="339" t="s">
        <v>1611</v>
      </c>
      <c r="BG7" s="351">
        <v>88</v>
      </c>
      <c r="BH7" s="339">
        <v>34</v>
      </c>
      <c r="BI7" s="366">
        <v>43785</v>
      </c>
      <c r="BJ7" s="339">
        <v>33</v>
      </c>
      <c r="BK7" s="339" t="s">
        <v>1612</v>
      </c>
      <c r="BL7" s="339">
        <v>7</v>
      </c>
      <c r="BO7" s="339">
        <v>3</v>
      </c>
      <c r="BP7" s="339" t="s">
        <v>1278</v>
      </c>
      <c r="BQ7" s="339">
        <v>52</v>
      </c>
      <c r="BR7" s="339">
        <v>28</v>
      </c>
      <c r="BS7" s="339">
        <v>3</v>
      </c>
      <c r="BT7" s="339">
        <v>5</v>
      </c>
      <c r="BU7" s="339">
        <v>16</v>
      </c>
      <c r="BV7" s="339" t="s">
        <v>1700</v>
      </c>
      <c r="BW7" s="351">
        <v>95</v>
      </c>
      <c r="BX7" s="339">
        <v>33</v>
      </c>
      <c r="BY7" s="367">
        <v>24412</v>
      </c>
      <c r="BZ7" s="339">
        <v>38</v>
      </c>
      <c r="CA7" s="339" t="s">
        <v>1701</v>
      </c>
      <c r="CB7" s="339">
        <v>10</v>
      </c>
      <c r="CE7" s="339">
        <v>3</v>
      </c>
      <c r="CF7" s="339" t="s">
        <v>1270</v>
      </c>
      <c r="CG7" s="339">
        <v>52</v>
      </c>
      <c r="CH7" s="339">
        <v>27</v>
      </c>
      <c r="CI7" s="339">
        <v>5</v>
      </c>
      <c r="CJ7" s="339">
        <v>3</v>
      </c>
      <c r="CK7" s="339">
        <v>17</v>
      </c>
      <c r="CL7" s="339" t="s">
        <v>1791</v>
      </c>
      <c r="CM7" s="351">
        <v>94</v>
      </c>
      <c r="CN7" s="339">
        <v>43</v>
      </c>
      <c r="CO7" s="339" t="s">
        <v>1792</v>
      </c>
      <c r="CP7" s="339">
        <v>37</v>
      </c>
      <c r="CQ7" s="339" t="s">
        <v>1793</v>
      </c>
      <c r="CR7" s="339">
        <v>4</v>
      </c>
      <c r="CU7" s="339">
        <v>3</v>
      </c>
      <c r="CV7" s="339" t="s">
        <v>1270</v>
      </c>
      <c r="CW7" s="339">
        <v>52</v>
      </c>
      <c r="CX7" s="339">
        <v>21</v>
      </c>
      <c r="CY7" s="339">
        <v>9</v>
      </c>
      <c r="CZ7" s="339">
        <v>8</v>
      </c>
      <c r="DA7" s="339">
        <v>14</v>
      </c>
      <c r="DB7" s="339" t="s">
        <v>1883</v>
      </c>
      <c r="DC7" s="351">
        <v>89</v>
      </c>
      <c r="DD7" s="339">
        <v>45</v>
      </c>
      <c r="DE7" s="366">
        <v>43728</v>
      </c>
      <c r="DF7" s="339">
        <v>38</v>
      </c>
      <c r="DG7" s="339" t="s">
        <v>1884</v>
      </c>
      <c r="DH7" s="339">
        <v>3</v>
      </c>
      <c r="DK7" s="339">
        <v>3</v>
      </c>
      <c r="DL7" s="339" t="s">
        <v>1311</v>
      </c>
      <c r="DM7" s="339">
        <v>52</v>
      </c>
      <c r="DN7" s="339">
        <v>23</v>
      </c>
      <c r="DO7" s="339">
        <v>5</v>
      </c>
      <c r="DP7" s="339">
        <v>7</v>
      </c>
      <c r="DQ7" s="339">
        <v>17</v>
      </c>
      <c r="DR7" s="339" t="s">
        <v>1982</v>
      </c>
      <c r="DS7" s="351">
        <v>86</v>
      </c>
      <c r="DT7" s="339">
        <v>48</v>
      </c>
      <c r="DU7" s="339" t="s">
        <v>1938</v>
      </c>
      <c r="DV7" s="339">
        <v>38</v>
      </c>
      <c r="DW7" s="339" t="s">
        <v>1983</v>
      </c>
      <c r="DX7" s="339">
        <v>7</v>
      </c>
      <c r="EA7" s="339">
        <v>3</v>
      </c>
      <c r="EB7" s="339" t="s">
        <v>1286</v>
      </c>
      <c r="EC7" s="339">
        <v>52</v>
      </c>
      <c r="ED7" s="339">
        <v>26</v>
      </c>
      <c r="EE7" s="339">
        <v>6</v>
      </c>
      <c r="EF7" s="339">
        <v>2</v>
      </c>
      <c r="EG7" s="339">
        <v>18</v>
      </c>
      <c r="EH7" s="339" t="s">
        <v>2065</v>
      </c>
      <c r="EI7" s="351">
        <v>92</v>
      </c>
      <c r="EJ7" s="339">
        <v>47</v>
      </c>
      <c r="EK7" s="339" t="s">
        <v>1330</v>
      </c>
      <c r="EL7" s="339">
        <v>42</v>
      </c>
      <c r="EM7" s="339" t="s">
        <v>2026</v>
      </c>
      <c r="EN7" s="339">
        <v>4</v>
      </c>
      <c r="EQ7" s="339">
        <v>3</v>
      </c>
      <c r="ER7" s="339" t="s">
        <v>2068</v>
      </c>
      <c r="ES7" s="339">
        <v>52</v>
      </c>
      <c r="ET7" s="339">
        <v>27</v>
      </c>
      <c r="EU7" s="339">
        <v>4</v>
      </c>
      <c r="EV7" s="339">
        <v>7</v>
      </c>
      <c r="EW7" s="339">
        <v>14</v>
      </c>
      <c r="EX7" s="339" t="s">
        <v>2145</v>
      </c>
      <c r="EY7" s="351">
        <v>96</v>
      </c>
      <c r="EZ7" s="339">
        <v>51</v>
      </c>
      <c r="FA7" s="339" t="s">
        <v>2146</v>
      </c>
      <c r="FB7" s="339">
        <v>48</v>
      </c>
      <c r="FC7" s="339" t="s">
        <v>1965</v>
      </c>
      <c r="FD7" s="339">
        <v>8</v>
      </c>
      <c r="FG7" s="339">
        <v>3</v>
      </c>
      <c r="FH7" s="339" t="s">
        <v>2227</v>
      </c>
      <c r="FI7" s="339">
        <v>52</v>
      </c>
      <c r="FJ7" s="339">
        <v>23</v>
      </c>
      <c r="FK7" s="339">
        <v>7</v>
      </c>
      <c r="FL7" s="339">
        <v>3</v>
      </c>
      <c r="FM7" s="339">
        <v>19</v>
      </c>
      <c r="FN7" s="339" t="s">
        <v>2228</v>
      </c>
      <c r="FO7" s="351">
        <v>86</v>
      </c>
      <c r="FP7" s="339">
        <v>57</v>
      </c>
      <c r="FQ7" s="339" t="s">
        <v>1544</v>
      </c>
      <c r="FR7" s="339">
        <v>42</v>
      </c>
      <c r="FS7" s="339" t="s">
        <v>2229</v>
      </c>
      <c r="FT7" s="339">
        <v>10</v>
      </c>
      <c r="FW7" s="339">
        <v>3</v>
      </c>
      <c r="FX7" s="339" t="s">
        <v>1262</v>
      </c>
      <c r="FY7" s="339">
        <v>52</v>
      </c>
      <c r="FZ7" s="339">
        <v>21</v>
      </c>
      <c r="GA7" s="339">
        <v>9</v>
      </c>
      <c r="GB7" s="339">
        <v>10</v>
      </c>
      <c r="GC7" s="339">
        <v>12</v>
      </c>
      <c r="GD7" s="339" t="s">
        <v>2313</v>
      </c>
      <c r="GE7" s="351">
        <v>91</v>
      </c>
      <c r="GF7" s="339">
        <v>58</v>
      </c>
      <c r="GG7" s="339" t="s">
        <v>1531</v>
      </c>
      <c r="GH7" s="339">
        <v>39</v>
      </c>
      <c r="GI7" s="339" t="s">
        <v>2314</v>
      </c>
      <c r="GJ7" s="339">
        <v>5</v>
      </c>
      <c r="GM7" s="339">
        <v>3</v>
      </c>
      <c r="GN7" s="339" t="s">
        <v>1895</v>
      </c>
      <c r="GO7" s="339">
        <v>52</v>
      </c>
      <c r="GP7" s="339">
        <v>23</v>
      </c>
      <c r="GQ7" s="339">
        <v>9</v>
      </c>
      <c r="GR7" s="339">
        <v>2</v>
      </c>
      <c r="GS7" s="339">
        <v>18</v>
      </c>
      <c r="GT7" s="339" t="s">
        <v>2392</v>
      </c>
      <c r="GU7" s="351">
        <v>89</v>
      </c>
      <c r="GV7" s="339">
        <v>61</v>
      </c>
      <c r="GW7" s="339" t="s">
        <v>2328</v>
      </c>
      <c r="GX7" s="339">
        <v>53</v>
      </c>
      <c r="GY7" s="339" t="s">
        <v>2393</v>
      </c>
      <c r="GZ7" s="339">
        <v>8</v>
      </c>
      <c r="HC7" s="339">
        <v>3</v>
      </c>
      <c r="HD7" s="339" t="s">
        <v>1293</v>
      </c>
      <c r="HE7" s="339">
        <v>52</v>
      </c>
      <c r="HF7" s="339">
        <v>25</v>
      </c>
      <c r="HG7" s="339">
        <v>3</v>
      </c>
      <c r="HH7" s="339">
        <v>6</v>
      </c>
      <c r="HI7" s="339">
        <v>2</v>
      </c>
      <c r="HJ7" s="339">
        <v>16</v>
      </c>
      <c r="HK7" s="339" t="s">
        <v>2477</v>
      </c>
      <c r="HL7" s="351">
        <v>89</v>
      </c>
      <c r="HM7" s="339">
        <v>36</v>
      </c>
      <c r="HN7" s="339" t="s">
        <v>2478</v>
      </c>
      <c r="HO7" s="339">
        <v>29</v>
      </c>
      <c r="HP7" s="339" t="s">
        <v>2479</v>
      </c>
      <c r="HQ7" s="339">
        <v>11</v>
      </c>
      <c r="HT7" s="339">
        <v>3</v>
      </c>
      <c r="HU7" s="339" t="s">
        <v>2224</v>
      </c>
      <c r="HV7" s="339">
        <v>52</v>
      </c>
      <c r="HW7" s="339">
        <v>29</v>
      </c>
      <c r="HX7" s="339">
        <v>2</v>
      </c>
      <c r="HY7" s="339">
        <v>2</v>
      </c>
      <c r="HZ7" s="339">
        <v>4</v>
      </c>
      <c r="IA7" s="339">
        <v>15</v>
      </c>
      <c r="IB7" s="339" t="s">
        <v>2547</v>
      </c>
      <c r="IC7" s="351">
        <v>97</v>
      </c>
      <c r="ID7" s="339">
        <v>58</v>
      </c>
      <c r="IE7" s="339" t="s">
        <v>2548</v>
      </c>
      <c r="IF7" s="339">
        <v>38</v>
      </c>
      <c r="IG7" s="339" t="s">
        <v>2549</v>
      </c>
      <c r="IH7" s="339">
        <v>5</v>
      </c>
      <c r="IK7" s="339">
        <v>3</v>
      </c>
      <c r="IL7" s="339" t="s">
        <v>1297</v>
      </c>
      <c r="IM7" s="339">
        <v>52</v>
      </c>
      <c r="IN7" s="339">
        <v>27</v>
      </c>
      <c r="IO7" s="339">
        <v>1</v>
      </c>
      <c r="IP7" s="339">
        <v>5</v>
      </c>
      <c r="IQ7" s="339">
        <v>2</v>
      </c>
      <c r="IR7" s="339">
        <v>17</v>
      </c>
      <c r="IS7" s="339" t="s">
        <v>2616</v>
      </c>
      <c r="IT7" s="351">
        <v>90</v>
      </c>
      <c r="IU7" s="339">
        <v>49</v>
      </c>
      <c r="IV7" s="339" t="s">
        <v>1911</v>
      </c>
      <c r="IW7" s="339">
        <v>33</v>
      </c>
      <c r="IX7" s="339" t="s">
        <v>2617</v>
      </c>
      <c r="IY7" s="339">
        <v>4</v>
      </c>
      <c r="JB7" s="339">
        <v>3</v>
      </c>
      <c r="JC7" s="339" t="s">
        <v>1297</v>
      </c>
      <c r="JD7" s="339">
        <v>52</v>
      </c>
      <c r="JE7" s="339">
        <v>25</v>
      </c>
      <c r="JF7" s="339">
        <v>3</v>
      </c>
      <c r="JG7" s="339">
        <v>9</v>
      </c>
      <c r="JH7" s="339">
        <v>3</v>
      </c>
      <c r="JI7" s="339">
        <v>12</v>
      </c>
      <c r="JJ7" s="339" t="s">
        <v>2695</v>
      </c>
      <c r="JK7" s="351">
        <v>93</v>
      </c>
      <c r="JL7" s="339">
        <v>35</v>
      </c>
      <c r="JM7" s="339" t="s">
        <v>1299</v>
      </c>
      <c r="JN7" s="339">
        <v>30</v>
      </c>
      <c r="JO7" s="339" t="s">
        <v>1277</v>
      </c>
      <c r="JP7" s="339">
        <v>7</v>
      </c>
      <c r="JS7" s="339">
        <v>3</v>
      </c>
      <c r="JT7" s="339" t="s">
        <v>1311</v>
      </c>
      <c r="JU7" s="339">
        <v>52</v>
      </c>
      <c r="JV7" s="339">
        <v>27</v>
      </c>
      <c r="JW7" s="339">
        <v>1</v>
      </c>
      <c r="JX7" s="339">
        <v>6</v>
      </c>
      <c r="JY7" s="339">
        <v>2</v>
      </c>
      <c r="JZ7" s="339">
        <v>16</v>
      </c>
      <c r="KA7" s="339" t="s">
        <v>2759</v>
      </c>
      <c r="KB7" s="351">
        <v>91</v>
      </c>
      <c r="KC7" s="339">
        <v>0</v>
      </c>
      <c r="KD7" s="339" t="s">
        <v>78</v>
      </c>
      <c r="KE7" s="339">
        <v>0</v>
      </c>
      <c r="KF7" s="339" t="s">
        <v>2757</v>
      </c>
      <c r="KG7" s="339">
        <v>0</v>
      </c>
      <c r="KJ7" s="339">
        <v>3</v>
      </c>
      <c r="KK7" s="339" t="s">
        <v>1311</v>
      </c>
      <c r="KL7" s="339">
        <v>52</v>
      </c>
      <c r="KM7" s="339">
        <v>22</v>
      </c>
      <c r="KN7" s="339">
        <v>2</v>
      </c>
      <c r="KO7" s="339">
        <v>8</v>
      </c>
      <c r="KP7" s="339">
        <v>4</v>
      </c>
      <c r="KQ7" s="339">
        <v>16</v>
      </c>
      <c r="KR7" s="339" t="s">
        <v>2794</v>
      </c>
      <c r="KS7" s="351">
        <v>82</v>
      </c>
      <c r="KT7" s="339">
        <v>0</v>
      </c>
      <c r="KU7" s="339" t="s">
        <v>78</v>
      </c>
      <c r="KV7" s="339">
        <v>0</v>
      </c>
      <c r="KW7" s="339" t="s">
        <v>2757</v>
      </c>
      <c r="KX7" s="339">
        <v>0</v>
      </c>
      <c r="LA7" s="339">
        <v>3</v>
      </c>
      <c r="LB7" s="339" t="s">
        <v>2418</v>
      </c>
      <c r="LC7" s="339">
        <v>52</v>
      </c>
      <c r="LD7" s="339">
        <v>28</v>
      </c>
      <c r="LE7" s="339">
        <v>0</v>
      </c>
      <c r="LF7" s="339">
        <v>9</v>
      </c>
      <c r="LG7" s="339">
        <v>0</v>
      </c>
      <c r="LH7" s="339">
        <v>15</v>
      </c>
      <c r="LI7" s="339" t="s">
        <v>2828</v>
      </c>
      <c r="LJ7" s="351">
        <v>65</v>
      </c>
      <c r="LK7" s="339">
        <v>0</v>
      </c>
      <c r="LL7" s="339" t="s">
        <v>78</v>
      </c>
      <c r="LM7" s="339">
        <v>0</v>
      </c>
      <c r="LN7" s="339" t="s">
        <v>2757</v>
      </c>
      <c r="LO7" s="339">
        <v>0</v>
      </c>
      <c r="LR7" s="339">
        <v>3</v>
      </c>
      <c r="LS7" s="339" t="s">
        <v>1266</v>
      </c>
      <c r="LT7" s="339">
        <v>52</v>
      </c>
      <c r="LU7" s="339">
        <v>28</v>
      </c>
      <c r="LV7" s="339">
        <v>0</v>
      </c>
      <c r="LW7" s="339">
        <v>8</v>
      </c>
      <c r="LX7" s="339">
        <v>0</v>
      </c>
      <c r="LY7" s="339">
        <v>16</v>
      </c>
      <c r="LZ7" s="339" t="s">
        <v>2866</v>
      </c>
      <c r="MA7" s="351">
        <v>64</v>
      </c>
      <c r="MB7" s="339">
        <v>44</v>
      </c>
      <c r="MC7" s="339" t="s">
        <v>2867</v>
      </c>
      <c r="MD7" s="339">
        <v>39</v>
      </c>
      <c r="ME7" s="339" t="s">
        <v>1594</v>
      </c>
      <c r="MF7" s="339">
        <v>12</v>
      </c>
    </row>
    <row r="8" spans="2:344" ht="55.8" thickBot="1" x14ac:dyDescent="0.35">
      <c r="B8" s="339">
        <v>4</v>
      </c>
      <c r="C8" s="339" t="s">
        <v>1274</v>
      </c>
      <c r="D8" s="339">
        <v>52</v>
      </c>
      <c r="E8" s="339">
        <v>25</v>
      </c>
      <c r="F8" s="339">
        <v>6</v>
      </c>
      <c r="G8" s="339"/>
      <c r="H8" s="339">
        <v>6</v>
      </c>
      <c r="I8" s="339">
        <v>15</v>
      </c>
      <c r="J8" s="339" t="s">
        <v>1275</v>
      </c>
      <c r="K8" s="351">
        <v>93</v>
      </c>
      <c r="L8" s="339">
        <v>33</v>
      </c>
      <c r="M8" s="339" t="s">
        <v>1276</v>
      </c>
      <c r="N8" s="339">
        <v>32</v>
      </c>
      <c r="O8" s="339" t="s">
        <v>1277</v>
      </c>
      <c r="P8" s="339">
        <v>6</v>
      </c>
      <c r="Q8" s="342"/>
      <c r="S8" s="339">
        <v>4</v>
      </c>
      <c r="T8" s="339" t="s">
        <v>1286</v>
      </c>
      <c r="U8" s="339">
        <v>52</v>
      </c>
      <c r="V8" s="339">
        <v>26</v>
      </c>
      <c r="W8" s="339">
        <v>4</v>
      </c>
      <c r="X8" s="339">
        <v>6</v>
      </c>
      <c r="Y8" s="339">
        <v>16</v>
      </c>
      <c r="Z8" s="339" t="s">
        <v>1409</v>
      </c>
      <c r="AA8" s="351">
        <v>92</v>
      </c>
      <c r="AB8" s="339">
        <v>45</v>
      </c>
      <c r="AC8" s="339" t="s">
        <v>1410</v>
      </c>
      <c r="AD8" s="339">
        <v>39</v>
      </c>
      <c r="AE8" s="339" t="s">
        <v>1411</v>
      </c>
      <c r="AF8" s="339">
        <v>11</v>
      </c>
      <c r="AI8" s="339">
        <v>4</v>
      </c>
      <c r="AJ8" s="339" t="s">
        <v>1274</v>
      </c>
      <c r="AK8" s="339">
        <v>52</v>
      </c>
      <c r="AL8" s="339">
        <v>24</v>
      </c>
      <c r="AM8" s="339">
        <v>5</v>
      </c>
      <c r="AN8" s="339">
        <v>7</v>
      </c>
      <c r="AO8" s="339">
        <v>16</v>
      </c>
      <c r="AP8" s="339" t="s">
        <v>1501</v>
      </c>
      <c r="AQ8" s="351">
        <v>89</v>
      </c>
      <c r="AR8" s="339">
        <v>42</v>
      </c>
      <c r="AS8" s="339" t="s">
        <v>1502</v>
      </c>
      <c r="AT8" s="339">
        <v>28</v>
      </c>
      <c r="AU8" s="339" t="s">
        <v>1503</v>
      </c>
      <c r="AV8" s="339">
        <v>2</v>
      </c>
      <c r="AY8" s="339">
        <v>4</v>
      </c>
      <c r="AZ8" s="339" t="s">
        <v>1270</v>
      </c>
      <c r="BA8" s="339">
        <v>52</v>
      </c>
      <c r="BB8" s="339">
        <v>23</v>
      </c>
      <c r="BC8" s="339">
        <v>6</v>
      </c>
      <c r="BD8" s="339">
        <v>6</v>
      </c>
      <c r="BE8" s="339">
        <v>17</v>
      </c>
      <c r="BF8" s="339" t="s">
        <v>1613</v>
      </c>
      <c r="BG8" s="351">
        <v>87</v>
      </c>
      <c r="BH8" s="339">
        <v>49</v>
      </c>
      <c r="BI8" s="339" t="s">
        <v>1614</v>
      </c>
      <c r="BJ8" s="339">
        <v>35</v>
      </c>
      <c r="BK8" s="339" t="s">
        <v>1615</v>
      </c>
      <c r="BL8" s="339">
        <v>8</v>
      </c>
      <c r="BO8" s="339">
        <v>4</v>
      </c>
      <c r="BP8" s="339" t="s">
        <v>1297</v>
      </c>
      <c r="BQ8" s="339">
        <v>52</v>
      </c>
      <c r="BR8" s="339">
        <v>27</v>
      </c>
      <c r="BS8" s="339">
        <v>6</v>
      </c>
      <c r="BT8" s="339">
        <v>1</v>
      </c>
      <c r="BU8" s="339">
        <v>18</v>
      </c>
      <c r="BV8" s="339" t="s">
        <v>1702</v>
      </c>
      <c r="BW8" s="351">
        <v>94</v>
      </c>
      <c r="BX8" s="339">
        <v>77</v>
      </c>
      <c r="BY8" s="339" t="s">
        <v>1324</v>
      </c>
      <c r="BZ8" s="339">
        <v>62</v>
      </c>
      <c r="CA8" s="339" t="s">
        <v>1703</v>
      </c>
      <c r="CB8" s="339">
        <v>5</v>
      </c>
      <c r="CE8" s="339">
        <v>4</v>
      </c>
      <c r="CF8" s="339" t="s">
        <v>1293</v>
      </c>
      <c r="CG8" s="339">
        <v>52</v>
      </c>
      <c r="CH8" s="339">
        <v>24</v>
      </c>
      <c r="CI8" s="339">
        <v>6</v>
      </c>
      <c r="CJ8" s="339">
        <v>6</v>
      </c>
      <c r="CK8" s="339">
        <v>16</v>
      </c>
      <c r="CL8" s="339" t="s">
        <v>1794</v>
      </c>
      <c r="CM8" s="351">
        <v>90</v>
      </c>
      <c r="CN8" s="339">
        <v>43</v>
      </c>
      <c r="CO8" s="339" t="s">
        <v>1795</v>
      </c>
      <c r="CP8" s="339">
        <v>39</v>
      </c>
      <c r="CQ8" s="339" t="s">
        <v>1796</v>
      </c>
      <c r="CR8" s="339">
        <v>5</v>
      </c>
      <c r="CU8" s="339">
        <v>4</v>
      </c>
      <c r="CV8" s="339" t="s">
        <v>1266</v>
      </c>
      <c r="CW8" s="339">
        <v>52</v>
      </c>
      <c r="CX8" s="339">
        <v>24</v>
      </c>
      <c r="CY8" s="339">
        <v>5</v>
      </c>
      <c r="CZ8" s="339">
        <v>4</v>
      </c>
      <c r="DA8" s="339">
        <v>19</v>
      </c>
      <c r="DB8" s="339" t="s">
        <v>1885</v>
      </c>
      <c r="DC8" s="351">
        <v>86</v>
      </c>
      <c r="DD8" s="339">
        <v>57</v>
      </c>
      <c r="DE8" s="366">
        <v>43545</v>
      </c>
      <c r="DF8" s="339">
        <v>33</v>
      </c>
      <c r="DG8" s="339" t="s">
        <v>1886</v>
      </c>
      <c r="DH8" s="339">
        <v>4</v>
      </c>
      <c r="DK8" s="339">
        <v>4</v>
      </c>
      <c r="DL8" s="339" t="s">
        <v>1262</v>
      </c>
      <c r="DM8" s="339">
        <v>52</v>
      </c>
      <c r="DN8" s="339">
        <v>19</v>
      </c>
      <c r="DO8" s="339">
        <v>11</v>
      </c>
      <c r="DP8" s="339">
        <v>5</v>
      </c>
      <c r="DQ8" s="339">
        <v>17</v>
      </c>
      <c r="DR8" s="339" t="s">
        <v>1984</v>
      </c>
      <c r="DS8" s="351">
        <v>84</v>
      </c>
      <c r="DT8" s="339">
        <v>40</v>
      </c>
      <c r="DU8" s="339" t="s">
        <v>1985</v>
      </c>
      <c r="DV8" s="339">
        <v>40</v>
      </c>
      <c r="DW8" s="339" t="s">
        <v>1986</v>
      </c>
      <c r="DX8" s="339">
        <v>9</v>
      </c>
      <c r="EA8" s="339">
        <v>4</v>
      </c>
      <c r="EB8" s="339" t="s">
        <v>1293</v>
      </c>
      <c r="EC8" s="339">
        <v>52</v>
      </c>
      <c r="ED8" s="339">
        <v>22</v>
      </c>
      <c r="EE8" s="339">
        <v>7</v>
      </c>
      <c r="EF8" s="339">
        <v>8</v>
      </c>
      <c r="EG8" s="339">
        <v>15</v>
      </c>
      <c r="EH8" s="339" t="s">
        <v>2066</v>
      </c>
      <c r="EI8" s="351">
        <v>88</v>
      </c>
      <c r="EJ8" s="339">
        <v>39</v>
      </c>
      <c r="EK8" s="339" t="s">
        <v>1554</v>
      </c>
      <c r="EL8" s="339">
        <v>50</v>
      </c>
      <c r="EM8" s="339" t="s">
        <v>2067</v>
      </c>
      <c r="EN8" s="339">
        <v>5</v>
      </c>
      <c r="EQ8" s="339">
        <v>4</v>
      </c>
      <c r="ER8" s="339" t="s">
        <v>1286</v>
      </c>
      <c r="ES8" s="339">
        <v>52</v>
      </c>
      <c r="ET8" s="339">
        <v>21</v>
      </c>
      <c r="EU8" s="339">
        <v>9</v>
      </c>
      <c r="EV8" s="339">
        <v>7</v>
      </c>
      <c r="EW8" s="339">
        <v>15</v>
      </c>
      <c r="EX8" s="339" t="s">
        <v>2147</v>
      </c>
      <c r="EY8" s="351">
        <v>88</v>
      </c>
      <c r="EZ8" s="339">
        <v>45</v>
      </c>
      <c r="FA8" s="339" t="s">
        <v>1854</v>
      </c>
      <c r="FB8" s="339">
        <v>44</v>
      </c>
      <c r="FC8" s="339" t="s">
        <v>2148</v>
      </c>
      <c r="FD8" s="339">
        <v>2</v>
      </c>
      <c r="FG8" s="339">
        <v>4</v>
      </c>
      <c r="FH8" s="339" t="s">
        <v>1297</v>
      </c>
      <c r="FI8" s="339">
        <v>52</v>
      </c>
      <c r="FJ8" s="339">
        <v>22</v>
      </c>
      <c r="FK8" s="339">
        <v>7</v>
      </c>
      <c r="FL8" s="339">
        <v>6</v>
      </c>
      <c r="FM8" s="339">
        <v>17</v>
      </c>
      <c r="FN8" s="339" t="s">
        <v>2230</v>
      </c>
      <c r="FO8" s="351">
        <v>86</v>
      </c>
      <c r="FP8" s="339">
        <v>56</v>
      </c>
      <c r="FQ8" s="339" t="s">
        <v>2231</v>
      </c>
      <c r="FR8" s="339">
        <v>46</v>
      </c>
      <c r="FS8" s="339" t="s">
        <v>2232</v>
      </c>
      <c r="FT8" s="339">
        <v>5</v>
      </c>
      <c r="FW8" s="339">
        <v>4</v>
      </c>
      <c r="FX8" s="339" t="s">
        <v>1303</v>
      </c>
      <c r="FY8" s="339">
        <v>52</v>
      </c>
      <c r="FZ8" s="339">
        <v>18</v>
      </c>
      <c r="GA8" s="339">
        <v>12</v>
      </c>
      <c r="GB8" s="339">
        <v>7</v>
      </c>
      <c r="GC8" s="339">
        <v>15</v>
      </c>
      <c r="GD8" s="339" t="s">
        <v>2315</v>
      </c>
      <c r="GE8" s="351">
        <v>85</v>
      </c>
      <c r="GF8" s="339">
        <v>65</v>
      </c>
      <c r="GG8" s="366">
        <v>43818</v>
      </c>
      <c r="GH8" s="339">
        <v>53</v>
      </c>
      <c r="GI8" s="339" t="s">
        <v>2316</v>
      </c>
      <c r="GJ8" s="339">
        <v>8</v>
      </c>
      <c r="GM8" s="339">
        <v>4</v>
      </c>
      <c r="GN8" s="339" t="s">
        <v>1297</v>
      </c>
      <c r="GO8" s="339">
        <v>52</v>
      </c>
      <c r="GP8" s="339">
        <v>25</v>
      </c>
      <c r="GQ8" s="339">
        <v>2</v>
      </c>
      <c r="GR8" s="339">
        <v>8</v>
      </c>
      <c r="GS8" s="339">
        <v>17</v>
      </c>
      <c r="GT8" s="339" t="s">
        <v>2394</v>
      </c>
      <c r="GU8" s="351">
        <v>87</v>
      </c>
      <c r="GV8" s="339">
        <v>68</v>
      </c>
      <c r="GW8" s="339" t="s">
        <v>2395</v>
      </c>
      <c r="GX8" s="339">
        <v>62</v>
      </c>
      <c r="GY8" s="339" t="s">
        <v>2396</v>
      </c>
      <c r="GZ8" s="339">
        <v>6</v>
      </c>
      <c r="HC8" s="339">
        <v>4</v>
      </c>
      <c r="HD8" s="339" t="s">
        <v>1286</v>
      </c>
      <c r="HE8" s="339">
        <v>52</v>
      </c>
      <c r="HF8" s="339">
        <v>24</v>
      </c>
      <c r="HG8" s="339">
        <v>2</v>
      </c>
      <c r="HH8" s="339">
        <v>8</v>
      </c>
      <c r="HI8" s="339">
        <v>0</v>
      </c>
      <c r="HJ8" s="339">
        <v>18</v>
      </c>
      <c r="HK8" s="339" t="s">
        <v>2480</v>
      </c>
      <c r="HL8" s="351">
        <v>84</v>
      </c>
      <c r="HM8" s="339">
        <v>46</v>
      </c>
      <c r="HN8" s="339" t="s">
        <v>2481</v>
      </c>
      <c r="HO8" s="339">
        <v>41</v>
      </c>
      <c r="HP8" s="339" t="s">
        <v>2482</v>
      </c>
      <c r="HQ8" s="339">
        <v>4</v>
      </c>
      <c r="HT8" s="339">
        <v>4</v>
      </c>
      <c r="HU8" s="339" t="s">
        <v>1591</v>
      </c>
      <c r="HV8" s="339">
        <v>52</v>
      </c>
      <c r="HW8" s="339">
        <v>29</v>
      </c>
      <c r="HX8" s="339">
        <v>3</v>
      </c>
      <c r="HY8" s="339">
        <v>1</v>
      </c>
      <c r="HZ8" s="339">
        <v>3</v>
      </c>
      <c r="IA8" s="339">
        <v>16</v>
      </c>
      <c r="IB8" s="339" t="s">
        <v>2550</v>
      </c>
      <c r="IC8" s="351">
        <v>97</v>
      </c>
      <c r="ID8" s="339">
        <v>40</v>
      </c>
      <c r="IE8" s="339" t="s">
        <v>2551</v>
      </c>
      <c r="IF8" s="339">
        <v>35</v>
      </c>
      <c r="IG8" s="339" t="s">
        <v>2380</v>
      </c>
      <c r="IH8" s="339">
        <v>7</v>
      </c>
      <c r="IK8" s="339">
        <v>4</v>
      </c>
      <c r="IL8" s="339" t="s">
        <v>2249</v>
      </c>
      <c r="IM8" s="339">
        <v>52</v>
      </c>
      <c r="IN8" s="339">
        <v>23</v>
      </c>
      <c r="IO8" s="339">
        <v>5</v>
      </c>
      <c r="IP8" s="339">
        <v>5</v>
      </c>
      <c r="IQ8" s="339">
        <v>2</v>
      </c>
      <c r="IR8" s="339">
        <v>17</v>
      </c>
      <c r="IS8" s="339" t="s">
        <v>2618</v>
      </c>
      <c r="IT8" s="351">
        <v>86</v>
      </c>
      <c r="IU8" s="339">
        <v>42</v>
      </c>
      <c r="IV8" s="339" t="s">
        <v>2619</v>
      </c>
      <c r="IW8" s="339">
        <v>38</v>
      </c>
      <c r="IX8" s="339" t="s">
        <v>2168</v>
      </c>
      <c r="IY8" s="339">
        <v>5</v>
      </c>
      <c r="JB8" s="339">
        <v>4</v>
      </c>
      <c r="JC8" s="339" t="s">
        <v>1266</v>
      </c>
      <c r="JD8" s="339">
        <v>52</v>
      </c>
      <c r="JE8" s="339">
        <v>24</v>
      </c>
      <c r="JF8" s="339">
        <v>3</v>
      </c>
      <c r="JG8" s="339">
        <v>4</v>
      </c>
      <c r="JH8" s="339">
        <v>2</v>
      </c>
      <c r="JI8" s="339">
        <v>19</v>
      </c>
      <c r="JJ8" s="339" t="s">
        <v>2696</v>
      </c>
      <c r="JK8" s="351">
        <v>84</v>
      </c>
      <c r="JL8" s="339">
        <v>47</v>
      </c>
      <c r="JM8" s="339" t="s">
        <v>1587</v>
      </c>
      <c r="JN8" s="339">
        <v>38</v>
      </c>
      <c r="JO8" s="339" t="s">
        <v>1328</v>
      </c>
      <c r="JP8" s="339">
        <v>11</v>
      </c>
      <c r="JS8" s="339">
        <v>4</v>
      </c>
      <c r="JT8" s="339" t="s">
        <v>2706</v>
      </c>
      <c r="JU8" s="339">
        <v>52</v>
      </c>
      <c r="JV8" s="339">
        <v>26</v>
      </c>
      <c r="JW8" s="339">
        <v>1</v>
      </c>
      <c r="JX8" s="339">
        <v>6</v>
      </c>
      <c r="JY8" s="339">
        <v>1</v>
      </c>
      <c r="JZ8" s="339">
        <v>18</v>
      </c>
      <c r="KA8" s="339" t="s">
        <v>2760</v>
      </c>
      <c r="KB8" s="351">
        <v>87</v>
      </c>
      <c r="KC8" s="339">
        <v>0</v>
      </c>
      <c r="KD8" s="339" t="s">
        <v>78</v>
      </c>
      <c r="KE8" s="339">
        <v>0</v>
      </c>
      <c r="KF8" s="339" t="s">
        <v>2757</v>
      </c>
      <c r="KG8" s="339">
        <v>0</v>
      </c>
      <c r="KJ8" s="339">
        <v>4</v>
      </c>
      <c r="KK8" s="339" t="s">
        <v>2412</v>
      </c>
      <c r="KL8" s="339">
        <v>52</v>
      </c>
      <c r="KM8" s="339">
        <v>22</v>
      </c>
      <c r="KN8" s="339">
        <v>3</v>
      </c>
      <c r="KO8" s="339">
        <v>7</v>
      </c>
      <c r="KP8" s="339">
        <v>2</v>
      </c>
      <c r="KQ8" s="339">
        <v>18</v>
      </c>
      <c r="KR8" s="339" t="s">
        <v>2795</v>
      </c>
      <c r="KS8" s="351">
        <v>81</v>
      </c>
      <c r="KT8" s="339">
        <v>0</v>
      </c>
      <c r="KU8" s="339" t="s">
        <v>78</v>
      </c>
      <c r="KV8" s="339">
        <v>0</v>
      </c>
      <c r="KW8" s="339" t="s">
        <v>2757</v>
      </c>
      <c r="KX8" s="339">
        <v>0</v>
      </c>
      <c r="LA8" s="339">
        <v>4</v>
      </c>
      <c r="LB8" s="339" t="s">
        <v>1266</v>
      </c>
      <c r="LC8" s="339">
        <v>52</v>
      </c>
      <c r="LD8" s="339">
        <v>29</v>
      </c>
      <c r="LE8" s="339">
        <v>0</v>
      </c>
      <c r="LF8" s="339">
        <v>6</v>
      </c>
      <c r="LG8" s="339">
        <v>0</v>
      </c>
      <c r="LH8" s="339">
        <v>17</v>
      </c>
      <c r="LI8" s="339" t="s">
        <v>2829</v>
      </c>
      <c r="LJ8" s="351">
        <v>64</v>
      </c>
      <c r="LK8" s="339">
        <v>2</v>
      </c>
      <c r="LL8" s="339" t="s">
        <v>2830</v>
      </c>
      <c r="LM8" s="339">
        <v>0</v>
      </c>
      <c r="LN8" s="339" t="s">
        <v>2757</v>
      </c>
      <c r="LO8" s="339">
        <v>0</v>
      </c>
      <c r="LR8" s="339">
        <v>4</v>
      </c>
      <c r="LS8" s="339" t="s">
        <v>1297</v>
      </c>
      <c r="LT8" s="339">
        <v>52</v>
      </c>
      <c r="LU8" s="339">
        <v>27</v>
      </c>
      <c r="LV8" s="339">
        <v>0</v>
      </c>
      <c r="LW8" s="339">
        <v>9</v>
      </c>
      <c r="LX8" s="339">
        <v>0</v>
      </c>
      <c r="LY8" s="339">
        <v>16</v>
      </c>
      <c r="LZ8" s="339" t="s">
        <v>2868</v>
      </c>
      <c r="MA8" s="351">
        <v>63</v>
      </c>
      <c r="MB8" s="339">
        <v>58</v>
      </c>
      <c r="MC8" s="339" t="s">
        <v>2869</v>
      </c>
      <c r="MD8" s="339">
        <v>38</v>
      </c>
      <c r="ME8" s="339" t="s">
        <v>2383</v>
      </c>
      <c r="MF8" s="339">
        <v>4</v>
      </c>
    </row>
    <row r="9" spans="2:344" ht="42" thickBot="1" x14ac:dyDescent="0.35">
      <c r="B9" s="339">
        <v>5</v>
      </c>
      <c r="C9" s="339" t="s">
        <v>1278</v>
      </c>
      <c r="D9" s="339">
        <v>52</v>
      </c>
      <c r="E9" s="339">
        <v>23</v>
      </c>
      <c r="F9" s="339">
        <v>7</v>
      </c>
      <c r="G9" s="339"/>
      <c r="H9" s="339">
        <v>5</v>
      </c>
      <c r="I9" s="339">
        <v>17</v>
      </c>
      <c r="J9" s="339" t="s">
        <v>1279</v>
      </c>
      <c r="K9" s="351">
        <v>88</v>
      </c>
      <c r="L9" s="339">
        <v>37</v>
      </c>
      <c r="M9" s="339" t="s">
        <v>1280</v>
      </c>
      <c r="N9" s="339">
        <v>34</v>
      </c>
      <c r="O9" s="339" t="s">
        <v>1281</v>
      </c>
      <c r="P9" s="339">
        <v>3</v>
      </c>
      <c r="Q9" s="342"/>
      <c r="S9" s="339">
        <v>5</v>
      </c>
      <c r="T9" s="339" t="s">
        <v>1278</v>
      </c>
      <c r="U9" s="339">
        <v>52</v>
      </c>
      <c r="V9" s="339">
        <v>23</v>
      </c>
      <c r="W9" s="339">
        <v>6</v>
      </c>
      <c r="X9" s="339">
        <v>9</v>
      </c>
      <c r="Y9" s="339">
        <v>14</v>
      </c>
      <c r="Z9" s="339" t="s">
        <v>1412</v>
      </c>
      <c r="AA9" s="351">
        <v>90</v>
      </c>
      <c r="AB9" s="339">
        <v>34</v>
      </c>
      <c r="AC9" s="339" t="s">
        <v>1413</v>
      </c>
      <c r="AD9" s="339">
        <v>31</v>
      </c>
      <c r="AE9" s="339" t="s">
        <v>1414</v>
      </c>
      <c r="AF9" s="339">
        <v>8</v>
      </c>
      <c r="AI9" s="339">
        <v>5</v>
      </c>
      <c r="AJ9" s="339" t="s">
        <v>80</v>
      </c>
      <c r="AK9" s="339">
        <v>52</v>
      </c>
      <c r="AL9" s="339">
        <v>20</v>
      </c>
      <c r="AM9" s="339">
        <v>13</v>
      </c>
      <c r="AN9" s="339">
        <v>2</v>
      </c>
      <c r="AO9" s="339">
        <v>17</v>
      </c>
      <c r="AP9" s="339" t="s">
        <v>1504</v>
      </c>
      <c r="AQ9" s="351">
        <v>88</v>
      </c>
      <c r="AR9" s="339">
        <v>39</v>
      </c>
      <c r="AS9" s="339" t="s">
        <v>1367</v>
      </c>
      <c r="AT9" s="339">
        <v>33</v>
      </c>
      <c r="AU9" s="339" t="s">
        <v>1505</v>
      </c>
      <c r="AV9" s="339">
        <v>2</v>
      </c>
      <c r="AY9" s="339">
        <v>5</v>
      </c>
      <c r="AZ9" s="339" t="s">
        <v>1282</v>
      </c>
      <c r="BA9" s="339">
        <v>52</v>
      </c>
      <c r="BB9" s="339">
        <v>22</v>
      </c>
      <c r="BC9" s="339">
        <v>5</v>
      </c>
      <c r="BD9" s="339">
        <v>9</v>
      </c>
      <c r="BE9" s="339">
        <v>16</v>
      </c>
      <c r="BF9" s="339" t="s">
        <v>1616</v>
      </c>
      <c r="BG9" s="351">
        <v>85</v>
      </c>
      <c r="BH9" s="339">
        <v>24</v>
      </c>
      <c r="BI9" s="367">
        <v>21855</v>
      </c>
      <c r="BJ9" s="339">
        <v>27</v>
      </c>
      <c r="BK9" s="339" t="s">
        <v>1617</v>
      </c>
      <c r="BL9" s="339">
        <v>1</v>
      </c>
      <c r="BO9" s="339">
        <v>5</v>
      </c>
      <c r="BP9" s="339" t="s">
        <v>1274</v>
      </c>
      <c r="BQ9" s="339">
        <v>52</v>
      </c>
      <c r="BR9" s="339">
        <v>26</v>
      </c>
      <c r="BS9" s="339">
        <v>3</v>
      </c>
      <c r="BT9" s="339">
        <v>1</v>
      </c>
      <c r="BU9" s="339">
        <v>22</v>
      </c>
      <c r="BV9" s="339" t="s">
        <v>1704</v>
      </c>
      <c r="BW9" s="351">
        <v>85</v>
      </c>
      <c r="BX9" s="339">
        <v>41</v>
      </c>
      <c r="BY9" s="339" t="s">
        <v>1705</v>
      </c>
      <c r="BZ9" s="339">
        <v>37</v>
      </c>
      <c r="CA9" s="339" t="s">
        <v>1706</v>
      </c>
      <c r="CB9" s="339">
        <v>2</v>
      </c>
      <c r="CE9" s="339">
        <v>5</v>
      </c>
      <c r="CF9" s="339" t="s">
        <v>1274</v>
      </c>
      <c r="CG9" s="339">
        <v>52</v>
      </c>
      <c r="CH9" s="339">
        <v>21</v>
      </c>
      <c r="CI9" s="339">
        <v>10</v>
      </c>
      <c r="CJ9" s="339">
        <v>7</v>
      </c>
      <c r="CK9" s="339">
        <v>14</v>
      </c>
      <c r="CL9" s="339" t="s">
        <v>1797</v>
      </c>
      <c r="CM9" s="351">
        <v>90</v>
      </c>
      <c r="CN9" s="339">
        <v>40</v>
      </c>
      <c r="CO9" s="339" t="s">
        <v>1798</v>
      </c>
      <c r="CP9" s="339">
        <v>39</v>
      </c>
      <c r="CQ9" s="339" t="s">
        <v>1523</v>
      </c>
      <c r="CR9" s="339">
        <v>4</v>
      </c>
      <c r="CU9" s="339">
        <v>5</v>
      </c>
      <c r="CV9" s="339" t="s">
        <v>1297</v>
      </c>
      <c r="CW9" s="339">
        <v>52</v>
      </c>
      <c r="CX9" s="339">
        <v>24</v>
      </c>
      <c r="CY9" s="339">
        <v>5</v>
      </c>
      <c r="CZ9" s="339">
        <v>4</v>
      </c>
      <c r="DA9" s="339">
        <v>19</v>
      </c>
      <c r="DB9" s="339" t="s">
        <v>1887</v>
      </c>
      <c r="DC9" s="351">
        <v>86</v>
      </c>
      <c r="DD9" s="339">
        <v>47</v>
      </c>
      <c r="DE9" s="339" t="s">
        <v>217</v>
      </c>
      <c r="DF9" s="339">
        <v>43</v>
      </c>
      <c r="DG9" s="339" t="s">
        <v>1888</v>
      </c>
      <c r="DH9" s="339">
        <v>11</v>
      </c>
      <c r="DK9" s="339">
        <v>5</v>
      </c>
      <c r="DL9" s="339" t="s">
        <v>1895</v>
      </c>
      <c r="DM9" s="339">
        <v>52</v>
      </c>
      <c r="DN9" s="339">
        <v>23</v>
      </c>
      <c r="DO9" s="339">
        <v>5</v>
      </c>
      <c r="DP9" s="339">
        <v>4</v>
      </c>
      <c r="DQ9" s="339">
        <v>20</v>
      </c>
      <c r="DR9" s="339" t="s">
        <v>1987</v>
      </c>
      <c r="DS9" s="351">
        <v>83</v>
      </c>
      <c r="DT9" s="339">
        <v>30</v>
      </c>
      <c r="DU9" s="339" t="s">
        <v>1988</v>
      </c>
      <c r="DV9" s="339">
        <v>30</v>
      </c>
      <c r="DW9" s="339" t="s">
        <v>1989</v>
      </c>
      <c r="DX9" s="339">
        <v>5</v>
      </c>
      <c r="EA9" s="339">
        <v>5</v>
      </c>
      <c r="EB9" s="339" t="s">
        <v>2068</v>
      </c>
      <c r="EC9" s="339">
        <v>52</v>
      </c>
      <c r="ED9" s="339">
        <v>24</v>
      </c>
      <c r="EE9" s="339">
        <v>3</v>
      </c>
      <c r="EF9" s="339">
        <v>10</v>
      </c>
      <c r="EG9" s="339">
        <v>15</v>
      </c>
      <c r="EH9" s="339" t="s">
        <v>2069</v>
      </c>
      <c r="EI9" s="351">
        <v>88</v>
      </c>
      <c r="EJ9" s="339">
        <v>41</v>
      </c>
      <c r="EK9" s="339" t="s">
        <v>1690</v>
      </c>
      <c r="EL9" s="339">
        <v>29</v>
      </c>
      <c r="EM9" s="339" t="s">
        <v>2070</v>
      </c>
      <c r="EN9" s="339">
        <v>1</v>
      </c>
      <c r="EQ9" s="339">
        <v>5</v>
      </c>
      <c r="ER9" s="339" t="s">
        <v>1297</v>
      </c>
      <c r="ES9" s="339">
        <v>52</v>
      </c>
      <c r="ET9" s="339">
        <v>21</v>
      </c>
      <c r="EU9" s="339">
        <v>9</v>
      </c>
      <c r="EV9" s="339">
        <v>6</v>
      </c>
      <c r="EW9" s="339">
        <v>16</v>
      </c>
      <c r="EX9" s="339" t="s">
        <v>2149</v>
      </c>
      <c r="EY9" s="351">
        <v>87</v>
      </c>
      <c r="EZ9" s="339">
        <v>45</v>
      </c>
      <c r="FA9" s="339" t="s">
        <v>2150</v>
      </c>
      <c r="FB9" s="339">
        <v>47</v>
      </c>
      <c r="FC9" s="339" t="s">
        <v>1906</v>
      </c>
      <c r="FD9" s="339">
        <v>6</v>
      </c>
      <c r="FG9" s="339">
        <v>5</v>
      </c>
      <c r="FH9" s="339" t="s">
        <v>1293</v>
      </c>
      <c r="FI9" s="339">
        <v>52</v>
      </c>
      <c r="FJ9" s="339">
        <v>21</v>
      </c>
      <c r="FK9" s="339">
        <v>9</v>
      </c>
      <c r="FL9" s="339">
        <v>3</v>
      </c>
      <c r="FM9" s="339">
        <v>19</v>
      </c>
      <c r="FN9" s="339" t="s">
        <v>2233</v>
      </c>
      <c r="FO9" s="351">
        <v>84</v>
      </c>
      <c r="FP9" s="339">
        <v>43</v>
      </c>
      <c r="FQ9" s="366">
        <v>43539</v>
      </c>
      <c r="FR9" s="339">
        <v>53</v>
      </c>
      <c r="FS9" s="339" t="s">
        <v>2226</v>
      </c>
      <c r="FT9" s="339">
        <v>8</v>
      </c>
      <c r="FW9" s="339">
        <v>5</v>
      </c>
      <c r="FX9" s="339" t="s">
        <v>2227</v>
      </c>
      <c r="FY9" s="339">
        <v>52</v>
      </c>
      <c r="FZ9" s="339">
        <v>20</v>
      </c>
      <c r="GA9" s="339">
        <v>6</v>
      </c>
      <c r="GB9" s="339">
        <v>8</v>
      </c>
      <c r="GC9" s="339">
        <v>18</v>
      </c>
      <c r="GD9" s="339" t="s">
        <v>2317</v>
      </c>
      <c r="GE9" s="351">
        <v>80</v>
      </c>
      <c r="GF9" s="339">
        <v>55</v>
      </c>
      <c r="GG9" s="339" t="s">
        <v>2318</v>
      </c>
      <c r="GH9" s="339">
        <v>52</v>
      </c>
      <c r="GI9" s="339" t="s">
        <v>1546</v>
      </c>
      <c r="GJ9" s="339">
        <v>8</v>
      </c>
      <c r="GM9" s="339">
        <v>5</v>
      </c>
      <c r="GN9" s="339" t="s">
        <v>1293</v>
      </c>
      <c r="GO9" s="339">
        <v>52</v>
      </c>
      <c r="GP9" s="339">
        <v>21</v>
      </c>
      <c r="GQ9" s="339">
        <v>8</v>
      </c>
      <c r="GR9" s="339">
        <v>7</v>
      </c>
      <c r="GS9" s="339">
        <v>16</v>
      </c>
      <c r="GT9" s="339" t="s">
        <v>2397</v>
      </c>
      <c r="GU9" s="351">
        <v>86</v>
      </c>
      <c r="GV9" s="339">
        <v>52</v>
      </c>
      <c r="GW9" s="339" t="s">
        <v>1991</v>
      </c>
      <c r="GX9" s="339">
        <v>52</v>
      </c>
      <c r="GY9" s="339" t="s">
        <v>1607</v>
      </c>
      <c r="GZ9" s="339">
        <v>9</v>
      </c>
      <c r="HC9" s="339">
        <v>5</v>
      </c>
      <c r="HD9" s="339" t="s">
        <v>2249</v>
      </c>
      <c r="HE9" s="339">
        <v>52</v>
      </c>
      <c r="HF9" s="339">
        <v>23</v>
      </c>
      <c r="HG9" s="339">
        <v>1</v>
      </c>
      <c r="HH9" s="339">
        <v>10</v>
      </c>
      <c r="HI9" s="339">
        <v>3</v>
      </c>
      <c r="HJ9" s="339">
        <v>15</v>
      </c>
      <c r="HK9" s="339" t="s">
        <v>2483</v>
      </c>
      <c r="HL9" s="351">
        <v>84</v>
      </c>
      <c r="HM9" s="339">
        <v>35</v>
      </c>
      <c r="HN9" s="339" t="s">
        <v>215</v>
      </c>
      <c r="HO9" s="339">
        <v>39</v>
      </c>
      <c r="HP9" s="339" t="s">
        <v>2246</v>
      </c>
      <c r="HQ9" s="339">
        <v>3</v>
      </c>
      <c r="HT9" s="339">
        <v>5</v>
      </c>
      <c r="HU9" s="339" t="s">
        <v>1262</v>
      </c>
      <c r="HV9" s="339">
        <v>52</v>
      </c>
      <c r="HW9" s="339">
        <v>25</v>
      </c>
      <c r="HX9" s="339">
        <v>7</v>
      </c>
      <c r="HY9" s="339">
        <v>3</v>
      </c>
      <c r="HZ9" s="339">
        <v>1</v>
      </c>
      <c r="IA9" s="339">
        <v>16</v>
      </c>
      <c r="IB9" s="339" t="s">
        <v>2552</v>
      </c>
      <c r="IC9" s="351">
        <v>93</v>
      </c>
      <c r="ID9" s="339">
        <v>26</v>
      </c>
      <c r="IE9" s="367">
        <v>18568</v>
      </c>
      <c r="IF9" s="339">
        <v>44</v>
      </c>
      <c r="IG9" s="339" t="s">
        <v>1965</v>
      </c>
      <c r="IH9" s="339">
        <v>11</v>
      </c>
      <c r="IK9" s="339">
        <v>5</v>
      </c>
      <c r="IL9" s="339" t="s">
        <v>1591</v>
      </c>
      <c r="IM9" s="339">
        <v>52</v>
      </c>
      <c r="IN9" s="339">
        <v>23</v>
      </c>
      <c r="IO9" s="339">
        <v>4</v>
      </c>
      <c r="IP9" s="339">
        <v>5</v>
      </c>
      <c r="IQ9" s="339">
        <v>3</v>
      </c>
      <c r="IR9" s="339">
        <v>17</v>
      </c>
      <c r="IS9" s="339" t="s">
        <v>2620</v>
      </c>
      <c r="IT9" s="351">
        <v>85</v>
      </c>
      <c r="IU9" s="339">
        <v>43</v>
      </c>
      <c r="IV9" s="339" t="s">
        <v>2621</v>
      </c>
      <c r="IW9" s="339">
        <v>42</v>
      </c>
      <c r="IX9" s="339" t="s">
        <v>2587</v>
      </c>
      <c r="IY9" s="339">
        <v>2</v>
      </c>
      <c r="JB9" s="339">
        <v>5</v>
      </c>
      <c r="JC9" s="339" t="s">
        <v>1286</v>
      </c>
      <c r="JD9" s="339">
        <v>52</v>
      </c>
      <c r="JE9" s="339">
        <v>21</v>
      </c>
      <c r="JF9" s="339">
        <v>3</v>
      </c>
      <c r="JG9" s="339">
        <v>8</v>
      </c>
      <c r="JH9" s="339">
        <v>5</v>
      </c>
      <c r="JI9" s="339">
        <v>15</v>
      </c>
      <c r="JJ9" s="339" t="s">
        <v>2697</v>
      </c>
      <c r="JK9" s="351">
        <v>82</v>
      </c>
      <c r="JL9" s="339">
        <v>43</v>
      </c>
      <c r="JM9" s="339" t="s">
        <v>2698</v>
      </c>
      <c r="JN9" s="339">
        <v>39</v>
      </c>
      <c r="JO9" s="339" t="s">
        <v>2699</v>
      </c>
      <c r="JP9" s="339">
        <v>8</v>
      </c>
      <c r="JS9" s="339">
        <v>5</v>
      </c>
      <c r="JT9" s="339" t="s">
        <v>1286</v>
      </c>
      <c r="JU9" s="339">
        <v>52</v>
      </c>
      <c r="JV9" s="339">
        <v>23</v>
      </c>
      <c r="JW9" s="339">
        <v>5</v>
      </c>
      <c r="JX9" s="339">
        <v>4</v>
      </c>
      <c r="JY9" s="339">
        <v>4</v>
      </c>
      <c r="JZ9" s="339">
        <v>16</v>
      </c>
      <c r="KA9" s="339" t="s">
        <v>2761</v>
      </c>
      <c r="KB9" s="351">
        <v>87</v>
      </c>
      <c r="KC9" s="339">
        <v>0</v>
      </c>
      <c r="KD9" s="339" t="s">
        <v>78</v>
      </c>
      <c r="KE9" s="339">
        <v>0</v>
      </c>
      <c r="KF9" s="339" t="s">
        <v>2757</v>
      </c>
      <c r="KG9" s="339">
        <v>0</v>
      </c>
      <c r="KJ9" s="339">
        <v>5</v>
      </c>
      <c r="KK9" s="339" t="s">
        <v>1297</v>
      </c>
      <c r="KL9" s="339">
        <v>52</v>
      </c>
      <c r="KM9" s="339">
        <v>22</v>
      </c>
      <c r="KN9" s="339">
        <v>3</v>
      </c>
      <c r="KO9" s="339">
        <v>2</v>
      </c>
      <c r="KP9" s="339">
        <v>6</v>
      </c>
      <c r="KQ9" s="339">
        <v>19</v>
      </c>
      <c r="KR9" s="339" t="s">
        <v>2796</v>
      </c>
      <c r="KS9" s="351">
        <v>80</v>
      </c>
      <c r="KT9" s="339">
        <v>0</v>
      </c>
      <c r="KU9" s="339" t="s">
        <v>78</v>
      </c>
      <c r="KV9" s="339">
        <v>0</v>
      </c>
      <c r="KW9" s="339" t="s">
        <v>2757</v>
      </c>
      <c r="KX9" s="339">
        <v>0</v>
      </c>
      <c r="LA9" s="339">
        <v>5</v>
      </c>
      <c r="LB9" s="339" t="s">
        <v>2706</v>
      </c>
      <c r="LC9" s="339">
        <v>52</v>
      </c>
      <c r="LD9" s="339">
        <v>26</v>
      </c>
      <c r="LE9" s="339">
        <v>0</v>
      </c>
      <c r="LF9" s="339">
        <v>11</v>
      </c>
      <c r="LG9" s="339">
        <v>0</v>
      </c>
      <c r="LH9" s="339">
        <v>15</v>
      </c>
      <c r="LI9" s="339" t="s">
        <v>2831</v>
      </c>
      <c r="LJ9" s="351">
        <v>63</v>
      </c>
      <c r="LK9" s="339">
        <v>0</v>
      </c>
      <c r="LL9" s="339" t="s">
        <v>78</v>
      </c>
      <c r="LM9" s="339">
        <v>0</v>
      </c>
      <c r="LN9" s="339" t="s">
        <v>2757</v>
      </c>
      <c r="LO9" s="339">
        <v>0</v>
      </c>
      <c r="LR9" s="339">
        <v>5</v>
      </c>
      <c r="LS9" s="339" t="s">
        <v>2490</v>
      </c>
      <c r="LT9" s="339">
        <v>52</v>
      </c>
      <c r="LU9" s="339">
        <v>23</v>
      </c>
      <c r="LV9" s="339">
        <v>0</v>
      </c>
      <c r="LW9" s="339">
        <v>14</v>
      </c>
      <c r="LX9" s="339">
        <v>0</v>
      </c>
      <c r="LY9" s="339">
        <v>15</v>
      </c>
      <c r="LZ9" s="339" t="s">
        <v>2870</v>
      </c>
      <c r="MA9" s="351">
        <v>60</v>
      </c>
      <c r="MB9" s="339">
        <v>38</v>
      </c>
      <c r="MC9" s="339" t="s">
        <v>1474</v>
      </c>
      <c r="MD9" s="339">
        <v>33</v>
      </c>
      <c r="ME9" s="339" t="s">
        <v>2871</v>
      </c>
      <c r="MF9" s="339">
        <v>8</v>
      </c>
    </row>
    <row r="10" spans="2:344" ht="55.8" thickBot="1" x14ac:dyDescent="0.35">
      <c r="B10" s="339">
        <v>6</v>
      </c>
      <c r="C10" s="339" t="s">
        <v>1282</v>
      </c>
      <c r="D10" s="339">
        <v>52</v>
      </c>
      <c r="E10" s="339">
        <v>24</v>
      </c>
      <c r="F10" s="339">
        <v>3</v>
      </c>
      <c r="G10" s="339"/>
      <c r="H10" s="339">
        <v>7</v>
      </c>
      <c r="I10" s="339">
        <v>18</v>
      </c>
      <c r="J10" s="339" t="s">
        <v>1283</v>
      </c>
      <c r="K10" s="351">
        <v>85</v>
      </c>
      <c r="L10" s="339">
        <v>32</v>
      </c>
      <c r="M10" s="339" t="s">
        <v>1284</v>
      </c>
      <c r="N10" s="339">
        <v>39</v>
      </c>
      <c r="O10" s="339" t="s">
        <v>1285</v>
      </c>
      <c r="P10" s="339">
        <v>5</v>
      </c>
      <c r="Q10" s="342"/>
      <c r="S10" s="339">
        <v>6</v>
      </c>
      <c r="T10" s="339" t="s">
        <v>1311</v>
      </c>
      <c r="U10" s="339">
        <v>52</v>
      </c>
      <c r="V10" s="339">
        <v>20</v>
      </c>
      <c r="W10" s="339">
        <v>5</v>
      </c>
      <c r="X10" s="339">
        <v>6</v>
      </c>
      <c r="Y10" s="339">
        <v>21</v>
      </c>
      <c r="Z10" s="339" t="s">
        <v>1415</v>
      </c>
      <c r="AA10" s="351">
        <v>76</v>
      </c>
      <c r="AB10" s="339">
        <v>33</v>
      </c>
      <c r="AC10" s="339" t="s">
        <v>1376</v>
      </c>
      <c r="AD10" s="339">
        <v>35</v>
      </c>
      <c r="AE10" s="339" t="s">
        <v>1416</v>
      </c>
      <c r="AF10" s="339">
        <v>3</v>
      </c>
      <c r="AI10" s="339">
        <v>6</v>
      </c>
      <c r="AJ10" s="339" t="s">
        <v>1278</v>
      </c>
      <c r="AK10" s="339">
        <v>52</v>
      </c>
      <c r="AL10" s="339">
        <v>22</v>
      </c>
      <c r="AM10" s="339">
        <v>4</v>
      </c>
      <c r="AN10" s="339">
        <v>10</v>
      </c>
      <c r="AO10" s="339">
        <v>16</v>
      </c>
      <c r="AP10" s="339" t="s">
        <v>1506</v>
      </c>
      <c r="AQ10" s="351">
        <v>84</v>
      </c>
      <c r="AR10" s="339">
        <v>39</v>
      </c>
      <c r="AS10" s="366">
        <v>43786</v>
      </c>
      <c r="AT10" s="339">
        <v>34</v>
      </c>
      <c r="AU10" s="339" t="s">
        <v>1507</v>
      </c>
      <c r="AV10" s="339">
        <v>7</v>
      </c>
      <c r="AY10" s="339">
        <v>6</v>
      </c>
      <c r="AZ10" s="339" t="s">
        <v>1290</v>
      </c>
      <c r="BA10" s="339">
        <v>52</v>
      </c>
      <c r="BB10" s="339">
        <v>20</v>
      </c>
      <c r="BC10" s="339">
        <v>7</v>
      </c>
      <c r="BD10" s="339">
        <v>9</v>
      </c>
      <c r="BE10" s="339">
        <v>16</v>
      </c>
      <c r="BF10" s="339" t="s">
        <v>1618</v>
      </c>
      <c r="BG10" s="351">
        <v>83</v>
      </c>
      <c r="BH10" s="339">
        <v>38</v>
      </c>
      <c r="BI10" s="366">
        <v>43692</v>
      </c>
      <c r="BJ10" s="339">
        <v>50</v>
      </c>
      <c r="BK10" s="339" t="s">
        <v>1310</v>
      </c>
      <c r="BL10" s="339">
        <v>5</v>
      </c>
      <c r="BO10" s="339">
        <v>6</v>
      </c>
      <c r="BP10" s="339" t="s">
        <v>1293</v>
      </c>
      <c r="BQ10" s="339">
        <v>52</v>
      </c>
      <c r="BR10" s="339">
        <v>22</v>
      </c>
      <c r="BS10" s="339">
        <v>5</v>
      </c>
      <c r="BT10" s="339">
        <v>5</v>
      </c>
      <c r="BU10" s="339">
        <v>20</v>
      </c>
      <c r="BV10" s="339" t="s">
        <v>1707</v>
      </c>
      <c r="BW10" s="351">
        <v>81</v>
      </c>
      <c r="BX10" s="339">
        <v>52</v>
      </c>
      <c r="BY10" s="339" t="s">
        <v>1708</v>
      </c>
      <c r="BZ10" s="339">
        <v>55</v>
      </c>
      <c r="CA10" s="339" t="s">
        <v>1709</v>
      </c>
      <c r="CB10" s="339">
        <v>3</v>
      </c>
      <c r="CE10" s="339">
        <v>6</v>
      </c>
      <c r="CF10" s="339" t="s">
        <v>1278</v>
      </c>
      <c r="CG10" s="339">
        <v>52</v>
      </c>
      <c r="CH10" s="339">
        <v>25</v>
      </c>
      <c r="CI10" s="339">
        <v>5</v>
      </c>
      <c r="CJ10" s="339">
        <v>2</v>
      </c>
      <c r="CK10" s="339">
        <v>20</v>
      </c>
      <c r="CL10" s="339" t="s">
        <v>1799</v>
      </c>
      <c r="CM10" s="351">
        <v>87</v>
      </c>
      <c r="CN10" s="339">
        <v>35</v>
      </c>
      <c r="CO10" s="339" t="s">
        <v>1800</v>
      </c>
      <c r="CP10" s="339">
        <v>30</v>
      </c>
      <c r="CQ10" s="339" t="s">
        <v>1801</v>
      </c>
      <c r="CR10" s="339">
        <v>7</v>
      </c>
      <c r="CU10" s="339">
        <v>6</v>
      </c>
      <c r="CV10" s="339" t="s">
        <v>80</v>
      </c>
      <c r="CW10" s="339">
        <v>52</v>
      </c>
      <c r="CX10" s="339">
        <v>20</v>
      </c>
      <c r="CY10" s="339">
        <v>9</v>
      </c>
      <c r="CZ10" s="339">
        <v>5</v>
      </c>
      <c r="DA10" s="339">
        <v>18</v>
      </c>
      <c r="DB10" s="339" t="s">
        <v>1889</v>
      </c>
      <c r="DC10" s="351">
        <v>83</v>
      </c>
      <c r="DD10" s="339">
        <v>50</v>
      </c>
      <c r="DE10" s="339" t="s">
        <v>1890</v>
      </c>
      <c r="DF10" s="339">
        <v>46</v>
      </c>
      <c r="DG10" s="339" t="s">
        <v>1891</v>
      </c>
      <c r="DH10" s="339">
        <v>8</v>
      </c>
      <c r="DK10" s="339">
        <v>6</v>
      </c>
      <c r="DL10" s="339" t="s">
        <v>1286</v>
      </c>
      <c r="DM10" s="339">
        <v>52</v>
      </c>
      <c r="DN10" s="339">
        <v>20</v>
      </c>
      <c r="DO10" s="339">
        <v>7</v>
      </c>
      <c r="DP10" s="339">
        <v>3</v>
      </c>
      <c r="DQ10" s="339">
        <v>22</v>
      </c>
      <c r="DR10" s="339" t="s">
        <v>1990</v>
      </c>
      <c r="DS10" s="351">
        <v>77</v>
      </c>
      <c r="DT10" s="339">
        <v>42</v>
      </c>
      <c r="DU10" s="339" t="s">
        <v>1991</v>
      </c>
      <c r="DV10" s="339">
        <v>39</v>
      </c>
      <c r="DW10" s="339" t="s">
        <v>1736</v>
      </c>
      <c r="DX10" s="339">
        <v>3</v>
      </c>
      <c r="EA10" s="339">
        <v>6</v>
      </c>
      <c r="EB10" s="339" t="s">
        <v>1895</v>
      </c>
      <c r="EC10" s="339">
        <v>52</v>
      </c>
      <c r="ED10" s="339">
        <v>23</v>
      </c>
      <c r="EE10" s="339">
        <v>6</v>
      </c>
      <c r="EF10" s="339">
        <v>4</v>
      </c>
      <c r="EG10" s="339">
        <v>19</v>
      </c>
      <c r="EH10" s="339" t="s">
        <v>2071</v>
      </c>
      <c r="EI10" s="351">
        <v>85</v>
      </c>
      <c r="EJ10" s="339">
        <v>43</v>
      </c>
      <c r="EK10" s="366">
        <v>43754</v>
      </c>
      <c r="EL10" s="339">
        <v>43</v>
      </c>
      <c r="EM10" s="339" t="s">
        <v>2072</v>
      </c>
      <c r="EN10" s="339">
        <v>4</v>
      </c>
      <c r="EQ10" s="339">
        <v>6</v>
      </c>
      <c r="ER10" s="339" t="s">
        <v>1266</v>
      </c>
      <c r="ES10" s="339">
        <v>52</v>
      </c>
      <c r="ET10" s="339">
        <v>20</v>
      </c>
      <c r="EU10" s="339">
        <v>8</v>
      </c>
      <c r="EV10" s="339">
        <v>7</v>
      </c>
      <c r="EW10" s="339">
        <v>17</v>
      </c>
      <c r="EX10" s="339" t="s">
        <v>2151</v>
      </c>
      <c r="EY10" s="351">
        <v>83</v>
      </c>
      <c r="EZ10" s="339">
        <v>50</v>
      </c>
      <c r="FA10" s="339" t="s">
        <v>2152</v>
      </c>
      <c r="FB10" s="339">
        <v>47</v>
      </c>
      <c r="FC10" s="339" t="s">
        <v>2153</v>
      </c>
      <c r="FD10" s="339">
        <v>1</v>
      </c>
      <c r="FG10" s="339">
        <v>6</v>
      </c>
      <c r="FH10" s="339" t="s">
        <v>1303</v>
      </c>
      <c r="FI10" s="339">
        <v>52</v>
      </c>
      <c r="FJ10" s="339">
        <v>20</v>
      </c>
      <c r="FK10" s="339">
        <v>7</v>
      </c>
      <c r="FL10" s="339">
        <v>9</v>
      </c>
      <c r="FM10" s="339">
        <v>16</v>
      </c>
      <c r="FN10" s="339" t="s">
        <v>2234</v>
      </c>
      <c r="FO10" s="351">
        <v>83</v>
      </c>
      <c r="FP10" s="339">
        <v>48</v>
      </c>
      <c r="FQ10" s="339" t="s">
        <v>2235</v>
      </c>
      <c r="FR10" s="339">
        <v>47</v>
      </c>
      <c r="FS10" s="339" t="s">
        <v>2155</v>
      </c>
      <c r="FT10" s="339">
        <v>6</v>
      </c>
      <c r="FW10" s="339">
        <v>6</v>
      </c>
      <c r="FX10" s="339" t="s">
        <v>1297</v>
      </c>
      <c r="FY10" s="339">
        <v>52</v>
      </c>
      <c r="FZ10" s="339">
        <v>19</v>
      </c>
      <c r="GA10" s="339">
        <v>6</v>
      </c>
      <c r="GB10" s="339">
        <v>10</v>
      </c>
      <c r="GC10" s="339">
        <v>17</v>
      </c>
      <c r="GD10" s="339" t="s">
        <v>2319</v>
      </c>
      <c r="GE10" s="351">
        <v>79</v>
      </c>
      <c r="GF10" s="339">
        <v>51</v>
      </c>
      <c r="GG10" s="339" t="s">
        <v>2320</v>
      </c>
      <c r="GH10" s="339">
        <v>51</v>
      </c>
      <c r="GI10" s="339" t="s">
        <v>2321</v>
      </c>
      <c r="GJ10" s="339">
        <v>2</v>
      </c>
      <c r="GM10" s="339">
        <v>6</v>
      </c>
      <c r="GN10" s="339" t="s">
        <v>1591</v>
      </c>
      <c r="GO10" s="339">
        <v>52</v>
      </c>
      <c r="GP10" s="339">
        <v>21</v>
      </c>
      <c r="GQ10" s="339">
        <v>6</v>
      </c>
      <c r="GR10" s="339">
        <v>6</v>
      </c>
      <c r="GS10" s="339">
        <v>19</v>
      </c>
      <c r="GT10" s="339" t="s">
        <v>2398</v>
      </c>
      <c r="GU10" s="351">
        <v>81</v>
      </c>
      <c r="GV10" s="339">
        <v>64</v>
      </c>
      <c r="GW10" s="339" t="s">
        <v>2399</v>
      </c>
      <c r="GX10" s="339">
        <v>65</v>
      </c>
      <c r="GY10" s="339" t="s">
        <v>2400</v>
      </c>
      <c r="GZ10" s="339">
        <v>7</v>
      </c>
      <c r="HC10" s="339">
        <v>6</v>
      </c>
      <c r="HD10" s="339" t="s">
        <v>1297</v>
      </c>
      <c r="HE10" s="339">
        <v>52</v>
      </c>
      <c r="HF10" s="339">
        <v>21</v>
      </c>
      <c r="HG10" s="339">
        <v>5</v>
      </c>
      <c r="HH10" s="339">
        <v>2</v>
      </c>
      <c r="HI10" s="339">
        <v>3</v>
      </c>
      <c r="HJ10" s="339">
        <v>21</v>
      </c>
      <c r="HK10" s="339" t="s">
        <v>2484</v>
      </c>
      <c r="HL10" s="351">
        <v>78</v>
      </c>
      <c r="HM10" s="339">
        <v>40</v>
      </c>
      <c r="HN10" s="339" t="s">
        <v>2485</v>
      </c>
      <c r="HO10" s="339">
        <v>35</v>
      </c>
      <c r="HP10" s="339" t="s">
        <v>2486</v>
      </c>
      <c r="HQ10" s="339">
        <v>11</v>
      </c>
      <c r="HT10" s="339">
        <v>6</v>
      </c>
      <c r="HU10" s="339" t="s">
        <v>2402</v>
      </c>
      <c r="HV10" s="339">
        <v>52</v>
      </c>
      <c r="HW10" s="339">
        <v>26</v>
      </c>
      <c r="HX10" s="339">
        <v>1</v>
      </c>
      <c r="HY10" s="339">
        <v>4</v>
      </c>
      <c r="HZ10" s="339">
        <v>0</v>
      </c>
      <c r="IA10" s="339">
        <v>21</v>
      </c>
      <c r="IB10" s="339" t="s">
        <v>2553</v>
      </c>
      <c r="IC10" s="351">
        <v>84</v>
      </c>
      <c r="ID10" s="339">
        <v>44</v>
      </c>
      <c r="IE10" s="339" t="s">
        <v>1859</v>
      </c>
      <c r="IF10" s="339">
        <v>37</v>
      </c>
      <c r="IG10" s="339" t="s">
        <v>2554</v>
      </c>
      <c r="IH10" s="339">
        <v>3</v>
      </c>
      <c r="IK10" s="339">
        <v>6</v>
      </c>
      <c r="IL10" s="339" t="s">
        <v>1286</v>
      </c>
      <c r="IM10" s="339">
        <v>52</v>
      </c>
      <c r="IN10" s="339">
        <v>22</v>
      </c>
      <c r="IO10" s="339">
        <v>3</v>
      </c>
      <c r="IP10" s="339">
        <v>7</v>
      </c>
      <c r="IQ10" s="339">
        <v>3</v>
      </c>
      <c r="IR10" s="339">
        <v>17</v>
      </c>
      <c r="IS10" s="339" t="s">
        <v>2622</v>
      </c>
      <c r="IT10" s="351">
        <v>82</v>
      </c>
      <c r="IU10" s="339">
        <v>37</v>
      </c>
      <c r="IV10" s="339" t="s">
        <v>2623</v>
      </c>
      <c r="IW10" s="339">
        <v>42</v>
      </c>
      <c r="IX10" s="339" t="s">
        <v>1512</v>
      </c>
      <c r="IY10" s="339">
        <v>8</v>
      </c>
      <c r="JB10" s="339">
        <v>6</v>
      </c>
      <c r="JC10" s="339" t="s">
        <v>2490</v>
      </c>
      <c r="JD10" s="339">
        <v>52</v>
      </c>
      <c r="JE10" s="339">
        <v>21</v>
      </c>
      <c r="JF10" s="339">
        <v>5</v>
      </c>
      <c r="JG10" s="339">
        <v>4</v>
      </c>
      <c r="JH10" s="339">
        <v>3</v>
      </c>
      <c r="JI10" s="339">
        <v>19</v>
      </c>
      <c r="JJ10" s="339" t="s">
        <v>2700</v>
      </c>
      <c r="JK10" s="351">
        <v>80</v>
      </c>
      <c r="JL10" s="339">
        <v>34</v>
      </c>
      <c r="JM10" s="339" t="s">
        <v>2701</v>
      </c>
      <c r="JN10" s="339">
        <v>38</v>
      </c>
      <c r="JO10" s="339" t="s">
        <v>2554</v>
      </c>
      <c r="JP10" s="339">
        <v>6</v>
      </c>
      <c r="JS10" s="339">
        <v>6</v>
      </c>
      <c r="JT10" s="339" t="s">
        <v>1591</v>
      </c>
      <c r="JU10" s="339">
        <v>52</v>
      </c>
      <c r="JV10" s="339">
        <v>22</v>
      </c>
      <c r="JW10" s="339">
        <v>4</v>
      </c>
      <c r="JX10" s="339">
        <v>5</v>
      </c>
      <c r="JY10" s="339">
        <v>6</v>
      </c>
      <c r="JZ10" s="339">
        <v>15</v>
      </c>
      <c r="KA10" s="339" t="s">
        <v>2762</v>
      </c>
      <c r="KB10" s="351">
        <v>85</v>
      </c>
      <c r="KC10" s="339">
        <v>0</v>
      </c>
      <c r="KD10" s="339" t="s">
        <v>78</v>
      </c>
      <c r="KE10" s="339">
        <v>0</v>
      </c>
      <c r="KF10" s="339" t="s">
        <v>2757</v>
      </c>
      <c r="KG10" s="339">
        <v>0</v>
      </c>
      <c r="KJ10" s="339">
        <v>6</v>
      </c>
      <c r="KK10" s="339" t="s">
        <v>1286</v>
      </c>
      <c r="KL10" s="339">
        <v>52</v>
      </c>
      <c r="KM10" s="339">
        <v>21</v>
      </c>
      <c r="KN10" s="339">
        <v>2</v>
      </c>
      <c r="KO10" s="339">
        <v>10</v>
      </c>
      <c r="KP10" s="339">
        <v>3</v>
      </c>
      <c r="KQ10" s="339">
        <v>16</v>
      </c>
      <c r="KR10" s="339" t="s">
        <v>2797</v>
      </c>
      <c r="KS10" s="351">
        <v>80</v>
      </c>
      <c r="KT10" s="339">
        <v>0</v>
      </c>
      <c r="KU10" s="339" t="s">
        <v>78</v>
      </c>
      <c r="KV10" s="339">
        <v>0</v>
      </c>
      <c r="KW10" s="339" t="s">
        <v>2757</v>
      </c>
      <c r="KX10" s="339">
        <v>0</v>
      </c>
      <c r="LA10" s="339">
        <v>6</v>
      </c>
      <c r="LB10" s="339" t="s">
        <v>2490</v>
      </c>
      <c r="LC10" s="339">
        <v>52</v>
      </c>
      <c r="LD10" s="339">
        <v>25</v>
      </c>
      <c r="LE10" s="339">
        <v>0</v>
      </c>
      <c r="LF10" s="339">
        <v>11</v>
      </c>
      <c r="LG10" s="339">
        <v>0</v>
      </c>
      <c r="LH10" s="339">
        <v>16</v>
      </c>
      <c r="LI10" s="339" t="s">
        <v>2832</v>
      </c>
      <c r="LJ10" s="351">
        <v>61</v>
      </c>
      <c r="LK10" s="339">
        <v>0</v>
      </c>
      <c r="LL10" s="339" t="s">
        <v>78</v>
      </c>
      <c r="LM10" s="339">
        <v>0</v>
      </c>
      <c r="LN10" s="339" t="s">
        <v>2757</v>
      </c>
      <c r="LO10" s="339">
        <v>0</v>
      </c>
      <c r="LR10" s="339">
        <v>6</v>
      </c>
      <c r="LS10" s="339" t="s">
        <v>2706</v>
      </c>
      <c r="LT10" s="339">
        <v>52</v>
      </c>
      <c r="LU10" s="339">
        <v>23</v>
      </c>
      <c r="LV10" s="339">
        <v>0</v>
      </c>
      <c r="LW10" s="339">
        <v>14</v>
      </c>
      <c r="LX10" s="339">
        <v>0</v>
      </c>
      <c r="LY10" s="339">
        <v>15</v>
      </c>
      <c r="LZ10" s="339" t="s">
        <v>2872</v>
      </c>
      <c r="MA10" s="351">
        <v>60</v>
      </c>
      <c r="MB10" s="339">
        <v>42</v>
      </c>
      <c r="MC10" s="366">
        <v>43756</v>
      </c>
      <c r="MD10" s="339">
        <v>37</v>
      </c>
      <c r="ME10" s="339" t="s">
        <v>2873</v>
      </c>
      <c r="MF10" s="339">
        <v>4</v>
      </c>
    </row>
    <row r="11" spans="2:344" ht="55.8" thickBot="1" x14ac:dyDescent="0.35">
      <c r="B11" s="339">
        <v>7</v>
      </c>
      <c r="C11" s="339" t="s">
        <v>1286</v>
      </c>
      <c r="D11" s="339">
        <v>52</v>
      </c>
      <c r="E11" s="339">
        <v>24</v>
      </c>
      <c r="F11" s="339">
        <v>4</v>
      </c>
      <c r="G11" s="339"/>
      <c r="H11" s="339">
        <v>3</v>
      </c>
      <c r="I11" s="339">
        <v>21</v>
      </c>
      <c r="J11" s="339" t="s">
        <v>1287</v>
      </c>
      <c r="K11" s="351">
        <v>83</v>
      </c>
      <c r="L11" s="339">
        <v>32</v>
      </c>
      <c r="M11" s="339" t="s">
        <v>1288</v>
      </c>
      <c r="N11" s="339">
        <v>29</v>
      </c>
      <c r="O11" s="339" t="s">
        <v>1289</v>
      </c>
      <c r="P11" s="339">
        <v>6</v>
      </c>
      <c r="Q11" s="342"/>
      <c r="S11" s="339">
        <v>7</v>
      </c>
      <c r="T11" s="339" t="s">
        <v>1262</v>
      </c>
      <c r="U11" s="339">
        <v>52</v>
      </c>
      <c r="V11" s="339">
        <v>18</v>
      </c>
      <c r="W11" s="339">
        <v>9</v>
      </c>
      <c r="X11" s="339">
        <v>4</v>
      </c>
      <c r="Y11" s="339">
        <v>21</v>
      </c>
      <c r="Z11" s="339" t="s">
        <v>1417</v>
      </c>
      <c r="AA11" s="351">
        <v>76</v>
      </c>
      <c r="AB11" s="339">
        <v>42</v>
      </c>
      <c r="AC11" s="339" t="s">
        <v>1418</v>
      </c>
      <c r="AD11" s="339">
        <v>44</v>
      </c>
      <c r="AE11" s="339" t="s">
        <v>1419</v>
      </c>
      <c r="AF11" s="339">
        <v>1</v>
      </c>
      <c r="AI11" s="339">
        <v>7</v>
      </c>
      <c r="AJ11" s="339" t="s">
        <v>1307</v>
      </c>
      <c r="AK11" s="339">
        <v>52</v>
      </c>
      <c r="AL11" s="339">
        <v>18</v>
      </c>
      <c r="AM11" s="339">
        <v>10</v>
      </c>
      <c r="AN11" s="339">
        <v>6</v>
      </c>
      <c r="AO11" s="339">
        <v>18</v>
      </c>
      <c r="AP11" s="339" t="s">
        <v>1508</v>
      </c>
      <c r="AQ11" s="351">
        <v>80</v>
      </c>
      <c r="AR11" s="339">
        <v>37</v>
      </c>
      <c r="AS11" s="339" t="s">
        <v>1509</v>
      </c>
      <c r="AT11" s="339">
        <v>45</v>
      </c>
      <c r="AU11" s="339" t="s">
        <v>1510</v>
      </c>
      <c r="AV11" s="339">
        <v>4</v>
      </c>
      <c r="AY11" s="339">
        <v>7</v>
      </c>
      <c r="AZ11" s="339" t="s">
        <v>1293</v>
      </c>
      <c r="BA11" s="339">
        <v>52</v>
      </c>
      <c r="BB11" s="339">
        <v>21</v>
      </c>
      <c r="BC11" s="339">
        <v>6</v>
      </c>
      <c r="BD11" s="339">
        <v>6</v>
      </c>
      <c r="BE11" s="339">
        <v>19</v>
      </c>
      <c r="BF11" s="339" t="s">
        <v>1619</v>
      </c>
      <c r="BG11" s="351">
        <v>81</v>
      </c>
      <c r="BH11" s="339">
        <v>37</v>
      </c>
      <c r="BI11" s="339" t="s">
        <v>1620</v>
      </c>
      <c r="BJ11" s="339">
        <v>37</v>
      </c>
      <c r="BK11" s="339" t="s">
        <v>1621</v>
      </c>
      <c r="BL11" s="339">
        <v>4</v>
      </c>
      <c r="BO11" s="339">
        <v>7</v>
      </c>
      <c r="BP11" s="339" t="s">
        <v>1270</v>
      </c>
      <c r="BQ11" s="339">
        <v>52</v>
      </c>
      <c r="BR11" s="339">
        <v>19</v>
      </c>
      <c r="BS11" s="339">
        <v>8</v>
      </c>
      <c r="BT11" s="339">
        <v>2</v>
      </c>
      <c r="BU11" s="339">
        <v>23</v>
      </c>
      <c r="BV11" s="339" t="s">
        <v>1710</v>
      </c>
      <c r="BW11" s="351">
        <v>75</v>
      </c>
      <c r="BX11" s="339">
        <v>46</v>
      </c>
      <c r="BY11" s="339" t="s">
        <v>1711</v>
      </c>
      <c r="BZ11" s="339">
        <v>36</v>
      </c>
      <c r="CA11" s="339" t="s">
        <v>1712</v>
      </c>
      <c r="CB11" s="339">
        <v>8</v>
      </c>
      <c r="CE11" s="339">
        <v>7</v>
      </c>
      <c r="CF11" s="339" t="s">
        <v>1311</v>
      </c>
      <c r="CG11" s="339">
        <v>52</v>
      </c>
      <c r="CH11" s="339">
        <v>22</v>
      </c>
      <c r="CI11" s="339">
        <v>4</v>
      </c>
      <c r="CJ11" s="339">
        <v>9</v>
      </c>
      <c r="CK11" s="339">
        <v>17</v>
      </c>
      <c r="CL11" s="339" t="s">
        <v>1802</v>
      </c>
      <c r="CM11" s="351">
        <v>83</v>
      </c>
      <c r="CN11" s="339">
        <v>41</v>
      </c>
      <c r="CO11" s="339" t="s">
        <v>1653</v>
      </c>
      <c r="CP11" s="339">
        <v>39</v>
      </c>
      <c r="CQ11" s="339" t="s">
        <v>1803</v>
      </c>
      <c r="CR11" s="339">
        <v>7</v>
      </c>
      <c r="CU11" s="339">
        <v>7</v>
      </c>
      <c r="CV11" s="339" t="s">
        <v>332</v>
      </c>
      <c r="CW11" s="339">
        <v>52</v>
      </c>
      <c r="CX11" s="339">
        <v>23</v>
      </c>
      <c r="CY11" s="339">
        <v>1</v>
      </c>
      <c r="CZ11" s="339">
        <v>6</v>
      </c>
      <c r="DA11" s="339">
        <v>22</v>
      </c>
      <c r="DB11" s="339" t="s">
        <v>1892</v>
      </c>
      <c r="DC11" s="351">
        <v>77</v>
      </c>
      <c r="DD11" s="339">
        <v>39</v>
      </c>
      <c r="DE11" s="339" t="s">
        <v>1893</v>
      </c>
      <c r="DF11" s="339">
        <v>45</v>
      </c>
      <c r="DG11" s="339" t="s">
        <v>1894</v>
      </c>
      <c r="DH11" s="339">
        <v>6</v>
      </c>
      <c r="DK11" s="339">
        <v>7</v>
      </c>
      <c r="DL11" s="339" t="s">
        <v>1293</v>
      </c>
      <c r="DM11" s="339">
        <v>52</v>
      </c>
      <c r="DN11" s="339">
        <v>18</v>
      </c>
      <c r="DO11" s="339">
        <v>6</v>
      </c>
      <c r="DP11" s="339">
        <v>10</v>
      </c>
      <c r="DQ11" s="339">
        <v>18</v>
      </c>
      <c r="DR11" s="339" t="s">
        <v>1992</v>
      </c>
      <c r="DS11" s="351">
        <v>76</v>
      </c>
      <c r="DT11" s="339">
        <v>22</v>
      </c>
      <c r="DU11" s="367">
        <v>14855</v>
      </c>
      <c r="DV11" s="339">
        <v>36</v>
      </c>
      <c r="DW11" s="339" t="s">
        <v>1993</v>
      </c>
      <c r="DX11" s="339">
        <v>4</v>
      </c>
      <c r="EA11" s="339">
        <v>7</v>
      </c>
      <c r="EB11" s="339" t="s">
        <v>1591</v>
      </c>
      <c r="EC11" s="339">
        <v>52</v>
      </c>
      <c r="ED11" s="339">
        <v>21</v>
      </c>
      <c r="EE11" s="339">
        <v>9</v>
      </c>
      <c r="EF11" s="339">
        <v>3</v>
      </c>
      <c r="EG11" s="339">
        <v>19</v>
      </c>
      <c r="EH11" s="339" t="s">
        <v>2073</v>
      </c>
      <c r="EI11" s="351">
        <v>84</v>
      </c>
      <c r="EJ11" s="339">
        <v>35</v>
      </c>
      <c r="EK11" s="339" t="s">
        <v>2074</v>
      </c>
      <c r="EL11" s="339">
        <v>42</v>
      </c>
      <c r="EM11" s="339" t="s">
        <v>1411</v>
      </c>
      <c r="EN11" s="339">
        <v>7</v>
      </c>
      <c r="EQ11" s="339">
        <v>7</v>
      </c>
      <c r="ER11" s="339" t="s">
        <v>1591</v>
      </c>
      <c r="ES11" s="339">
        <v>52</v>
      </c>
      <c r="ET11" s="339">
        <v>20</v>
      </c>
      <c r="EU11" s="339">
        <v>6</v>
      </c>
      <c r="EV11" s="339">
        <v>2</v>
      </c>
      <c r="EW11" s="339">
        <v>24</v>
      </c>
      <c r="EX11" s="339" t="s">
        <v>2154</v>
      </c>
      <c r="EY11" s="351">
        <v>74</v>
      </c>
      <c r="EZ11" s="339">
        <v>40</v>
      </c>
      <c r="FA11" s="339" t="s">
        <v>1550</v>
      </c>
      <c r="FB11" s="339">
        <v>50</v>
      </c>
      <c r="FC11" s="339" t="s">
        <v>2155</v>
      </c>
      <c r="FD11" s="339">
        <v>11</v>
      </c>
      <c r="FG11" s="339">
        <v>7</v>
      </c>
      <c r="FH11" s="339" t="s">
        <v>2236</v>
      </c>
      <c r="FI11" s="339">
        <v>52</v>
      </c>
      <c r="FJ11" s="339">
        <v>24</v>
      </c>
      <c r="FK11" s="339">
        <v>2</v>
      </c>
      <c r="FL11" s="339">
        <v>6</v>
      </c>
      <c r="FM11" s="339">
        <v>20</v>
      </c>
      <c r="FN11" s="339" t="s">
        <v>2237</v>
      </c>
      <c r="FO11" s="351">
        <v>82</v>
      </c>
      <c r="FP11" s="339">
        <v>56</v>
      </c>
      <c r="FQ11" s="339" t="s">
        <v>2238</v>
      </c>
      <c r="FR11" s="339">
        <v>44</v>
      </c>
      <c r="FS11" s="339" t="s">
        <v>2239</v>
      </c>
      <c r="FT11" s="339">
        <v>9</v>
      </c>
      <c r="FW11" s="339">
        <v>7</v>
      </c>
      <c r="FX11" s="339" t="s">
        <v>1266</v>
      </c>
      <c r="FY11" s="339">
        <v>52</v>
      </c>
      <c r="FZ11" s="339">
        <v>21</v>
      </c>
      <c r="GA11" s="339">
        <v>5</v>
      </c>
      <c r="GB11" s="339">
        <v>5</v>
      </c>
      <c r="GC11" s="339">
        <v>21</v>
      </c>
      <c r="GD11" s="339" t="s">
        <v>2322</v>
      </c>
      <c r="GE11" s="351">
        <v>78</v>
      </c>
      <c r="GF11" s="339">
        <v>54</v>
      </c>
      <c r="GG11" s="366">
        <v>43725</v>
      </c>
      <c r="GH11" s="339">
        <v>43</v>
      </c>
      <c r="GI11" s="339" t="s">
        <v>2323</v>
      </c>
      <c r="GJ11" s="339">
        <v>5</v>
      </c>
      <c r="GM11" s="339">
        <v>7</v>
      </c>
      <c r="GN11" s="339" t="s">
        <v>1303</v>
      </c>
      <c r="GO11" s="339">
        <v>52</v>
      </c>
      <c r="GP11" s="339">
        <v>20</v>
      </c>
      <c r="GQ11" s="339">
        <v>7</v>
      </c>
      <c r="GR11" s="339">
        <v>6</v>
      </c>
      <c r="GS11" s="339">
        <v>19</v>
      </c>
      <c r="GT11" s="339" t="s">
        <v>2401</v>
      </c>
      <c r="GU11" s="351">
        <v>80</v>
      </c>
      <c r="GV11" s="339">
        <v>53</v>
      </c>
      <c r="GW11" s="339" t="s">
        <v>1908</v>
      </c>
      <c r="GX11" s="339">
        <v>55</v>
      </c>
      <c r="GY11" s="339" t="s">
        <v>1621</v>
      </c>
      <c r="GZ11" s="339">
        <v>9</v>
      </c>
      <c r="HC11" s="339">
        <v>7</v>
      </c>
      <c r="HD11" s="339" t="s">
        <v>1266</v>
      </c>
      <c r="HE11" s="339">
        <v>52</v>
      </c>
      <c r="HF11" s="339">
        <v>23</v>
      </c>
      <c r="HG11" s="339">
        <v>1</v>
      </c>
      <c r="HH11" s="339">
        <v>5</v>
      </c>
      <c r="HI11" s="339">
        <v>1</v>
      </c>
      <c r="HJ11" s="339">
        <v>22</v>
      </c>
      <c r="HK11" s="339" t="s">
        <v>2487</v>
      </c>
      <c r="HL11" s="351">
        <v>77</v>
      </c>
      <c r="HM11" s="339">
        <v>50</v>
      </c>
      <c r="HN11" s="339" t="s">
        <v>2488</v>
      </c>
      <c r="HO11" s="339">
        <v>48</v>
      </c>
      <c r="HP11" s="339" t="s">
        <v>2489</v>
      </c>
      <c r="HQ11" s="339">
        <v>8</v>
      </c>
      <c r="HT11" s="339">
        <v>7</v>
      </c>
      <c r="HU11" s="339" t="s">
        <v>1286</v>
      </c>
      <c r="HV11" s="339">
        <v>52</v>
      </c>
      <c r="HW11" s="339">
        <v>22</v>
      </c>
      <c r="HX11" s="339">
        <v>3</v>
      </c>
      <c r="HY11" s="339">
        <v>6</v>
      </c>
      <c r="HZ11" s="339">
        <v>2</v>
      </c>
      <c r="IA11" s="339">
        <v>19</v>
      </c>
      <c r="IB11" s="339" t="s">
        <v>2555</v>
      </c>
      <c r="IC11" s="351">
        <v>80</v>
      </c>
      <c r="ID11" s="339">
        <v>21</v>
      </c>
      <c r="IE11" s="367">
        <v>14124</v>
      </c>
      <c r="IF11" s="339">
        <v>32</v>
      </c>
      <c r="IG11" s="339" t="s">
        <v>2556</v>
      </c>
      <c r="IH11" s="339">
        <v>8</v>
      </c>
      <c r="IK11" s="339">
        <v>7</v>
      </c>
      <c r="IL11" s="339" t="s">
        <v>1266</v>
      </c>
      <c r="IM11" s="339">
        <v>52</v>
      </c>
      <c r="IN11" s="339">
        <v>23</v>
      </c>
      <c r="IO11" s="339">
        <v>1</v>
      </c>
      <c r="IP11" s="339">
        <v>3</v>
      </c>
      <c r="IQ11" s="339">
        <v>1</v>
      </c>
      <c r="IR11" s="339">
        <v>24</v>
      </c>
      <c r="IS11" s="339" t="s">
        <v>2624</v>
      </c>
      <c r="IT11" s="351">
        <v>75</v>
      </c>
      <c r="IU11" s="339">
        <v>39</v>
      </c>
      <c r="IV11" s="339" t="s">
        <v>2296</v>
      </c>
      <c r="IW11" s="339">
        <v>55</v>
      </c>
      <c r="IX11" s="339" t="s">
        <v>2625</v>
      </c>
      <c r="IY11" s="339">
        <v>11</v>
      </c>
      <c r="JB11" s="339">
        <v>7</v>
      </c>
      <c r="JC11" s="339" t="s">
        <v>2418</v>
      </c>
      <c r="JD11" s="339">
        <v>52</v>
      </c>
      <c r="JE11" s="339">
        <v>23</v>
      </c>
      <c r="JF11" s="339">
        <v>2</v>
      </c>
      <c r="JG11" s="339">
        <v>5</v>
      </c>
      <c r="JH11" s="339">
        <v>0</v>
      </c>
      <c r="JI11" s="339">
        <v>22</v>
      </c>
      <c r="JJ11" s="339" t="s">
        <v>2702</v>
      </c>
      <c r="JK11" s="351">
        <v>78</v>
      </c>
      <c r="JL11" s="339">
        <v>56</v>
      </c>
      <c r="JM11" s="339" t="s">
        <v>2450</v>
      </c>
      <c r="JN11" s="339">
        <v>35</v>
      </c>
      <c r="JO11" s="339" t="s">
        <v>2703</v>
      </c>
      <c r="JP11" s="339">
        <v>6</v>
      </c>
      <c r="JS11" s="339">
        <v>7</v>
      </c>
      <c r="JT11" s="339" t="s">
        <v>2249</v>
      </c>
      <c r="JU11" s="339">
        <v>52</v>
      </c>
      <c r="JV11" s="339">
        <v>22</v>
      </c>
      <c r="JW11" s="339">
        <v>5</v>
      </c>
      <c r="JX11" s="339">
        <v>4</v>
      </c>
      <c r="JY11" s="339">
        <v>3</v>
      </c>
      <c r="JZ11" s="339">
        <v>18</v>
      </c>
      <c r="KA11" s="339" t="s">
        <v>2763</v>
      </c>
      <c r="KB11" s="351">
        <v>83</v>
      </c>
      <c r="KC11" s="339">
        <v>0</v>
      </c>
      <c r="KD11" s="339" t="s">
        <v>78</v>
      </c>
      <c r="KE11" s="339">
        <v>0</v>
      </c>
      <c r="KF11" s="339" t="s">
        <v>2757</v>
      </c>
      <c r="KG11" s="339">
        <v>0</v>
      </c>
      <c r="KJ11" s="339">
        <v>7</v>
      </c>
      <c r="KK11" s="339" t="s">
        <v>1591</v>
      </c>
      <c r="KL11" s="339">
        <v>52</v>
      </c>
      <c r="KM11" s="339">
        <v>21</v>
      </c>
      <c r="KN11" s="339">
        <v>4</v>
      </c>
      <c r="KO11" s="339">
        <v>6</v>
      </c>
      <c r="KP11" s="339">
        <v>2</v>
      </c>
      <c r="KQ11" s="339">
        <v>19</v>
      </c>
      <c r="KR11" s="339" t="s">
        <v>2759</v>
      </c>
      <c r="KS11" s="351">
        <v>79</v>
      </c>
      <c r="KT11" s="339">
        <v>0</v>
      </c>
      <c r="KU11" s="339" t="s">
        <v>78</v>
      </c>
      <c r="KV11" s="339">
        <v>0</v>
      </c>
      <c r="KW11" s="339" t="s">
        <v>2757</v>
      </c>
      <c r="KX11" s="339">
        <v>0</v>
      </c>
      <c r="LA11" s="339">
        <v>7</v>
      </c>
      <c r="LB11" s="339" t="s">
        <v>2412</v>
      </c>
      <c r="LC11" s="339">
        <v>52</v>
      </c>
      <c r="LD11" s="339">
        <v>22</v>
      </c>
      <c r="LE11" s="339">
        <v>0</v>
      </c>
      <c r="LF11" s="339">
        <v>11</v>
      </c>
      <c r="LG11" s="339">
        <v>0</v>
      </c>
      <c r="LH11" s="339">
        <v>19</v>
      </c>
      <c r="LI11" s="339" t="s">
        <v>2833</v>
      </c>
      <c r="LJ11" s="351">
        <v>55</v>
      </c>
      <c r="LK11" s="339">
        <v>0</v>
      </c>
      <c r="LL11" s="339" t="s">
        <v>78</v>
      </c>
      <c r="LM11" s="339">
        <v>0</v>
      </c>
      <c r="LN11" s="339" t="s">
        <v>2757</v>
      </c>
      <c r="LO11" s="339">
        <v>0</v>
      </c>
      <c r="LR11" s="339">
        <v>7</v>
      </c>
      <c r="LS11" s="339" t="s">
        <v>1311</v>
      </c>
      <c r="LT11" s="339">
        <v>52</v>
      </c>
      <c r="LU11" s="339">
        <v>20</v>
      </c>
      <c r="LV11" s="339">
        <v>0</v>
      </c>
      <c r="LW11" s="339">
        <v>13</v>
      </c>
      <c r="LX11" s="339">
        <v>0</v>
      </c>
      <c r="LY11" s="339">
        <v>19</v>
      </c>
      <c r="LZ11" s="339" t="s">
        <v>1504</v>
      </c>
      <c r="MA11" s="351">
        <v>53</v>
      </c>
      <c r="MB11" s="339">
        <v>38</v>
      </c>
      <c r="MC11" s="339" t="s">
        <v>1988</v>
      </c>
      <c r="MD11" s="339">
        <v>27</v>
      </c>
      <c r="ME11" s="339" t="s">
        <v>2874</v>
      </c>
      <c r="MF11" s="339">
        <v>8</v>
      </c>
    </row>
    <row r="12" spans="2:344" ht="42" thickBot="1" x14ac:dyDescent="0.35">
      <c r="B12" s="339">
        <v>8</v>
      </c>
      <c r="C12" s="339" t="s">
        <v>1290</v>
      </c>
      <c r="D12" s="339">
        <v>52</v>
      </c>
      <c r="E12" s="339">
        <v>25</v>
      </c>
      <c r="F12" s="339">
        <v>3</v>
      </c>
      <c r="G12" s="339"/>
      <c r="H12" s="339">
        <v>1</v>
      </c>
      <c r="I12" s="339">
        <v>23</v>
      </c>
      <c r="J12" s="339" t="s">
        <v>1291</v>
      </c>
      <c r="K12" s="351">
        <v>82</v>
      </c>
      <c r="L12" s="339">
        <v>33</v>
      </c>
      <c r="M12" s="366">
        <v>43512</v>
      </c>
      <c r="N12" s="339">
        <v>34</v>
      </c>
      <c r="O12" s="339" t="s">
        <v>1292</v>
      </c>
      <c r="P12" s="339">
        <v>5</v>
      </c>
      <c r="Q12" s="342"/>
      <c r="S12" s="339">
        <v>8</v>
      </c>
      <c r="T12" s="339" t="s">
        <v>1282</v>
      </c>
      <c r="U12" s="339">
        <v>52</v>
      </c>
      <c r="V12" s="339">
        <v>16</v>
      </c>
      <c r="W12" s="339">
        <v>10</v>
      </c>
      <c r="X12" s="339">
        <v>7</v>
      </c>
      <c r="Y12" s="339">
        <v>19</v>
      </c>
      <c r="Z12" s="339" t="s">
        <v>1420</v>
      </c>
      <c r="AA12" s="351">
        <v>75</v>
      </c>
      <c r="AB12" s="339">
        <v>27</v>
      </c>
      <c r="AC12" s="366">
        <v>43692</v>
      </c>
      <c r="AD12" s="339">
        <v>28</v>
      </c>
      <c r="AE12" s="339" t="s">
        <v>1421</v>
      </c>
      <c r="AF12" s="339">
        <v>6</v>
      </c>
      <c r="AI12" s="339">
        <v>8</v>
      </c>
      <c r="AJ12" s="339" t="s">
        <v>1286</v>
      </c>
      <c r="AK12" s="339">
        <v>52</v>
      </c>
      <c r="AL12" s="339">
        <v>19</v>
      </c>
      <c r="AM12" s="339">
        <v>8</v>
      </c>
      <c r="AN12" s="339">
        <v>3</v>
      </c>
      <c r="AO12" s="339">
        <v>22</v>
      </c>
      <c r="AP12" s="339" t="s">
        <v>1511</v>
      </c>
      <c r="AQ12" s="351">
        <v>76</v>
      </c>
      <c r="AR12" s="339">
        <v>30</v>
      </c>
      <c r="AS12" s="367">
        <v>32478</v>
      </c>
      <c r="AT12" s="339">
        <v>42</v>
      </c>
      <c r="AU12" s="339" t="s">
        <v>1512</v>
      </c>
      <c r="AV12" s="339">
        <v>8</v>
      </c>
      <c r="AY12" s="339">
        <v>8</v>
      </c>
      <c r="AZ12" s="339" t="s">
        <v>1307</v>
      </c>
      <c r="BA12" s="339">
        <v>52</v>
      </c>
      <c r="BB12" s="339">
        <v>21</v>
      </c>
      <c r="BC12" s="339">
        <v>4</v>
      </c>
      <c r="BD12" s="339">
        <v>7</v>
      </c>
      <c r="BE12" s="339">
        <v>20</v>
      </c>
      <c r="BF12" s="339" t="s">
        <v>1622</v>
      </c>
      <c r="BG12" s="351">
        <v>78</v>
      </c>
      <c r="BH12" s="339">
        <v>32</v>
      </c>
      <c r="BI12" s="367">
        <v>35400</v>
      </c>
      <c r="BJ12" s="339">
        <v>41</v>
      </c>
      <c r="BK12" s="339" t="s">
        <v>1623</v>
      </c>
      <c r="BL12" s="339">
        <v>2</v>
      </c>
      <c r="BO12" s="339">
        <v>8</v>
      </c>
      <c r="BP12" s="339" t="s">
        <v>1286</v>
      </c>
      <c r="BQ12" s="339">
        <v>52</v>
      </c>
      <c r="BR12" s="339">
        <v>21</v>
      </c>
      <c r="BS12" s="339">
        <v>4</v>
      </c>
      <c r="BT12" s="339">
        <v>4</v>
      </c>
      <c r="BU12" s="339">
        <v>23</v>
      </c>
      <c r="BV12" s="339" t="s">
        <v>1713</v>
      </c>
      <c r="BW12" s="351">
        <v>75</v>
      </c>
      <c r="BX12" s="339">
        <v>44</v>
      </c>
      <c r="BY12" s="339" t="s">
        <v>1714</v>
      </c>
      <c r="BZ12" s="339">
        <v>43</v>
      </c>
      <c r="CA12" s="339" t="s">
        <v>1322</v>
      </c>
      <c r="CB12" s="339">
        <v>3</v>
      </c>
      <c r="CE12" s="339">
        <v>8</v>
      </c>
      <c r="CF12" s="339" t="s">
        <v>1286</v>
      </c>
      <c r="CG12" s="339">
        <v>52</v>
      </c>
      <c r="CH12" s="339">
        <v>22</v>
      </c>
      <c r="CI12" s="339">
        <v>6</v>
      </c>
      <c r="CJ12" s="339">
        <v>4</v>
      </c>
      <c r="CK12" s="339">
        <v>20</v>
      </c>
      <c r="CL12" s="339" t="s">
        <v>1804</v>
      </c>
      <c r="CM12" s="351">
        <v>82</v>
      </c>
      <c r="CN12" s="339">
        <v>44</v>
      </c>
      <c r="CO12" s="366">
        <v>43604</v>
      </c>
      <c r="CP12" s="339">
        <v>41</v>
      </c>
      <c r="CQ12" s="339" t="s">
        <v>1805</v>
      </c>
      <c r="CR12" s="339">
        <v>2</v>
      </c>
      <c r="CU12" s="339">
        <v>8</v>
      </c>
      <c r="CV12" s="339" t="s">
        <v>1895</v>
      </c>
      <c r="CW12" s="339">
        <v>52</v>
      </c>
      <c r="CX12" s="339">
        <v>19</v>
      </c>
      <c r="CY12" s="339">
        <v>8</v>
      </c>
      <c r="CZ12" s="339">
        <v>3</v>
      </c>
      <c r="DA12" s="339">
        <v>22</v>
      </c>
      <c r="DB12" s="339" t="s">
        <v>1896</v>
      </c>
      <c r="DC12" s="351">
        <v>76</v>
      </c>
      <c r="DD12" s="339">
        <v>39</v>
      </c>
      <c r="DE12" s="339" t="s">
        <v>1897</v>
      </c>
      <c r="DF12" s="339">
        <v>43</v>
      </c>
      <c r="DG12" s="339" t="s">
        <v>1898</v>
      </c>
      <c r="DH12" s="339">
        <v>2</v>
      </c>
      <c r="DK12" s="339">
        <v>8</v>
      </c>
      <c r="DL12" s="339" t="s">
        <v>1278</v>
      </c>
      <c r="DM12" s="339">
        <v>52</v>
      </c>
      <c r="DN12" s="339">
        <v>19</v>
      </c>
      <c r="DO12" s="339">
        <v>6</v>
      </c>
      <c r="DP12" s="339">
        <v>6</v>
      </c>
      <c r="DQ12" s="339">
        <v>21</v>
      </c>
      <c r="DR12" s="339" t="s">
        <v>1994</v>
      </c>
      <c r="DS12" s="351">
        <v>75</v>
      </c>
      <c r="DT12" s="339">
        <v>28</v>
      </c>
      <c r="DU12" s="367">
        <v>47088</v>
      </c>
      <c r="DV12" s="339">
        <v>40</v>
      </c>
      <c r="DW12" s="339" t="s">
        <v>1995</v>
      </c>
      <c r="DX12" s="339">
        <v>11</v>
      </c>
      <c r="EA12" s="339">
        <v>8</v>
      </c>
      <c r="EB12" s="339" t="s">
        <v>1978</v>
      </c>
      <c r="EC12" s="339">
        <v>52</v>
      </c>
      <c r="ED12" s="339">
        <v>27</v>
      </c>
      <c r="EE12" s="339">
        <v>6</v>
      </c>
      <c r="EF12" s="339">
        <v>3</v>
      </c>
      <c r="EG12" s="339">
        <v>16</v>
      </c>
      <c r="EH12" s="339" t="s">
        <v>2075</v>
      </c>
      <c r="EI12" s="351">
        <v>77</v>
      </c>
      <c r="EJ12" s="339">
        <v>57</v>
      </c>
      <c r="EK12" s="339" t="s">
        <v>2076</v>
      </c>
      <c r="EL12" s="339">
        <v>46</v>
      </c>
      <c r="EM12" s="339" t="s">
        <v>2077</v>
      </c>
      <c r="EN12" s="339">
        <v>7</v>
      </c>
      <c r="EQ12" s="339">
        <v>8</v>
      </c>
      <c r="ER12" s="339" t="s">
        <v>1262</v>
      </c>
      <c r="ES12" s="339">
        <v>52</v>
      </c>
      <c r="ET12" s="339">
        <v>21</v>
      </c>
      <c r="EU12" s="339">
        <v>2</v>
      </c>
      <c r="EV12" s="339">
        <v>5</v>
      </c>
      <c r="EW12" s="339">
        <v>24</v>
      </c>
      <c r="EX12" s="339" t="s">
        <v>1899</v>
      </c>
      <c r="EY12" s="351">
        <v>72</v>
      </c>
      <c r="EZ12" s="339">
        <v>52</v>
      </c>
      <c r="FA12" s="339" t="s">
        <v>2156</v>
      </c>
      <c r="FB12" s="339">
        <v>45</v>
      </c>
      <c r="FC12" s="339" t="s">
        <v>1633</v>
      </c>
      <c r="FD12" s="339">
        <v>12</v>
      </c>
      <c r="FG12" s="339">
        <v>8</v>
      </c>
      <c r="FH12" s="339" t="s">
        <v>1286</v>
      </c>
      <c r="FI12" s="339">
        <v>52</v>
      </c>
      <c r="FJ12" s="339">
        <v>20</v>
      </c>
      <c r="FK12" s="339">
        <v>7</v>
      </c>
      <c r="FL12" s="339">
        <v>5</v>
      </c>
      <c r="FM12" s="339">
        <v>20</v>
      </c>
      <c r="FN12" s="339" t="s">
        <v>2240</v>
      </c>
      <c r="FO12" s="351">
        <v>79</v>
      </c>
      <c r="FP12" s="339">
        <v>40</v>
      </c>
      <c r="FQ12" s="339" t="s">
        <v>2212</v>
      </c>
      <c r="FR12" s="339">
        <v>48</v>
      </c>
      <c r="FS12" s="339" t="s">
        <v>1717</v>
      </c>
      <c r="FT12" s="339">
        <v>3</v>
      </c>
      <c r="FW12" s="339">
        <v>8</v>
      </c>
      <c r="FX12" s="339" t="s">
        <v>2169</v>
      </c>
      <c r="FY12" s="339">
        <v>52</v>
      </c>
      <c r="FZ12" s="339">
        <v>18</v>
      </c>
      <c r="GA12" s="339">
        <v>9</v>
      </c>
      <c r="GB12" s="339">
        <v>5</v>
      </c>
      <c r="GC12" s="339">
        <v>20</v>
      </c>
      <c r="GD12" s="339" t="s">
        <v>2324</v>
      </c>
      <c r="GE12" s="351">
        <v>77</v>
      </c>
      <c r="GF12" s="339">
        <v>44</v>
      </c>
      <c r="GG12" s="339" t="s">
        <v>2325</v>
      </c>
      <c r="GH12" s="339">
        <v>49</v>
      </c>
      <c r="GI12" s="339" t="s">
        <v>2326</v>
      </c>
      <c r="GJ12" s="339">
        <v>5</v>
      </c>
      <c r="GM12" s="339">
        <v>8</v>
      </c>
      <c r="GN12" s="339" t="s">
        <v>2402</v>
      </c>
      <c r="GO12" s="339">
        <v>52</v>
      </c>
      <c r="GP12" s="339">
        <v>21</v>
      </c>
      <c r="GQ12" s="339">
        <v>6</v>
      </c>
      <c r="GR12" s="339">
        <v>4</v>
      </c>
      <c r="GS12" s="339">
        <v>21</v>
      </c>
      <c r="GT12" s="339" t="s">
        <v>2403</v>
      </c>
      <c r="GU12" s="351">
        <v>79</v>
      </c>
      <c r="GV12" s="339">
        <v>83</v>
      </c>
      <c r="GW12" s="339" t="s">
        <v>2404</v>
      </c>
      <c r="GX12" s="339">
        <v>61</v>
      </c>
      <c r="GY12" s="339" t="s">
        <v>2405</v>
      </c>
      <c r="GZ12" s="339">
        <v>13</v>
      </c>
      <c r="HC12" s="339">
        <v>8</v>
      </c>
      <c r="HD12" s="339" t="s">
        <v>2490</v>
      </c>
      <c r="HE12" s="339">
        <v>52</v>
      </c>
      <c r="HF12" s="339">
        <v>19</v>
      </c>
      <c r="HG12" s="339">
        <v>3</v>
      </c>
      <c r="HH12" s="339">
        <v>12</v>
      </c>
      <c r="HI12" s="339">
        <v>1</v>
      </c>
      <c r="HJ12" s="339">
        <v>17</v>
      </c>
      <c r="HK12" s="339" t="s">
        <v>2491</v>
      </c>
      <c r="HL12" s="351">
        <v>76</v>
      </c>
      <c r="HM12" s="339">
        <v>42</v>
      </c>
      <c r="HN12" s="339" t="s">
        <v>2492</v>
      </c>
      <c r="HO12" s="339">
        <v>31</v>
      </c>
      <c r="HP12" s="339" t="s">
        <v>2493</v>
      </c>
      <c r="HQ12" s="339">
        <v>3</v>
      </c>
      <c r="HT12" s="339">
        <v>8</v>
      </c>
      <c r="HU12" s="339" t="s">
        <v>2412</v>
      </c>
      <c r="HV12" s="339">
        <v>52</v>
      </c>
      <c r="HW12" s="339">
        <v>22</v>
      </c>
      <c r="HX12" s="339">
        <v>1</v>
      </c>
      <c r="HY12" s="339">
        <v>4</v>
      </c>
      <c r="HZ12" s="339">
        <v>2</v>
      </c>
      <c r="IA12" s="339">
        <v>23</v>
      </c>
      <c r="IB12" s="339" t="s">
        <v>2557</v>
      </c>
      <c r="IC12" s="351">
        <v>74</v>
      </c>
      <c r="ID12" s="339">
        <v>32</v>
      </c>
      <c r="IE12" s="366">
        <v>43569</v>
      </c>
      <c r="IF12" s="339">
        <v>23</v>
      </c>
      <c r="IG12" s="339" t="s">
        <v>2558</v>
      </c>
      <c r="IH12" s="339">
        <v>7</v>
      </c>
      <c r="IK12" s="339">
        <v>8</v>
      </c>
      <c r="IL12" s="339" t="s">
        <v>2236</v>
      </c>
      <c r="IM12" s="339">
        <v>52</v>
      </c>
      <c r="IN12" s="339">
        <v>18</v>
      </c>
      <c r="IO12" s="339">
        <v>3</v>
      </c>
      <c r="IP12" s="339">
        <v>7</v>
      </c>
      <c r="IQ12" s="339">
        <v>1</v>
      </c>
      <c r="IR12" s="339">
        <v>23</v>
      </c>
      <c r="IS12" s="339" t="s">
        <v>2626</v>
      </c>
      <c r="IT12" s="351">
        <v>68</v>
      </c>
      <c r="IU12" s="339">
        <v>38</v>
      </c>
      <c r="IV12" s="339" t="s">
        <v>216</v>
      </c>
      <c r="IW12" s="339">
        <v>40</v>
      </c>
      <c r="IX12" s="339" t="s">
        <v>1443</v>
      </c>
      <c r="IY12" s="339">
        <v>4</v>
      </c>
      <c r="JB12" s="339">
        <v>8</v>
      </c>
      <c r="JC12" s="339" t="s">
        <v>2249</v>
      </c>
      <c r="JD12" s="339">
        <v>52</v>
      </c>
      <c r="JE12" s="339">
        <v>21</v>
      </c>
      <c r="JF12" s="339">
        <v>3</v>
      </c>
      <c r="JG12" s="339">
        <v>5</v>
      </c>
      <c r="JH12" s="339">
        <v>3</v>
      </c>
      <c r="JI12" s="339">
        <v>20</v>
      </c>
      <c r="JJ12" s="339" t="s">
        <v>2704</v>
      </c>
      <c r="JK12" s="351">
        <v>77</v>
      </c>
      <c r="JL12" s="339">
        <v>31</v>
      </c>
      <c r="JM12" s="339" t="s">
        <v>2705</v>
      </c>
      <c r="JN12" s="339">
        <v>33</v>
      </c>
      <c r="JO12" s="339" t="s">
        <v>1585</v>
      </c>
      <c r="JP12" s="339">
        <v>6</v>
      </c>
      <c r="JS12" s="339">
        <v>8</v>
      </c>
      <c r="JT12" s="339" t="s">
        <v>1266</v>
      </c>
      <c r="JU12" s="339">
        <v>52</v>
      </c>
      <c r="JV12" s="339">
        <v>23</v>
      </c>
      <c r="JW12" s="339">
        <v>2</v>
      </c>
      <c r="JX12" s="339">
        <v>2</v>
      </c>
      <c r="JY12" s="339">
        <v>4</v>
      </c>
      <c r="JZ12" s="339">
        <v>21</v>
      </c>
      <c r="KA12" s="339" t="s">
        <v>2764</v>
      </c>
      <c r="KB12" s="351">
        <v>79</v>
      </c>
      <c r="KC12" s="339">
        <v>0</v>
      </c>
      <c r="KD12" s="339" t="s">
        <v>78</v>
      </c>
      <c r="KE12" s="339">
        <v>0</v>
      </c>
      <c r="KF12" s="339" t="s">
        <v>2757</v>
      </c>
      <c r="KG12" s="339">
        <v>0</v>
      </c>
      <c r="KJ12" s="339">
        <v>8</v>
      </c>
      <c r="KK12" s="339" t="s">
        <v>1293</v>
      </c>
      <c r="KL12" s="339">
        <v>52</v>
      </c>
      <c r="KM12" s="339">
        <v>22</v>
      </c>
      <c r="KN12" s="339">
        <v>2</v>
      </c>
      <c r="KO12" s="339">
        <v>7</v>
      </c>
      <c r="KP12" s="339">
        <v>2</v>
      </c>
      <c r="KQ12" s="339">
        <v>19</v>
      </c>
      <c r="KR12" s="339" t="s">
        <v>2798</v>
      </c>
      <c r="KS12" s="351">
        <v>79</v>
      </c>
      <c r="KT12" s="339">
        <v>0</v>
      </c>
      <c r="KU12" s="339" t="s">
        <v>78</v>
      </c>
      <c r="KV12" s="339">
        <v>0</v>
      </c>
      <c r="KW12" s="339" t="s">
        <v>2757</v>
      </c>
      <c r="KX12" s="339">
        <v>0</v>
      </c>
      <c r="LA12" s="339">
        <v>8</v>
      </c>
      <c r="LB12" s="339" t="s">
        <v>1311</v>
      </c>
      <c r="LC12" s="339">
        <v>52</v>
      </c>
      <c r="LD12" s="339">
        <v>18</v>
      </c>
      <c r="LE12" s="339">
        <v>0</v>
      </c>
      <c r="LF12" s="339">
        <v>9</v>
      </c>
      <c r="LG12" s="339">
        <v>0</v>
      </c>
      <c r="LH12" s="339">
        <v>25</v>
      </c>
      <c r="LI12" s="339" t="s">
        <v>2834</v>
      </c>
      <c r="LJ12" s="351">
        <v>45</v>
      </c>
      <c r="LK12" s="339">
        <v>0</v>
      </c>
      <c r="LL12" s="339" t="s">
        <v>78</v>
      </c>
      <c r="LM12" s="339">
        <v>0</v>
      </c>
      <c r="LN12" s="339" t="s">
        <v>2757</v>
      </c>
      <c r="LO12" s="339">
        <v>0</v>
      </c>
      <c r="LR12" s="339">
        <v>8</v>
      </c>
      <c r="LS12" s="339" t="s">
        <v>1286</v>
      </c>
      <c r="LT12" s="339">
        <v>52</v>
      </c>
      <c r="LU12" s="339">
        <v>21</v>
      </c>
      <c r="LV12" s="339">
        <v>0</v>
      </c>
      <c r="LW12" s="339">
        <v>8</v>
      </c>
      <c r="LX12" s="339">
        <v>0</v>
      </c>
      <c r="LY12" s="339">
        <v>23</v>
      </c>
      <c r="LZ12" s="339" t="s">
        <v>2875</v>
      </c>
      <c r="MA12" s="351">
        <v>50</v>
      </c>
      <c r="MB12" s="339">
        <v>48</v>
      </c>
      <c r="MC12" s="339" t="s">
        <v>2876</v>
      </c>
      <c r="MD12" s="339">
        <v>41</v>
      </c>
      <c r="ME12" s="339" t="s">
        <v>2877</v>
      </c>
      <c r="MF12" s="339">
        <v>6</v>
      </c>
    </row>
    <row r="13" spans="2:344" ht="42" thickBot="1" x14ac:dyDescent="0.35">
      <c r="B13" s="339">
        <v>9</v>
      </c>
      <c r="C13" s="339" t="s">
        <v>1293</v>
      </c>
      <c r="D13" s="339">
        <v>52</v>
      </c>
      <c r="E13" s="339">
        <v>22</v>
      </c>
      <c r="F13" s="339">
        <v>3</v>
      </c>
      <c r="G13" s="339"/>
      <c r="H13" s="339">
        <v>5</v>
      </c>
      <c r="I13" s="339">
        <v>22</v>
      </c>
      <c r="J13" s="339" t="s">
        <v>1294</v>
      </c>
      <c r="K13" s="351">
        <v>77</v>
      </c>
      <c r="L13" s="339">
        <v>34</v>
      </c>
      <c r="M13" s="339" t="s">
        <v>1295</v>
      </c>
      <c r="N13" s="339">
        <v>38</v>
      </c>
      <c r="O13" s="339" t="s">
        <v>1296</v>
      </c>
      <c r="P13" s="339">
        <v>8</v>
      </c>
      <c r="Q13" s="342"/>
      <c r="S13" s="339">
        <v>9</v>
      </c>
      <c r="T13" s="339" t="s">
        <v>1293</v>
      </c>
      <c r="U13" s="339">
        <v>52</v>
      </c>
      <c r="V13" s="339">
        <v>18</v>
      </c>
      <c r="W13" s="339">
        <v>8</v>
      </c>
      <c r="X13" s="339">
        <v>4</v>
      </c>
      <c r="Y13" s="339">
        <v>22</v>
      </c>
      <c r="Z13" s="339" t="s">
        <v>1422</v>
      </c>
      <c r="AA13" s="351">
        <v>74</v>
      </c>
      <c r="AB13" s="339">
        <v>35</v>
      </c>
      <c r="AC13" s="366">
        <v>43632</v>
      </c>
      <c r="AD13" s="339">
        <v>34</v>
      </c>
      <c r="AE13" s="339" t="s">
        <v>1424</v>
      </c>
      <c r="AF13" s="339">
        <v>2</v>
      </c>
      <c r="AI13" s="339">
        <v>9</v>
      </c>
      <c r="AJ13" s="339" t="s">
        <v>1270</v>
      </c>
      <c r="AK13" s="339">
        <v>52</v>
      </c>
      <c r="AL13" s="339">
        <v>19</v>
      </c>
      <c r="AM13" s="339">
        <v>5</v>
      </c>
      <c r="AN13" s="339">
        <v>6</v>
      </c>
      <c r="AO13" s="339">
        <v>22</v>
      </c>
      <c r="AP13" s="339" t="s">
        <v>1513</v>
      </c>
      <c r="AQ13" s="351">
        <v>73</v>
      </c>
      <c r="AR13" s="339">
        <v>38</v>
      </c>
      <c r="AS13" s="339" t="s">
        <v>1514</v>
      </c>
      <c r="AT13" s="339">
        <v>32</v>
      </c>
      <c r="AU13" s="339" t="s">
        <v>1515</v>
      </c>
      <c r="AV13" s="339">
        <v>4</v>
      </c>
      <c r="AY13" s="339">
        <v>9</v>
      </c>
      <c r="AZ13" s="339" t="s">
        <v>1278</v>
      </c>
      <c r="BA13" s="339">
        <v>52</v>
      </c>
      <c r="BB13" s="339">
        <v>19</v>
      </c>
      <c r="BC13" s="339">
        <v>4</v>
      </c>
      <c r="BD13" s="339">
        <v>4</v>
      </c>
      <c r="BE13" s="339">
        <v>25</v>
      </c>
      <c r="BF13" s="339" t="s">
        <v>1624</v>
      </c>
      <c r="BG13" s="351">
        <v>69</v>
      </c>
      <c r="BH13" s="339">
        <v>35</v>
      </c>
      <c r="BI13" s="339" t="s">
        <v>1625</v>
      </c>
      <c r="BJ13" s="339">
        <v>40</v>
      </c>
      <c r="BK13" s="339" t="s">
        <v>1600</v>
      </c>
      <c r="BL13" s="339">
        <v>4</v>
      </c>
      <c r="BO13" s="339">
        <v>9</v>
      </c>
      <c r="BP13" s="339" t="s">
        <v>1311</v>
      </c>
      <c r="BQ13" s="339">
        <v>52</v>
      </c>
      <c r="BR13" s="339">
        <v>22</v>
      </c>
      <c r="BS13" s="339">
        <v>1</v>
      </c>
      <c r="BT13" s="339">
        <v>6</v>
      </c>
      <c r="BU13" s="339">
        <v>23</v>
      </c>
      <c r="BV13" s="339" t="s">
        <v>1715</v>
      </c>
      <c r="BW13" s="351">
        <v>74</v>
      </c>
      <c r="BX13" s="339">
        <v>46</v>
      </c>
      <c r="BY13" s="339" t="s">
        <v>1716</v>
      </c>
      <c r="BZ13" s="339">
        <v>48</v>
      </c>
      <c r="CA13" s="339" t="s">
        <v>1717</v>
      </c>
      <c r="CB13" s="339">
        <v>3</v>
      </c>
      <c r="CE13" s="339">
        <v>9</v>
      </c>
      <c r="CF13" s="339" t="s">
        <v>1262</v>
      </c>
      <c r="CG13" s="339">
        <v>52</v>
      </c>
      <c r="CH13" s="339">
        <v>19</v>
      </c>
      <c r="CI13" s="339">
        <v>9</v>
      </c>
      <c r="CJ13" s="339">
        <v>3</v>
      </c>
      <c r="CK13" s="339">
        <v>21</v>
      </c>
      <c r="CL13" s="339" t="s">
        <v>1806</v>
      </c>
      <c r="CM13" s="351">
        <v>78</v>
      </c>
      <c r="CN13" s="339">
        <v>45</v>
      </c>
      <c r="CO13" s="366">
        <v>43664</v>
      </c>
      <c r="CP13" s="339">
        <v>50</v>
      </c>
      <c r="CQ13" s="339" t="s">
        <v>1807</v>
      </c>
      <c r="CR13" s="339">
        <v>7</v>
      </c>
      <c r="CU13" s="339">
        <v>9</v>
      </c>
      <c r="CV13" s="339" t="s">
        <v>1286</v>
      </c>
      <c r="CW13" s="339">
        <v>52</v>
      </c>
      <c r="CX13" s="339">
        <v>22</v>
      </c>
      <c r="CY13" s="339">
        <v>2</v>
      </c>
      <c r="CZ13" s="339">
        <v>5</v>
      </c>
      <c r="DA13" s="339">
        <v>23</v>
      </c>
      <c r="DB13" s="339" t="s">
        <v>1899</v>
      </c>
      <c r="DC13" s="351">
        <v>75</v>
      </c>
      <c r="DD13" s="339">
        <v>42</v>
      </c>
      <c r="DE13" s="339" t="s">
        <v>1900</v>
      </c>
      <c r="DF13" s="339">
        <v>38</v>
      </c>
      <c r="DG13" s="339" t="s">
        <v>1901</v>
      </c>
      <c r="DH13" s="339">
        <v>5</v>
      </c>
      <c r="DK13" s="339">
        <v>9</v>
      </c>
      <c r="DL13" s="339" t="s">
        <v>332</v>
      </c>
      <c r="DM13" s="339">
        <v>52</v>
      </c>
      <c r="DN13" s="339">
        <v>19</v>
      </c>
      <c r="DO13" s="339">
        <v>5</v>
      </c>
      <c r="DP13" s="339">
        <v>7</v>
      </c>
      <c r="DQ13" s="339">
        <v>21</v>
      </c>
      <c r="DR13" s="339" t="s">
        <v>1996</v>
      </c>
      <c r="DS13" s="351">
        <v>74</v>
      </c>
      <c r="DT13" s="339">
        <v>32</v>
      </c>
      <c r="DU13" s="339" t="s">
        <v>1997</v>
      </c>
      <c r="DV13" s="339">
        <v>29</v>
      </c>
      <c r="DW13" s="339" t="s">
        <v>1998</v>
      </c>
      <c r="DX13" s="339">
        <v>3</v>
      </c>
      <c r="EA13" s="339">
        <v>9</v>
      </c>
      <c r="EB13" s="339" t="s">
        <v>2078</v>
      </c>
      <c r="EC13" s="339">
        <v>52</v>
      </c>
      <c r="ED13" s="339">
        <v>23</v>
      </c>
      <c r="EE13" s="339">
        <v>2</v>
      </c>
      <c r="EF13" s="339">
        <v>4</v>
      </c>
      <c r="EG13" s="339">
        <v>23</v>
      </c>
      <c r="EH13" s="339" t="s">
        <v>2079</v>
      </c>
      <c r="EI13" s="351">
        <v>77</v>
      </c>
      <c r="EJ13" s="339">
        <v>48</v>
      </c>
      <c r="EK13" s="339" t="s">
        <v>1525</v>
      </c>
      <c r="EL13" s="339">
        <v>48</v>
      </c>
      <c r="EM13" s="339" t="s">
        <v>2080</v>
      </c>
      <c r="EN13" s="339">
        <v>6</v>
      </c>
      <c r="EQ13" s="339">
        <v>9</v>
      </c>
      <c r="ER13" s="339" t="s">
        <v>1895</v>
      </c>
      <c r="ES13" s="339">
        <v>52</v>
      </c>
      <c r="ET13" s="339">
        <v>15</v>
      </c>
      <c r="EU13" s="339">
        <v>7</v>
      </c>
      <c r="EV13" s="339">
        <v>12</v>
      </c>
      <c r="EW13" s="339">
        <v>18</v>
      </c>
      <c r="EX13" s="339" t="s">
        <v>2157</v>
      </c>
      <c r="EY13" s="351">
        <v>71</v>
      </c>
      <c r="EZ13" s="339">
        <v>47</v>
      </c>
      <c r="FA13" s="339" t="s">
        <v>2158</v>
      </c>
      <c r="FB13" s="339">
        <v>51</v>
      </c>
      <c r="FC13" s="339" t="s">
        <v>1318</v>
      </c>
      <c r="FD13" s="339">
        <v>7</v>
      </c>
      <c r="FG13" s="339">
        <v>9</v>
      </c>
      <c r="FH13" s="339" t="s">
        <v>1262</v>
      </c>
      <c r="FI13" s="339">
        <v>52</v>
      </c>
      <c r="FJ13" s="339">
        <v>21</v>
      </c>
      <c r="FK13" s="339">
        <v>2</v>
      </c>
      <c r="FL13" s="339">
        <v>7</v>
      </c>
      <c r="FM13" s="339">
        <v>22</v>
      </c>
      <c r="FN13" s="339" t="s">
        <v>2241</v>
      </c>
      <c r="FO13" s="351">
        <v>74</v>
      </c>
      <c r="FP13" s="339">
        <v>46</v>
      </c>
      <c r="FQ13" s="339" t="s">
        <v>2242</v>
      </c>
      <c r="FR13" s="339">
        <v>52</v>
      </c>
      <c r="FS13" s="339" t="s">
        <v>2243</v>
      </c>
      <c r="FT13" s="339">
        <v>7</v>
      </c>
      <c r="FW13" s="339">
        <v>9</v>
      </c>
      <c r="FX13" s="339" t="s">
        <v>2236</v>
      </c>
      <c r="FY13" s="339">
        <v>52</v>
      </c>
      <c r="FZ13" s="339">
        <v>14</v>
      </c>
      <c r="GA13" s="339">
        <v>14</v>
      </c>
      <c r="GB13" s="339">
        <v>7</v>
      </c>
      <c r="GC13" s="339">
        <v>17</v>
      </c>
      <c r="GD13" s="339" t="s">
        <v>2327</v>
      </c>
      <c r="GE13" s="351">
        <v>77</v>
      </c>
      <c r="GF13" s="339">
        <v>58</v>
      </c>
      <c r="GG13" s="339" t="s">
        <v>2328</v>
      </c>
      <c r="GH13" s="339">
        <v>56</v>
      </c>
      <c r="GI13" s="339" t="s">
        <v>2329</v>
      </c>
      <c r="GJ13" s="339">
        <v>9</v>
      </c>
      <c r="GM13" s="339">
        <v>9</v>
      </c>
      <c r="GN13" s="339" t="s">
        <v>2249</v>
      </c>
      <c r="GO13" s="339">
        <v>52</v>
      </c>
      <c r="GP13" s="339">
        <v>20</v>
      </c>
      <c r="GQ13" s="339">
        <v>7</v>
      </c>
      <c r="GR13" s="339">
        <v>2</v>
      </c>
      <c r="GS13" s="339">
        <v>23</v>
      </c>
      <c r="GT13" s="339" t="s">
        <v>2406</v>
      </c>
      <c r="GU13" s="351">
        <v>76</v>
      </c>
      <c r="GV13" s="339">
        <v>38</v>
      </c>
      <c r="GW13" s="367">
        <v>12754</v>
      </c>
      <c r="GX13" s="339">
        <v>38</v>
      </c>
      <c r="GY13" s="339" t="s">
        <v>1688</v>
      </c>
      <c r="GZ13" s="339">
        <v>8</v>
      </c>
      <c r="HC13" s="339">
        <v>9</v>
      </c>
      <c r="HD13" s="339" t="s">
        <v>2224</v>
      </c>
      <c r="HE13" s="339">
        <v>52</v>
      </c>
      <c r="HF13" s="339">
        <v>21</v>
      </c>
      <c r="HG13" s="339">
        <v>1</v>
      </c>
      <c r="HH13" s="339">
        <v>5</v>
      </c>
      <c r="HI13" s="339">
        <v>2</v>
      </c>
      <c r="HJ13" s="339">
        <v>23</v>
      </c>
      <c r="HK13" s="339" t="s">
        <v>2494</v>
      </c>
      <c r="HL13" s="351">
        <v>72</v>
      </c>
      <c r="HM13" s="339">
        <v>46</v>
      </c>
      <c r="HN13" s="339" t="s">
        <v>2495</v>
      </c>
      <c r="HO13" s="339">
        <v>40</v>
      </c>
      <c r="HP13" s="339" t="s">
        <v>1801</v>
      </c>
      <c r="HQ13" s="339">
        <v>6</v>
      </c>
      <c r="HT13" s="339">
        <v>9</v>
      </c>
      <c r="HU13" s="339" t="s">
        <v>2236</v>
      </c>
      <c r="HV13" s="339">
        <v>52</v>
      </c>
      <c r="HW13" s="339">
        <v>21</v>
      </c>
      <c r="HX13" s="339">
        <v>1</v>
      </c>
      <c r="HY13" s="339">
        <v>5</v>
      </c>
      <c r="HZ13" s="339">
        <v>4</v>
      </c>
      <c r="IA13" s="339">
        <v>21</v>
      </c>
      <c r="IB13" s="339" t="s">
        <v>2559</v>
      </c>
      <c r="IC13" s="351">
        <v>74</v>
      </c>
      <c r="ID13" s="339">
        <v>27</v>
      </c>
      <c r="IE13" s="367">
        <v>12724</v>
      </c>
      <c r="IF13" s="339">
        <v>43</v>
      </c>
      <c r="IG13" s="339" t="s">
        <v>2560</v>
      </c>
      <c r="IH13" s="339">
        <v>3</v>
      </c>
      <c r="IK13" s="339">
        <v>9</v>
      </c>
      <c r="IL13" s="339" t="s">
        <v>2402</v>
      </c>
      <c r="IM13" s="339">
        <v>52</v>
      </c>
      <c r="IN13" s="339">
        <v>18</v>
      </c>
      <c r="IO13" s="339">
        <v>4</v>
      </c>
      <c r="IP13" s="339">
        <v>3</v>
      </c>
      <c r="IQ13" s="339">
        <v>3</v>
      </c>
      <c r="IR13" s="339">
        <v>24</v>
      </c>
      <c r="IS13" s="339" t="s">
        <v>2627</v>
      </c>
      <c r="IT13" s="351">
        <v>68</v>
      </c>
      <c r="IU13" s="339">
        <v>35</v>
      </c>
      <c r="IV13" s="339" t="s">
        <v>2628</v>
      </c>
      <c r="IW13" s="339">
        <v>51</v>
      </c>
      <c r="IX13" s="339" t="s">
        <v>2629</v>
      </c>
      <c r="IY13" s="339">
        <v>7</v>
      </c>
      <c r="JB13" s="339">
        <v>9</v>
      </c>
      <c r="JC13" s="339" t="s">
        <v>2706</v>
      </c>
      <c r="JD13" s="339">
        <v>52</v>
      </c>
      <c r="JE13" s="339">
        <v>21</v>
      </c>
      <c r="JF13" s="339">
        <v>2</v>
      </c>
      <c r="JG13" s="339">
        <v>4</v>
      </c>
      <c r="JH13" s="339">
        <v>3</v>
      </c>
      <c r="JI13" s="339">
        <v>22</v>
      </c>
      <c r="JJ13" s="339" t="s">
        <v>2707</v>
      </c>
      <c r="JK13" s="351">
        <v>74</v>
      </c>
      <c r="JL13" s="339">
        <v>41</v>
      </c>
      <c r="JM13" s="339" t="s">
        <v>2708</v>
      </c>
      <c r="JN13" s="339">
        <v>50</v>
      </c>
      <c r="JO13" s="339" t="s">
        <v>1807</v>
      </c>
      <c r="JP13" s="339">
        <v>4</v>
      </c>
      <c r="JS13" s="339">
        <v>9</v>
      </c>
      <c r="JT13" s="339" t="s">
        <v>2418</v>
      </c>
      <c r="JU13" s="339">
        <v>52</v>
      </c>
      <c r="JV13" s="339">
        <v>16</v>
      </c>
      <c r="JW13" s="339">
        <v>5</v>
      </c>
      <c r="JX13" s="339">
        <v>7</v>
      </c>
      <c r="JY13" s="339">
        <v>2</v>
      </c>
      <c r="JZ13" s="339">
        <v>22</v>
      </c>
      <c r="KA13" s="339" t="s">
        <v>2765</v>
      </c>
      <c r="KB13" s="351">
        <v>67</v>
      </c>
      <c r="KC13" s="339">
        <v>0</v>
      </c>
      <c r="KD13" s="339" t="s">
        <v>78</v>
      </c>
      <c r="KE13" s="339">
        <v>0</v>
      </c>
      <c r="KF13" s="339" t="s">
        <v>2757</v>
      </c>
      <c r="KG13" s="339">
        <v>0</v>
      </c>
      <c r="KJ13" s="339">
        <v>9</v>
      </c>
      <c r="KK13" s="339" t="s">
        <v>1266</v>
      </c>
      <c r="KL13" s="339">
        <v>52</v>
      </c>
      <c r="KM13" s="339">
        <v>21</v>
      </c>
      <c r="KN13" s="339">
        <v>3</v>
      </c>
      <c r="KO13" s="339">
        <v>4</v>
      </c>
      <c r="KP13" s="339">
        <v>2</v>
      </c>
      <c r="KQ13" s="339">
        <v>22</v>
      </c>
      <c r="KR13" s="339" t="s">
        <v>2799</v>
      </c>
      <c r="KS13" s="351">
        <v>75</v>
      </c>
      <c r="KT13" s="339">
        <v>0</v>
      </c>
      <c r="KU13" s="339" t="s">
        <v>78</v>
      </c>
      <c r="KV13" s="339">
        <v>0</v>
      </c>
      <c r="KW13" s="339" t="s">
        <v>2757</v>
      </c>
      <c r="KX13" s="339">
        <v>0</v>
      </c>
      <c r="LA13" s="339">
        <v>9</v>
      </c>
      <c r="LB13" s="339" t="s">
        <v>2249</v>
      </c>
      <c r="LC13" s="339">
        <v>52</v>
      </c>
      <c r="LD13" s="339">
        <v>16</v>
      </c>
      <c r="LE13" s="339">
        <v>0</v>
      </c>
      <c r="LF13" s="339">
        <v>11</v>
      </c>
      <c r="LG13" s="339">
        <v>0</v>
      </c>
      <c r="LH13" s="339">
        <v>25</v>
      </c>
      <c r="LI13" s="339" t="s">
        <v>2835</v>
      </c>
      <c r="LJ13" s="351">
        <v>43</v>
      </c>
      <c r="LK13" s="339">
        <v>0</v>
      </c>
      <c r="LL13" s="339" t="s">
        <v>78</v>
      </c>
      <c r="LM13" s="339">
        <v>2</v>
      </c>
      <c r="LN13" s="339" t="s">
        <v>2836</v>
      </c>
      <c r="LO13" s="339">
        <v>1</v>
      </c>
      <c r="LR13" s="339">
        <v>9</v>
      </c>
      <c r="LS13" s="339" t="s">
        <v>2412</v>
      </c>
      <c r="LT13" s="339">
        <v>52</v>
      </c>
      <c r="LU13" s="339">
        <v>19</v>
      </c>
      <c r="LV13" s="339">
        <v>0</v>
      </c>
      <c r="LW13" s="339">
        <v>10</v>
      </c>
      <c r="LX13" s="339">
        <v>0</v>
      </c>
      <c r="LY13" s="339">
        <v>23</v>
      </c>
      <c r="LZ13" s="339" t="s">
        <v>1622</v>
      </c>
      <c r="MA13" s="351">
        <v>48</v>
      </c>
      <c r="MB13" s="339">
        <v>31</v>
      </c>
      <c r="MC13" s="366">
        <v>43722</v>
      </c>
      <c r="MD13" s="339">
        <v>35</v>
      </c>
      <c r="ME13" s="339" t="s">
        <v>2232</v>
      </c>
      <c r="MF13" s="339">
        <v>3</v>
      </c>
    </row>
    <row r="14" spans="2:344" ht="55.8" thickBot="1" x14ac:dyDescent="0.35">
      <c r="B14" s="339">
        <v>10</v>
      </c>
      <c r="C14" s="339" t="s">
        <v>1297</v>
      </c>
      <c r="D14" s="339">
        <v>52</v>
      </c>
      <c r="E14" s="339">
        <v>20</v>
      </c>
      <c r="F14" s="339">
        <v>7</v>
      </c>
      <c r="G14" s="339"/>
      <c r="H14" s="339">
        <v>2</v>
      </c>
      <c r="I14" s="339">
        <v>23</v>
      </c>
      <c r="J14" s="339" t="s">
        <v>1298</v>
      </c>
      <c r="K14" s="351">
        <v>76</v>
      </c>
      <c r="L14" s="339">
        <v>32</v>
      </c>
      <c r="M14" s="339" t="s">
        <v>1299</v>
      </c>
      <c r="N14" s="339">
        <v>38</v>
      </c>
      <c r="O14" s="339" t="s">
        <v>1300</v>
      </c>
      <c r="P14" s="339">
        <v>4</v>
      </c>
      <c r="Q14" s="342"/>
      <c r="S14" s="339">
        <v>10</v>
      </c>
      <c r="T14" s="339" t="s">
        <v>1297</v>
      </c>
      <c r="U14" s="339">
        <v>52</v>
      </c>
      <c r="V14" s="339">
        <v>18</v>
      </c>
      <c r="W14" s="339">
        <v>5</v>
      </c>
      <c r="X14" s="339">
        <v>7</v>
      </c>
      <c r="Y14" s="339">
        <v>22</v>
      </c>
      <c r="Z14" s="339" t="s">
        <v>1425</v>
      </c>
      <c r="AA14" s="351">
        <v>71</v>
      </c>
      <c r="AB14" s="339">
        <v>34</v>
      </c>
      <c r="AC14" s="339" t="s">
        <v>1418</v>
      </c>
      <c r="AD14" s="339">
        <v>32</v>
      </c>
      <c r="AE14" s="339" t="s">
        <v>1426</v>
      </c>
      <c r="AF14" s="339">
        <v>7</v>
      </c>
      <c r="AI14" s="339">
        <v>10</v>
      </c>
      <c r="AJ14" s="339" t="s">
        <v>1290</v>
      </c>
      <c r="AK14" s="339">
        <v>52</v>
      </c>
      <c r="AL14" s="339">
        <v>21</v>
      </c>
      <c r="AM14" s="339">
        <v>2</v>
      </c>
      <c r="AN14" s="339">
        <v>6</v>
      </c>
      <c r="AO14" s="339">
        <v>23</v>
      </c>
      <c r="AP14" s="339" t="s">
        <v>1516</v>
      </c>
      <c r="AQ14" s="351">
        <v>73</v>
      </c>
      <c r="AR14" s="339">
        <v>34</v>
      </c>
      <c r="AS14" s="339" t="s">
        <v>216</v>
      </c>
      <c r="AT14" s="339">
        <v>46</v>
      </c>
      <c r="AU14" s="339" t="s">
        <v>1517</v>
      </c>
      <c r="AV14" s="339">
        <v>4</v>
      </c>
      <c r="AY14" s="339">
        <v>10</v>
      </c>
      <c r="AZ14" s="339" t="s">
        <v>1266</v>
      </c>
      <c r="BA14" s="339">
        <v>52</v>
      </c>
      <c r="BB14" s="339">
        <v>16</v>
      </c>
      <c r="BC14" s="339">
        <v>7</v>
      </c>
      <c r="BD14" s="339">
        <v>6</v>
      </c>
      <c r="BE14" s="339">
        <v>23</v>
      </c>
      <c r="BF14" s="339" t="s">
        <v>1626</v>
      </c>
      <c r="BG14" s="351">
        <v>68</v>
      </c>
      <c r="BH14" s="339">
        <v>34</v>
      </c>
      <c r="BI14" s="366">
        <v>43571</v>
      </c>
      <c r="BJ14" s="339">
        <v>27</v>
      </c>
      <c r="BK14" s="339" t="s">
        <v>1627</v>
      </c>
      <c r="BL14" s="339">
        <v>8</v>
      </c>
      <c r="BO14" s="339">
        <v>10</v>
      </c>
      <c r="BP14" s="339" t="s">
        <v>1290</v>
      </c>
      <c r="BQ14" s="339">
        <v>52</v>
      </c>
      <c r="BR14" s="339">
        <v>21</v>
      </c>
      <c r="BS14" s="339">
        <v>0</v>
      </c>
      <c r="BT14" s="339">
        <v>9</v>
      </c>
      <c r="BU14" s="339">
        <v>22</v>
      </c>
      <c r="BV14" s="339" t="s">
        <v>1718</v>
      </c>
      <c r="BW14" s="351">
        <v>72</v>
      </c>
      <c r="BX14" s="339">
        <v>61</v>
      </c>
      <c r="BY14" s="339" t="s">
        <v>1719</v>
      </c>
      <c r="BZ14" s="339">
        <v>48</v>
      </c>
      <c r="CA14" s="339" t="s">
        <v>1594</v>
      </c>
      <c r="CB14" s="339">
        <v>8</v>
      </c>
      <c r="CE14" s="339">
        <v>10</v>
      </c>
      <c r="CF14" s="339" t="s">
        <v>1591</v>
      </c>
      <c r="CG14" s="339">
        <v>52</v>
      </c>
      <c r="CH14" s="339">
        <v>16</v>
      </c>
      <c r="CI14" s="339">
        <v>8</v>
      </c>
      <c r="CJ14" s="339">
        <v>8</v>
      </c>
      <c r="CK14" s="339">
        <v>20</v>
      </c>
      <c r="CL14" s="339" t="s">
        <v>1808</v>
      </c>
      <c r="CM14" s="351">
        <v>72</v>
      </c>
      <c r="CN14" s="339">
        <v>28</v>
      </c>
      <c r="CO14" s="339" t="s">
        <v>1809</v>
      </c>
      <c r="CP14" s="339">
        <v>39</v>
      </c>
      <c r="CQ14" s="339" t="s">
        <v>1810</v>
      </c>
      <c r="CR14" s="339">
        <v>3</v>
      </c>
      <c r="CU14" s="339">
        <v>10</v>
      </c>
      <c r="CV14" s="339" t="s">
        <v>1311</v>
      </c>
      <c r="CW14" s="339">
        <v>52</v>
      </c>
      <c r="CX14" s="339">
        <v>21</v>
      </c>
      <c r="CY14" s="339">
        <v>2</v>
      </c>
      <c r="CZ14" s="339">
        <v>6</v>
      </c>
      <c r="DA14" s="339">
        <v>23</v>
      </c>
      <c r="DB14" s="339" t="s">
        <v>1902</v>
      </c>
      <c r="DC14" s="351">
        <v>73</v>
      </c>
      <c r="DD14" s="339">
        <v>44</v>
      </c>
      <c r="DE14" s="339" t="s">
        <v>1903</v>
      </c>
      <c r="DF14" s="339">
        <v>52</v>
      </c>
      <c r="DG14" s="339" t="s">
        <v>1904</v>
      </c>
      <c r="DH14" s="339">
        <v>5</v>
      </c>
      <c r="DK14" s="339">
        <v>10</v>
      </c>
      <c r="DL14" s="339" t="s">
        <v>1266</v>
      </c>
      <c r="DM14" s="339">
        <v>52</v>
      </c>
      <c r="DN14" s="339">
        <v>19</v>
      </c>
      <c r="DO14" s="339">
        <v>4</v>
      </c>
      <c r="DP14" s="339">
        <v>8</v>
      </c>
      <c r="DQ14" s="339">
        <v>21</v>
      </c>
      <c r="DR14" s="339" t="s">
        <v>1999</v>
      </c>
      <c r="DS14" s="351">
        <v>73</v>
      </c>
      <c r="DT14" s="339">
        <v>45</v>
      </c>
      <c r="DU14" s="339" t="s">
        <v>2000</v>
      </c>
      <c r="DV14" s="339">
        <v>25</v>
      </c>
      <c r="DW14" s="339" t="s">
        <v>2001</v>
      </c>
      <c r="DX14" s="339">
        <v>6</v>
      </c>
      <c r="EA14" s="339">
        <v>10</v>
      </c>
      <c r="EB14" s="339" t="s">
        <v>1303</v>
      </c>
      <c r="EC14" s="339">
        <v>52</v>
      </c>
      <c r="ED14" s="339">
        <v>15</v>
      </c>
      <c r="EE14" s="339">
        <v>7</v>
      </c>
      <c r="EF14" s="339">
        <v>12</v>
      </c>
      <c r="EG14" s="339">
        <v>18</v>
      </c>
      <c r="EH14" s="339" t="s">
        <v>2081</v>
      </c>
      <c r="EI14" s="351">
        <v>71</v>
      </c>
      <c r="EJ14" s="339">
        <v>60</v>
      </c>
      <c r="EK14" s="339" t="s">
        <v>2082</v>
      </c>
      <c r="EL14" s="339">
        <v>44</v>
      </c>
      <c r="EM14" s="339" t="s">
        <v>1512</v>
      </c>
      <c r="EN14" s="339">
        <v>2</v>
      </c>
      <c r="EQ14" s="339">
        <v>10</v>
      </c>
      <c r="ER14" s="339" t="s">
        <v>2078</v>
      </c>
      <c r="ES14" s="339">
        <v>52</v>
      </c>
      <c r="ET14" s="339">
        <v>19</v>
      </c>
      <c r="EU14" s="339">
        <v>4</v>
      </c>
      <c r="EV14" s="339">
        <v>5</v>
      </c>
      <c r="EW14" s="339">
        <v>24</v>
      </c>
      <c r="EX14" s="339" t="s">
        <v>2159</v>
      </c>
      <c r="EY14" s="351">
        <v>70</v>
      </c>
      <c r="EZ14" s="339">
        <v>53</v>
      </c>
      <c r="FA14" s="339" t="s">
        <v>2160</v>
      </c>
      <c r="FB14" s="339">
        <v>55</v>
      </c>
      <c r="FC14" s="339" t="s">
        <v>2161</v>
      </c>
      <c r="FD14" s="339">
        <v>12</v>
      </c>
      <c r="FG14" s="339">
        <v>10</v>
      </c>
      <c r="FH14" s="339" t="s">
        <v>1266</v>
      </c>
      <c r="FI14" s="339">
        <v>52</v>
      </c>
      <c r="FJ14" s="339">
        <v>16</v>
      </c>
      <c r="FK14" s="339">
        <v>8</v>
      </c>
      <c r="FL14" s="339">
        <v>7</v>
      </c>
      <c r="FM14" s="339">
        <v>21</v>
      </c>
      <c r="FN14" s="339" t="s">
        <v>2244</v>
      </c>
      <c r="FO14" s="351">
        <v>71</v>
      </c>
      <c r="FP14" s="339">
        <v>60</v>
      </c>
      <c r="FQ14" s="339" t="s">
        <v>2245</v>
      </c>
      <c r="FR14" s="339">
        <v>46</v>
      </c>
      <c r="FS14" s="339" t="s">
        <v>2246</v>
      </c>
      <c r="FT14" s="339">
        <v>1</v>
      </c>
      <c r="FW14" s="339">
        <v>10</v>
      </c>
      <c r="FX14" s="339" t="s">
        <v>2249</v>
      </c>
      <c r="FY14" s="339">
        <v>52</v>
      </c>
      <c r="FZ14" s="339">
        <v>19</v>
      </c>
      <c r="GA14" s="339">
        <v>6</v>
      </c>
      <c r="GB14" s="339">
        <v>7</v>
      </c>
      <c r="GC14" s="339">
        <v>20</v>
      </c>
      <c r="GD14" s="339" t="s">
        <v>2330</v>
      </c>
      <c r="GE14" s="351">
        <v>76</v>
      </c>
      <c r="GF14" s="339">
        <v>49</v>
      </c>
      <c r="GG14" s="339" t="s">
        <v>2331</v>
      </c>
      <c r="GH14" s="339">
        <v>49</v>
      </c>
      <c r="GI14" s="339" t="s">
        <v>2332</v>
      </c>
      <c r="GJ14" s="339">
        <v>7</v>
      </c>
      <c r="GM14" s="339">
        <v>10</v>
      </c>
      <c r="GN14" s="339" t="s">
        <v>1266</v>
      </c>
      <c r="GO14" s="339">
        <v>52</v>
      </c>
      <c r="GP14" s="339">
        <v>20</v>
      </c>
      <c r="GQ14" s="339">
        <v>4</v>
      </c>
      <c r="GR14" s="339">
        <v>8</v>
      </c>
      <c r="GS14" s="339">
        <v>20</v>
      </c>
      <c r="GT14" s="339" t="s">
        <v>2407</v>
      </c>
      <c r="GU14" s="351">
        <v>76</v>
      </c>
      <c r="GV14" s="339">
        <v>54</v>
      </c>
      <c r="GW14" s="339" t="s">
        <v>2408</v>
      </c>
      <c r="GX14" s="339">
        <v>61</v>
      </c>
      <c r="GY14" s="339" t="s">
        <v>2409</v>
      </c>
      <c r="GZ14" s="339">
        <v>10</v>
      </c>
      <c r="HC14" s="339">
        <v>10</v>
      </c>
      <c r="HD14" s="339" t="s">
        <v>1303</v>
      </c>
      <c r="HE14" s="339">
        <v>52</v>
      </c>
      <c r="HF14" s="339">
        <v>19</v>
      </c>
      <c r="HG14" s="339">
        <v>2</v>
      </c>
      <c r="HH14" s="339">
        <v>9</v>
      </c>
      <c r="HI14" s="339">
        <v>1</v>
      </c>
      <c r="HJ14" s="339">
        <v>21</v>
      </c>
      <c r="HK14" s="339" t="s">
        <v>2496</v>
      </c>
      <c r="HL14" s="351">
        <v>71</v>
      </c>
      <c r="HM14" s="339">
        <v>36</v>
      </c>
      <c r="HN14" s="367">
        <v>18598</v>
      </c>
      <c r="HO14" s="339">
        <v>40</v>
      </c>
      <c r="HP14" s="339" t="s">
        <v>1424</v>
      </c>
      <c r="HQ14" s="339">
        <v>5</v>
      </c>
      <c r="HT14" s="339">
        <v>10</v>
      </c>
      <c r="HU14" s="339" t="s">
        <v>1303</v>
      </c>
      <c r="HV14" s="339">
        <v>52</v>
      </c>
      <c r="HW14" s="339">
        <v>20</v>
      </c>
      <c r="HX14" s="339">
        <v>2</v>
      </c>
      <c r="HY14" s="339">
        <v>5</v>
      </c>
      <c r="HZ14" s="339">
        <v>0</v>
      </c>
      <c r="IA14" s="339">
        <v>25</v>
      </c>
      <c r="IB14" s="339" t="s">
        <v>1808</v>
      </c>
      <c r="IC14" s="351">
        <v>69</v>
      </c>
      <c r="ID14" s="339">
        <v>43</v>
      </c>
      <c r="IE14" s="339" t="s">
        <v>2561</v>
      </c>
      <c r="IF14" s="339">
        <v>33</v>
      </c>
      <c r="IG14" s="339" t="s">
        <v>1612</v>
      </c>
      <c r="IH14" s="339">
        <v>4</v>
      </c>
      <c r="IK14" s="339">
        <v>10</v>
      </c>
      <c r="IL14" s="339" t="s">
        <v>2412</v>
      </c>
      <c r="IM14" s="339">
        <v>52</v>
      </c>
      <c r="IN14" s="339">
        <v>16</v>
      </c>
      <c r="IO14" s="339">
        <v>2</v>
      </c>
      <c r="IP14" s="339">
        <v>10</v>
      </c>
      <c r="IQ14" s="339">
        <v>2</v>
      </c>
      <c r="IR14" s="339">
        <v>22</v>
      </c>
      <c r="IS14" s="339" t="s">
        <v>2630</v>
      </c>
      <c r="IT14" s="351">
        <v>64</v>
      </c>
      <c r="IU14" s="339">
        <v>37</v>
      </c>
      <c r="IV14" s="339" t="s">
        <v>1629</v>
      </c>
      <c r="IW14" s="339">
        <v>43</v>
      </c>
      <c r="IX14" s="339" t="s">
        <v>1796</v>
      </c>
      <c r="IY14" s="339">
        <v>4</v>
      </c>
      <c r="JB14" s="339">
        <v>10</v>
      </c>
      <c r="JC14" s="339" t="s">
        <v>1303</v>
      </c>
      <c r="JD14" s="339">
        <v>52</v>
      </c>
      <c r="JE14" s="339">
        <v>19</v>
      </c>
      <c r="JF14" s="339">
        <v>4</v>
      </c>
      <c r="JG14" s="339">
        <v>2</v>
      </c>
      <c r="JH14" s="339">
        <v>4</v>
      </c>
      <c r="JI14" s="339">
        <v>23</v>
      </c>
      <c r="JJ14" s="339" t="s">
        <v>2709</v>
      </c>
      <c r="JK14" s="351">
        <v>71</v>
      </c>
      <c r="JL14" s="339">
        <v>26</v>
      </c>
      <c r="JM14" s="339" t="s">
        <v>2710</v>
      </c>
      <c r="JN14" s="339">
        <v>54</v>
      </c>
      <c r="JO14" s="339" t="s">
        <v>1807</v>
      </c>
      <c r="JP14" s="339">
        <v>7</v>
      </c>
      <c r="JS14" s="339">
        <v>10</v>
      </c>
      <c r="JT14" s="339" t="s">
        <v>1303</v>
      </c>
      <c r="JU14" s="339">
        <v>52</v>
      </c>
      <c r="JV14" s="339">
        <v>14</v>
      </c>
      <c r="JW14" s="339">
        <v>6</v>
      </c>
      <c r="JX14" s="339">
        <v>3</v>
      </c>
      <c r="JY14" s="339">
        <v>4</v>
      </c>
      <c r="JZ14" s="339">
        <v>25</v>
      </c>
      <c r="KA14" s="339" t="s">
        <v>2766</v>
      </c>
      <c r="KB14" s="351">
        <v>61</v>
      </c>
      <c r="KC14" s="339">
        <v>0</v>
      </c>
      <c r="KD14" s="339" t="s">
        <v>78</v>
      </c>
      <c r="KE14" s="339">
        <v>0</v>
      </c>
      <c r="KF14" s="339" t="s">
        <v>2757</v>
      </c>
      <c r="KG14" s="339">
        <v>0</v>
      </c>
      <c r="KJ14" s="339">
        <v>10</v>
      </c>
      <c r="KK14" s="339" t="s">
        <v>2706</v>
      </c>
      <c r="KL14" s="339">
        <v>52</v>
      </c>
      <c r="KM14" s="339">
        <v>20</v>
      </c>
      <c r="KN14" s="339">
        <v>3</v>
      </c>
      <c r="KO14" s="339">
        <v>6</v>
      </c>
      <c r="KP14" s="339">
        <v>2</v>
      </c>
      <c r="KQ14" s="339">
        <v>21</v>
      </c>
      <c r="KR14" s="339" t="s">
        <v>2800</v>
      </c>
      <c r="KS14" s="351">
        <v>74</v>
      </c>
      <c r="KT14" s="339">
        <v>0</v>
      </c>
      <c r="KU14" s="339" t="s">
        <v>78</v>
      </c>
      <c r="KV14" s="339">
        <v>0</v>
      </c>
      <c r="KW14" s="339" t="s">
        <v>2757</v>
      </c>
      <c r="KX14" s="339">
        <v>0</v>
      </c>
      <c r="LA14" s="339">
        <v>10</v>
      </c>
      <c r="LB14" s="339" t="s">
        <v>1591</v>
      </c>
      <c r="LC14" s="339">
        <v>52</v>
      </c>
      <c r="LD14" s="339">
        <v>14</v>
      </c>
      <c r="LE14" s="339">
        <v>0</v>
      </c>
      <c r="LF14" s="339">
        <v>13</v>
      </c>
      <c r="LG14" s="339">
        <v>0</v>
      </c>
      <c r="LH14" s="339">
        <v>25</v>
      </c>
      <c r="LI14" s="339" t="s">
        <v>2837</v>
      </c>
      <c r="LJ14" s="351">
        <v>41</v>
      </c>
      <c r="LK14" s="339">
        <v>0</v>
      </c>
      <c r="LL14" s="339" t="s">
        <v>78</v>
      </c>
      <c r="LM14" s="339">
        <v>0</v>
      </c>
      <c r="LN14" s="339" t="s">
        <v>2757</v>
      </c>
      <c r="LO14" s="339">
        <v>0</v>
      </c>
      <c r="LR14" s="339">
        <v>10</v>
      </c>
      <c r="LS14" s="339" t="s">
        <v>1591</v>
      </c>
      <c r="LT14" s="339">
        <v>52</v>
      </c>
      <c r="LU14" s="339">
        <v>17</v>
      </c>
      <c r="LV14" s="339">
        <v>0</v>
      </c>
      <c r="LW14" s="339">
        <v>11</v>
      </c>
      <c r="LX14" s="339">
        <v>0</v>
      </c>
      <c r="LY14" s="339">
        <v>24</v>
      </c>
      <c r="LZ14" s="339" t="s">
        <v>2878</v>
      </c>
      <c r="MA14" s="351">
        <v>45</v>
      </c>
      <c r="MB14" s="339">
        <v>29</v>
      </c>
      <c r="MC14" s="339" t="s">
        <v>2879</v>
      </c>
      <c r="MD14" s="339">
        <v>43</v>
      </c>
      <c r="ME14" s="339" t="s">
        <v>1519</v>
      </c>
      <c r="MF14" s="339">
        <v>6</v>
      </c>
    </row>
    <row r="15" spans="2:344" ht="69.599999999999994" thickBot="1" x14ac:dyDescent="0.35">
      <c r="B15" s="339">
        <v>11</v>
      </c>
      <c r="C15" s="339" t="s">
        <v>80</v>
      </c>
      <c r="D15" s="339">
        <v>52</v>
      </c>
      <c r="E15" s="339">
        <v>20</v>
      </c>
      <c r="F15" s="339">
        <v>5</v>
      </c>
      <c r="G15" s="339"/>
      <c r="H15" s="339">
        <v>1</v>
      </c>
      <c r="I15" s="339">
        <v>26</v>
      </c>
      <c r="J15" s="339" t="s">
        <v>1127</v>
      </c>
      <c r="K15" s="351">
        <v>71</v>
      </c>
      <c r="L15" s="339">
        <v>31</v>
      </c>
      <c r="M15" s="339" t="s">
        <v>1301</v>
      </c>
      <c r="N15" s="339">
        <v>36</v>
      </c>
      <c r="O15" s="339" t="s">
        <v>1302</v>
      </c>
      <c r="P15" s="339">
        <v>8</v>
      </c>
      <c r="Q15" s="342"/>
      <c r="S15" s="339">
        <v>11</v>
      </c>
      <c r="T15" s="339" t="s">
        <v>1307</v>
      </c>
      <c r="U15" s="339">
        <v>52</v>
      </c>
      <c r="V15" s="339">
        <v>13</v>
      </c>
      <c r="W15" s="339">
        <v>10</v>
      </c>
      <c r="X15" s="339">
        <v>9</v>
      </c>
      <c r="Y15" s="339">
        <v>20</v>
      </c>
      <c r="Z15" s="339" t="s">
        <v>1427</v>
      </c>
      <c r="AA15" s="351">
        <v>68</v>
      </c>
      <c r="AB15" s="339">
        <v>29</v>
      </c>
      <c r="AC15" s="339" t="s">
        <v>1429</v>
      </c>
      <c r="AD15" s="339">
        <v>46</v>
      </c>
      <c r="AE15" s="339" t="s">
        <v>1430</v>
      </c>
      <c r="AF15" s="339">
        <v>4</v>
      </c>
      <c r="AI15" s="339">
        <v>11</v>
      </c>
      <c r="AJ15" s="339" t="s">
        <v>1293</v>
      </c>
      <c r="AK15" s="339">
        <v>52</v>
      </c>
      <c r="AL15" s="339">
        <v>17</v>
      </c>
      <c r="AM15" s="339">
        <v>8</v>
      </c>
      <c r="AN15" s="339">
        <v>4</v>
      </c>
      <c r="AO15" s="339">
        <v>23</v>
      </c>
      <c r="AP15" s="339" t="s">
        <v>1518</v>
      </c>
      <c r="AQ15" s="351">
        <v>71</v>
      </c>
      <c r="AR15" s="339">
        <v>33</v>
      </c>
      <c r="AS15" s="339" t="s">
        <v>1393</v>
      </c>
      <c r="AT15" s="339">
        <v>43</v>
      </c>
      <c r="AU15" s="339" t="s">
        <v>1519</v>
      </c>
      <c r="AV15" s="339">
        <v>6</v>
      </c>
      <c r="AY15" s="339">
        <v>11</v>
      </c>
      <c r="AZ15" s="339" t="s">
        <v>1286</v>
      </c>
      <c r="BA15" s="339">
        <v>52</v>
      </c>
      <c r="BB15" s="339">
        <v>17</v>
      </c>
      <c r="BC15" s="339">
        <v>6</v>
      </c>
      <c r="BD15" s="339">
        <v>3</v>
      </c>
      <c r="BE15" s="339">
        <v>26</v>
      </c>
      <c r="BF15" s="339" t="s">
        <v>1628</v>
      </c>
      <c r="BG15" s="351">
        <v>66</v>
      </c>
      <c r="BH15" s="339">
        <v>37</v>
      </c>
      <c r="BI15" s="339" t="s">
        <v>1629</v>
      </c>
      <c r="BJ15" s="339">
        <v>46</v>
      </c>
      <c r="BK15" s="339" t="s">
        <v>1630</v>
      </c>
      <c r="BL15" s="339">
        <v>6</v>
      </c>
      <c r="BO15" s="339">
        <v>11</v>
      </c>
      <c r="BP15" s="339" t="s">
        <v>1262</v>
      </c>
      <c r="BQ15" s="339">
        <v>52</v>
      </c>
      <c r="BR15" s="339">
        <v>16</v>
      </c>
      <c r="BS15" s="339">
        <v>9</v>
      </c>
      <c r="BT15" s="339">
        <v>3</v>
      </c>
      <c r="BU15" s="339">
        <v>24</v>
      </c>
      <c r="BV15" s="339" t="s">
        <v>1720</v>
      </c>
      <c r="BW15" s="351">
        <v>69</v>
      </c>
      <c r="BX15" s="339">
        <v>35</v>
      </c>
      <c r="BY15" s="367">
        <v>45627</v>
      </c>
      <c r="BZ15" s="339">
        <v>46</v>
      </c>
      <c r="CA15" s="339" t="s">
        <v>1721</v>
      </c>
      <c r="CB15" s="339">
        <v>9</v>
      </c>
      <c r="CE15" s="339">
        <v>11</v>
      </c>
      <c r="CF15" s="339" t="s">
        <v>80</v>
      </c>
      <c r="CG15" s="339">
        <v>52</v>
      </c>
      <c r="CH15" s="339">
        <v>16</v>
      </c>
      <c r="CI15" s="339">
        <v>8</v>
      </c>
      <c r="CJ15" s="339">
        <v>7</v>
      </c>
      <c r="CK15" s="339">
        <v>21</v>
      </c>
      <c r="CL15" s="339" t="s">
        <v>1811</v>
      </c>
      <c r="CM15" s="351">
        <v>71</v>
      </c>
      <c r="CN15" s="339">
        <v>39</v>
      </c>
      <c r="CO15" s="366">
        <v>43601</v>
      </c>
      <c r="CP15" s="339">
        <v>34</v>
      </c>
      <c r="CQ15" s="339" t="s">
        <v>1812</v>
      </c>
      <c r="CR15" s="339">
        <v>4</v>
      </c>
      <c r="CU15" s="339">
        <v>11</v>
      </c>
      <c r="CV15" s="339" t="s">
        <v>1278</v>
      </c>
      <c r="CW15" s="339">
        <v>52</v>
      </c>
      <c r="CX15" s="339">
        <v>17</v>
      </c>
      <c r="CY15" s="339">
        <v>6</v>
      </c>
      <c r="CZ15" s="339">
        <v>9</v>
      </c>
      <c r="DA15" s="339">
        <v>20</v>
      </c>
      <c r="DB15" s="339" t="s">
        <v>1905</v>
      </c>
      <c r="DC15" s="351">
        <v>72</v>
      </c>
      <c r="DD15" s="339">
        <v>42</v>
      </c>
      <c r="DE15" s="339" t="s">
        <v>1478</v>
      </c>
      <c r="DF15" s="339">
        <v>47</v>
      </c>
      <c r="DG15" s="339" t="s">
        <v>1906</v>
      </c>
      <c r="DH15" s="339">
        <v>6</v>
      </c>
      <c r="DK15" s="339">
        <v>11</v>
      </c>
      <c r="DL15" s="339" t="s">
        <v>1303</v>
      </c>
      <c r="DM15" s="339">
        <v>52</v>
      </c>
      <c r="DN15" s="339">
        <v>17</v>
      </c>
      <c r="DO15" s="339">
        <v>5</v>
      </c>
      <c r="DP15" s="339">
        <v>6</v>
      </c>
      <c r="DQ15" s="339">
        <v>24</v>
      </c>
      <c r="DR15" s="339" t="s">
        <v>2002</v>
      </c>
      <c r="DS15" s="351">
        <v>67</v>
      </c>
      <c r="DT15" s="339">
        <v>39</v>
      </c>
      <c r="DU15" s="339" t="s">
        <v>215</v>
      </c>
      <c r="DV15" s="339">
        <v>44</v>
      </c>
      <c r="DW15" s="339" t="s">
        <v>1512</v>
      </c>
      <c r="DX15" s="339">
        <v>4</v>
      </c>
      <c r="EA15" s="339">
        <v>11</v>
      </c>
      <c r="EB15" s="339" t="s">
        <v>1278</v>
      </c>
      <c r="EC15" s="339">
        <v>52</v>
      </c>
      <c r="ED15" s="339">
        <v>19</v>
      </c>
      <c r="EE15" s="339">
        <v>5</v>
      </c>
      <c r="EF15" s="339">
        <v>1</v>
      </c>
      <c r="EG15" s="339">
        <v>27</v>
      </c>
      <c r="EH15" s="339" t="s">
        <v>2083</v>
      </c>
      <c r="EI15" s="351">
        <v>68</v>
      </c>
      <c r="EJ15" s="339">
        <v>40</v>
      </c>
      <c r="EK15" s="339" t="s">
        <v>2084</v>
      </c>
      <c r="EL15" s="339">
        <v>44</v>
      </c>
      <c r="EM15" s="339" t="s">
        <v>2085</v>
      </c>
      <c r="EN15" s="339">
        <v>4</v>
      </c>
      <c r="EQ15" s="339">
        <v>11</v>
      </c>
      <c r="ER15" s="339" t="s">
        <v>1303</v>
      </c>
      <c r="ES15" s="339">
        <v>52</v>
      </c>
      <c r="ET15" s="339">
        <v>17</v>
      </c>
      <c r="EU15" s="339">
        <v>3</v>
      </c>
      <c r="EV15" s="339">
        <v>9</v>
      </c>
      <c r="EW15" s="339">
        <v>23</v>
      </c>
      <c r="EX15" s="339" t="s">
        <v>2162</v>
      </c>
      <c r="EY15" s="351">
        <v>66</v>
      </c>
      <c r="EZ15" s="339">
        <v>50</v>
      </c>
      <c r="FA15" s="339" t="s">
        <v>2163</v>
      </c>
      <c r="FB15" s="339">
        <v>51</v>
      </c>
      <c r="FC15" s="339" t="s">
        <v>2164</v>
      </c>
      <c r="FD15" s="339">
        <v>6</v>
      </c>
      <c r="FG15" s="339">
        <v>11</v>
      </c>
      <c r="FH15" s="339" t="s">
        <v>1895</v>
      </c>
      <c r="FI15" s="339">
        <v>52</v>
      </c>
      <c r="FJ15" s="339">
        <v>19</v>
      </c>
      <c r="FK15" s="339">
        <v>4</v>
      </c>
      <c r="FL15" s="339">
        <v>6</v>
      </c>
      <c r="FM15" s="339">
        <v>23</v>
      </c>
      <c r="FN15" s="339" t="s">
        <v>2247</v>
      </c>
      <c r="FO15" s="351">
        <v>71</v>
      </c>
      <c r="FP15" s="339">
        <v>32</v>
      </c>
      <c r="FQ15" s="367">
        <v>27729</v>
      </c>
      <c r="FR15" s="339">
        <v>44</v>
      </c>
      <c r="FS15" s="339" t="s">
        <v>2248</v>
      </c>
      <c r="FT15" s="339">
        <v>9</v>
      </c>
      <c r="FW15" s="339">
        <v>11</v>
      </c>
      <c r="FX15" s="339" t="s">
        <v>1286</v>
      </c>
      <c r="FY15" s="339">
        <v>52</v>
      </c>
      <c r="FZ15" s="339">
        <v>19</v>
      </c>
      <c r="GA15" s="339">
        <v>4</v>
      </c>
      <c r="GB15" s="339">
        <v>7</v>
      </c>
      <c r="GC15" s="339">
        <v>22</v>
      </c>
      <c r="GD15" s="339" t="s">
        <v>2333</v>
      </c>
      <c r="GE15" s="351">
        <v>72</v>
      </c>
      <c r="GF15" s="339">
        <v>47</v>
      </c>
      <c r="GG15" s="339" t="s">
        <v>215</v>
      </c>
      <c r="GH15" s="339">
        <v>51</v>
      </c>
      <c r="GI15" s="339" t="s">
        <v>2334</v>
      </c>
      <c r="GJ15" s="339">
        <v>11</v>
      </c>
      <c r="GM15" s="339">
        <v>11</v>
      </c>
      <c r="GN15" s="339" t="s">
        <v>1286</v>
      </c>
      <c r="GO15" s="339">
        <v>52</v>
      </c>
      <c r="GP15" s="339">
        <v>22</v>
      </c>
      <c r="GQ15" s="339">
        <v>2</v>
      </c>
      <c r="GR15" s="339">
        <v>5</v>
      </c>
      <c r="GS15" s="339">
        <v>23</v>
      </c>
      <c r="GT15" s="339" t="s">
        <v>2410</v>
      </c>
      <c r="GU15" s="351">
        <v>75</v>
      </c>
      <c r="GV15" s="339">
        <v>38</v>
      </c>
      <c r="GW15" s="367">
        <v>26969</v>
      </c>
      <c r="GX15" s="339">
        <v>49</v>
      </c>
      <c r="GY15" s="339" t="s">
        <v>2411</v>
      </c>
      <c r="GZ15" s="339">
        <v>9</v>
      </c>
      <c r="HC15" s="339">
        <v>11</v>
      </c>
      <c r="HD15" s="339" t="s">
        <v>2236</v>
      </c>
      <c r="HE15" s="339">
        <v>52</v>
      </c>
      <c r="HF15" s="339">
        <v>17</v>
      </c>
      <c r="HG15" s="339">
        <v>1</v>
      </c>
      <c r="HH15" s="339">
        <v>8</v>
      </c>
      <c r="HI15" s="339">
        <v>2</v>
      </c>
      <c r="HJ15" s="339">
        <v>24</v>
      </c>
      <c r="HK15" s="339" t="s">
        <v>2497</v>
      </c>
      <c r="HL15" s="351">
        <v>63</v>
      </c>
      <c r="HM15" s="339">
        <v>33</v>
      </c>
      <c r="HN15" s="367">
        <v>25873</v>
      </c>
      <c r="HO15" s="339">
        <v>50</v>
      </c>
      <c r="HP15" s="339" t="s">
        <v>1691</v>
      </c>
      <c r="HQ15" s="339">
        <v>6</v>
      </c>
      <c r="HT15" s="339">
        <v>11</v>
      </c>
      <c r="HU15" s="339" t="s">
        <v>2249</v>
      </c>
      <c r="HV15" s="339">
        <v>52</v>
      </c>
      <c r="HW15" s="339">
        <v>18</v>
      </c>
      <c r="HX15" s="339">
        <v>2</v>
      </c>
      <c r="HY15" s="339">
        <v>3</v>
      </c>
      <c r="HZ15" s="339">
        <v>5</v>
      </c>
      <c r="IA15" s="339">
        <v>24</v>
      </c>
      <c r="IB15" s="339" t="s">
        <v>2562</v>
      </c>
      <c r="IC15" s="351">
        <v>66</v>
      </c>
      <c r="ID15" s="339">
        <v>40</v>
      </c>
      <c r="IE15" s="339" t="s">
        <v>2017</v>
      </c>
      <c r="IF15" s="339">
        <v>33</v>
      </c>
      <c r="IG15" s="339" t="s">
        <v>2563</v>
      </c>
      <c r="IH15" s="339">
        <v>11</v>
      </c>
      <c r="IK15" s="339">
        <v>11</v>
      </c>
      <c r="IL15" s="339" t="s">
        <v>1262</v>
      </c>
      <c r="IM15" s="339">
        <v>52</v>
      </c>
      <c r="IN15" s="339">
        <v>15</v>
      </c>
      <c r="IO15" s="339">
        <v>2</v>
      </c>
      <c r="IP15" s="339">
        <v>9</v>
      </c>
      <c r="IQ15" s="339">
        <v>5</v>
      </c>
      <c r="IR15" s="339">
        <v>21</v>
      </c>
      <c r="IS15" s="339" t="s">
        <v>2631</v>
      </c>
      <c r="IT15" s="351">
        <v>63</v>
      </c>
      <c r="IU15" s="339">
        <v>39</v>
      </c>
      <c r="IV15" s="339" t="s">
        <v>2632</v>
      </c>
      <c r="IW15" s="339">
        <v>51</v>
      </c>
      <c r="IX15" s="339" t="s">
        <v>2303</v>
      </c>
      <c r="IY15" s="339">
        <v>4</v>
      </c>
      <c r="JB15" s="339">
        <v>11</v>
      </c>
      <c r="JC15" s="339" t="s">
        <v>2412</v>
      </c>
      <c r="JD15" s="339">
        <v>52</v>
      </c>
      <c r="JE15" s="339">
        <v>19</v>
      </c>
      <c r="JF15" s="339">
        <v>1</v>
      </c>
      <c r="JG15" s="339">
        <v>6</v>
      </c>
      <c r="JH15" s="339">
        <v>6</v>
      </c>
      <c r="JI15" s="339">
        <v>20</v>
      </c>
      <c r="JJ15" s="339" t="s">
        <v>2711</v>
      </c>
      <c r="JK15" s="351">
        <v>71</v>
      </c>
      <c r="JL15" s="339">
        <v>44</v>
      </c>
      <c r="JM15" s="339" t="s">
        <v>2712</v>
      </c>
      <c r="JN15" s="339">
        <v>40</v>
      </c>
      <c r="JO15" s="339" t="s">
        <v>1594</v>
      </c>
      <c r="JP15" s="339">
        <v>4</v>
      </c>
      <c r="JS15" s="339">
        <v>11</v>
      </c>
      <c r="JT15" s="339" t="s">
        <v>2715</v>
      </c>
      <c r="JU15" s="339">
        <v>52</v>
      </c>
      <c r="JV15" s="339">
        <v>16</v>
      </c>
      <c r="JW15" s="339">
        <v>3</v>
      </c>
      <c r="JX15" s="339">
        <v>2</v>
      </c>
      <c r="JY15" s="339">
        <v>4</v>
      </c>
      <c r="JZ15" s="339">
        <v>27</v>
      </c>
      <c r="KA15" s="339" t="s">
        <v>2767</v>
      </c>
      <c r="KB15" s="351">
        <v>60</v>
      </c>
      <c r="KC15" s="339">
        <v>0</v>
      </c>
      <c r="KD15" s="339" t="s">
        <v>78</v>
      </c>
      <c r="KE15" s="339">
        <v>0</v>
      </c>
      <c r="KF15" s="339" t="s">
        <v>2757</v>
      </c>
      <c r="KG15" s="339">
        <v>0</v>
      </c>
      <c r="KJ15" s="339">
        <v>11</v>
      </c>
      <c r="KK15" s="339" t="s">
        <v>2490</v>
      </c>
      <c r="KL15" s="339">
        <v>52</v>
      </c>
      <c r="KM15" s="339">
        <v>20</v>
      </c>
      <c r="KN15" s="339">
        <v>1</v>
      </c>
      <c r="KO15" s="339">
        <v>5</v>
      </c>
      <c r="KP15" s="339">
        <v>5</v>
      </c>
      <c r="KQ15" s="339">
        <v>21</v>
      </c>
      <c r="KR15" s="339" t="s">
        <v>2801</v>
      </c>
      <c r="KS15" s="351">
        <v>72</v>
      </c>
      <c r="KT15" s="339">
        <v>0</v>
      </c>
      <c r="KU15" s="339" t="s">
        <v>78</v>
      </c>
      <c r="KV15" s="339">
        <v>0</v>
      </c>
      <c r="KW15" s="339" t="s">
        <v>2757</v>
      </c>
      <c r="KX15" s="339">
        <v>0</v>
      </c>
      <c r="LA15" s="339">
        <v>11</v>
      </c>
      <c r="LB15" s="339" t="s">
        <v>1303</v>
      </c>
      <c r="LC15" s="339">
        <v>52</v>
      </c>
      <c r="LD15" s="339">
        <v>14</v>
      </c>
      <c r="LE15" s="339">
        <v>0</v>
      </c>
      <c r="LF15" s="339">
        <v>12</v>
      </c>
      <c r="LG15" s="339">
        <v>0</v>
      </c>
      <c r="LH15" s="339">
        <v>26</v>
      </c>
      <c r="LI15" s="339" t="s">
        <v>2838</v>
      </c>
      <c r="LJ15" s="351">
        <v>40</v>
      </c>
      <c r="LK15" s="339">
        <v>0</v>
      </c>
      <c r="LL15" s="339" t="s">
        <v>78</v>
      </c>
      <c r="LM15" s="339">
        <v>0</v>
      </c>
      <c r="LN15" s="339" t="s">
        <v>2757</v>
      </c>
      <c r="LO15" s="339">
        <v>0</v>
      </c>
      <c r="LR15" s="339">
        <v>11</v>
      </c>
      <c r="LS15" s="339" t="s">
        <v>1303</v>
      </c>
      <c r="LT15" s="339">
        <v>52</v>
      </c>
      <c r="LU15" s="339">
        <v>14</v>
      </c>
      <c r="LV15" s="339">
        <v>0</v>
      </c>
      <c r="LW15" s="339">
        <v>10</v>
      </c>
      <c r="LX15" s="339">
        <v>0</v>
      </c>
      <c r="LY15" s="339">
        <v>28</v>
      </c>
      <c r="LZ15" s="339" t="s">
        <v>2880</v>
      </c>
      <c r="MA15" s="351">
        <v>38</v>
      </c>
      <c r="MB15" s="339">
        <v>36</v>
      </c>
      <c r="MC15" s="339" t="s">
        <v>2881</v>
      </c>
      <c r="MD15" s="339">
        <v>43</v>
      </c>
      <c r="ME15" s="339" t="s">
        <v>2882</v>
      </c>
      <c r="MF15" s="339">
        <v>6</v>
      </c>
    </row>
    <row r="16" spans="2:344" ht="55.8" thickBot="1" x14ac:dyDescent="0.35">
      <c r="B16" s="339">
        <v>12</v>
      </c>
      <c r="C16" s="339" t="s">
        <v>1303</v>
      </c>
      <c r="D16" s="339">
        <v>52</v>
      </c>
      <c r="E16" s="339">
        <v>13</v>
      </c>
      <c r="F16" s="339">
        <v>4</v>
      </c>
      <c r="G16" s="339"/>
      <c r="H16" s="339">
        <v>6</v>
      </c>
      <c r="I16" s="339">
        <v>29</v>
      </c>
      <c r="J16" s="339" t="s">
        <v>1304</v>
      </c>
      <c r="K16" s="351">
        <v>53</v>
      </c>
      <c r="L16" s="339">
        <v>31</v>
      </c>
      <c r="M16" s="339" t="s">
        <v>1305</v>
      </c>
      <c r="N16" s="339">
        <v>37</v>
      </c>
      <c r="O16" s="339" t="s">
        <v>1306</v>
      </c>
      <c r="P16" s="339">
        <v>5</v>
      </c>
      <c r="Q16" s="342"/>
      <c r="S16" s="339">
        <v>12</v>
      </c>
      <c r="T16" s="339" t="s">
        <v>1290</v>
      </c>
      <c r="U16" s="339">
        <v>52</v>
      </c>
      <c r="V16" s="339">
        <v>15</v>
      </c>
      <c r="W16" s="339">
        <v>6</v>
      </c>
      <c r="X16" s="339">
        <v>8</v>
      </c>
      <c r="Y16" s="339">
        <v>23</v>
      </c>
      <c r="Z16" s="339" t="s">
        <v>1431</v>
      </c>
      <c r="AA16" s="351">
        <v>65</v>
      </c>
      <c r="AB16" s="339">
        <v>36</v>
      </c>
      <c r="AC16" s="339" t="s">
        <v>1432</v>
      </c>
      <c r="AD16" s="339">
        <v>39</v>
      </c>
      <c r="AE16" s="339" t="s">
        <v>1433</v>
      </c>
      <c r="AF16" s="339">
        <v>4</v>
      </c>
      <c r="AI16" s="339">
        <v>12</v>
      </c>
      <c r="AJ16" s="339" t="s">
        <v>1282</v>
      </c>
      <c r="AK16" s="339">
        <v>52</v>
      </c>
      <c r="AL16" s="339">
        <v>17</v>
      </c>
      <c r="AM16" s="339">
        <v>7</v>
      </c>
      <c r="AN16" s="339">
        <v>5</v>
      </c>
      <c r="AO16" s="339">
        <v>23</v>
      </c>
      <c r="AP16" s="339" t="s">
        <v>1520</v>
      </c>
      <c r="AQ16" s="351">
        <v>70</v>
      </c>
      <c r="AR16" s="339">
        <v>34</v>
      </c>
      <c r="AS16" s="366">
        <v>43725</v>
      </c>
      <c r="AT16" s="339">
        <v>34</v>
      </c>
      <c r="AU16" s="339" t="s">
        <v>1521</v>
      </c>
      <c r="AV16" s="339">
        <v>4</v>
      </c>
      <c r="AY16" s="339">
        <v>12</v>
      </c>
      <c r="AZ16" s="339" t="s">
        <v>1311</v>
      </c>
      <c r="BA16" s="339">
        <v>52</v>
      </c>
      <c r="BB16" s="339">
        <v>16</v>
      </c>
      <c r="BC16" s="339">
        <v>2</v>
      </c>
      <c r="BD16" s="339">
        <v>5</v>
      </c>
      <c r="BE16" s="339">
        <v>29</v>
      </c>
      <c r="BF16" s="339" t="s">
        <v>1631</v>
      </c>
      <c r="BG16" s="351">
        <v>57</v>
      </c>
      <c r="BH16" s="339">
        <v>42</v>
      </c>
      <c r="BI16" s="339" t="s">
        <v>1632</v>
      </c>
      <c r="BJ16" s="339">
        <v>35</v>
      </c>
      <c r="BK16" s="339" t="s">
        <v>1633</v>
      </c>
      <c r="BL16" s="339">
        <v>2</v>
      </c>
      <c r="BO16" s="339">
        <v>12</v>
      </c>
      <c r="BP16" s="339" t="s">
        <v>1303</v>
      </c>
      <c r="BQ16" s="339">
        <v>52</v>
      </c>
      <c r="BR16" s="339">
        <v>16</v>
      </c>
      <c r="BS16" s="339">
        <v>2</v>
      </c>
      <c r="BT16" s="339">
        <v>10</v>
      </c>
      <c r="BU16" s="339">
        <v>24</v>
      </c>
      <c r="BV16" s="339" t="s">
        <v>1722</v>
      </c>
      <c r="BW16" s="351">
        <v>62</v>
      </c>
      <c r="BX16" s="339">
        <v>33</v>
      </c>
      <c r="BY16" s="367">
        <v>27334</v>
      </c>
      <c r="BZ16" s="339">
        <v>51</v>
      </c>
      <c r="CA16" s="339" t="s">
        <v>1723</v>
      </c>
      <c r="CB16" s="339">
        <v>4</v>
      </c>
      <c r="CE16" s="339">
        <v>12</v>
      </c>
      <c r="CF16" s="339" t="s">
        <v>1303</v>
      </c>
      <c r="CG16" s="339">
        <v>52</v>
      </c>
      <c r="CH16" s="339">
        <v>19</v>
      </c>
      <c r="CI16" s="339">
        <v>2</v>
      </c>
      <c r="CJ16" s="339">
        <v>5</v>
      </c>
      <c r="CK16" s="339">
        <v>26</v>
      </c>
      <c r="CL16" s="339" t="s">
        <v>1813</v>
      </c>
      <c r="CM16" s="351">
        <v>66</v>
      </c>
      <c r="CN16" s="339">
        <v>37</v>
      </c>
      <c r="CO16" s="339" t="s">
        <v>1814</v>
      </c>
      <c r="CP16" s="339">
        <v>46</v>
      </c>
      <c r="CQ16" s="339" t="s">
        <v>1815</v>
      </c>
      <c r="CR16" s="339">
        <v>5</v>
      </c>
      <c r="CU16" s="339">
        <v>12</v>
      </c>
      <c r="CV16" s="339" t="s">
        <v>1303</v>
      </c>
      <c r="CW16" s="339">
        <v>52</v>
      </c>
      <c r="CX16" s="339">
        <v>19</v>
      </c>
      <c r="CY16" s="339">
        <v>2</v>
      </c>
      <c r="CZ16" s="339">
        <v>6</v>
      </c>
      <c r="DA16" s="339">
        <v>25</v>
      </c>
      <c r="DB16" s="339" t="s">
        <v>1907</v>
      </c>
      <c r="DC16" s="351">
        <v>67</v>
      </c>
      <c r="DD16" s="339">
        <v>39</v>
      </c>
      <c r="DE16" s="339" t="s">
        <v>1908</v>
      </c>
      <c r="DF16" s="339">
        <v>49</v>
      </c>
      <c r="DG16" s="339" t="s">
        <v>1909</v>
      </c>
      <c r="DH16" s="339">
        <v>1</v>
      </c>
      <c r="DK16" s="339">
        <v>12</v>
      </c>
      <c r="DL16" s="339" t="s">
        <v>1591</v>
      </c>
      <c r="DM16" s="339">
        <v>52</v>
      </c>
      <c r="DN16" s="339">
        <v>15</v>
      </c>
      <c r="DO16" s="339">
        <v>7</v>
      </c>
      <c r="DP16" s="339">
        <v>7</v>
      </c>
      <c r="DQ16" s="339">
        <v>23</v>
      </c>
      <c r="DR16" s="339" t="s">
        <v>2003</v>
      </c>
      <c r="DS16" s="351">
        <v>66</v>
      </c>
      <c r="DT16" s="339">
        <v>39</v>
      </c>
      <c r="DU16" s="339" t="s">
        <v>1554</v>
      </c>
      <c r="DV16" s="339">
        <v>54</v>
      </c>
      <c r="DW16" s="339" t="s">
        <v>1733</v>
      </c>
      <c r="DX16" s="339">
        <v>4</v>
      </c>
      <c r="EA16" s="339">
        <v>12</v>
      </c>
      <c r="EB16" s="339" t="s">
        <v>1297</v>
      </c>
      <c r="EC16" s="339">
        <v>52</v>
      </c>
      <c r="ED16" s="339">
        <v>14</v>
      </c>
      <c r="EE16" s="339">
        <v>6</v>
      </c>
      <c r="EF16" s="339">
        <v>3</v>
      </c>
      <c r="EG16" s="339">
        <v>29</v>
      </c>
      <c r="EH16" s="339" t="s">
        <v>2086</v>
      </c>
      <c r="EI16" s="351">
        <v>57</v>
      </c>
      <c r="EJ16" s="339">
        <v>34</v>
      </c>
      <c r="EK16" s="339" t="s">
        <v>2087</v>
      </c>
      <c r="EL16" s="339">
        <v>41</v>
      </c>
      <c r="EM16" s="339" t="s">
        <v>2088</v>
      </c>
      <c r="EN16" s="339">
        <v>3</v>
      </c>
      <c r="EQ16" s="339">
        <v>12</v>
      </c>
      <c r="ER16" s="339" t="s">
        <v>1278</v>
      </c>
      <c r="ES16" s="339">
        <v>52</v>
      </c>
      <c r="ET16" s="339">
        <v>16</v>
      </c>
      <c r="EU16" s="339">
        <v>5</v>
      </c>
      <c r="EV16" s="339">
        <v>5</v>
      </c>
      <c r="EW16" s="339">
        <v>26</v>
      </c>
      <c r="EX16" s="339" t="s">
        <v>2165</v>
      </c>
      <c r="EY16" s="351">
        <v>63</v>
      </c>
      <c r="EZ16" s="339">
        <v>38</v>
      </c>
      <c r="FA16" s="339" t="s">
        <v>2166</v>
      </c>
      <c r="FB16" s="339">
        <v>46</v>
      </c>
      <c r="FC16" s="339" t="s">
        <v>1965</v>
      </c>
      <c r="FD16" s="339">
        <v>6</v>
      </c>
      <c r="FG16" s="339">
        <v>12</v>
      </c>
      <c r="FH16" s="339" t="s">
        <v>2249</v>
      </c>
      <c r="FI16" s="339">
        <v>52</v>
      </c>
      <c r="FJ16" s="339">
        <v>17</v>
      </c>
      <c r="FK16" s="339">
        <v>5</v>
      </c>
      <c r="FL16" s="339">
        <v>7</v>
      </c>
      <c r="FM16" s="339">
        <v>23</v>
      </c>
      <c r="FN16" s="339" t="s">
        <v>2250</v>
      </c>
      <c r="FO16" s="351">
        <v>68</v>
      </c>
      <c r="FP16" s="339">
        <v>42</v>
      </c>
      <c r="FQ16" s="366">
        <v>43724</v>
      </c>
      <c r="FR16" s="339">
        <v>55</v>
      </c>
      <c r="FS16" s="339" t="s">
        <v>2251</v>
      </c>
      <c r="FT16" s="339">
        <v>4</v>
      </c>
      <c r="FW16" s="339">
        <v>12</v>
      </c>
      <c r="FX16" s="339" t="s">
        <v>2224</v>
      </c>
      <c r="FY16" s="339">
        <v>52</v>
      </c>
      <c r="FZ16" s="339">
        <v>18</v>
      </c>
      <c r="GA16" s="339">
        <v>6</v>
      </c>
      <c r="GB16" s="339">
        <v>4</v>
      </c>
      <c r="GC16" s="339">
        <v>24</v>
      </c>
      <c r="GD16" s="339" t="s">
        <v>2335</v>
      </c>
      <c r="GE16" s="351">
        <v>70</v>
      </c>
      <c r="GF16" s="339">
        <v>59</v>
      </c>
      <c r="GG16" s="339" t="s">
        <v>2336</v>
      </c>
      <c r="GH16" s="339">
        <v>61</v>
      </c>
      <c r="GI16" s="339" t="s">
        <v>2337</v>
      </c>
      <c r="GJ16" s="339">
        <v>6</v>
      </c>
      <c r="GM16" s="339">
        <v>12</v>
      </c>
      <c r="GN16" s="339" t="s">
        <v>2412</v>
      </c>
      <c r="GO16" s="339">
        <v>52</v>
      </c>
      <c r="GP16" s="339">
        <v>20</v>
      </c>
      <c r="GQ16" s="339">
        <v>4</v>
      </c>
      <c r="GR16" s="339">
        <v>6</v>
      </c>
      <c r="GS16" s="339">
        <v>22</v>
      </c>
      <c r="GT16" s="339" t="s">
        <v>2413</v>
      </c>
      <c r="GU16" s="351">
        <v>74</v>
      </c>
      <c r="GV16" s="339">
        <v>63</v>
      </c>
      <c r="GW16" s="339" t="s">
        <v>2414</v>
      </c>
      <c r="GX16" s="339">
        <v>68</v>
      </c>
      <c r="GY16" s="339" t="s">
        <v>2415</v>
      </c>
      <c r="GZ16" s="339">
        <v>9</v>
      </c>
      <c r="HC16" s="339">
        <v>12</v>
      </c>
      <c r="HD16" s="339" t="s">
        <v>2412</v>
      </c>
      <c r="HE16" s="339">
        <v>52</v>
      </c>
      <c r="HF16" s="339">
        <v>14</v>
      </c>
      <c r="HG16" s="339">
        <v>4</v>
      </c>
      <c r="HH16" s="339">
        <v>5</v>
      </c>
      <c r="HI16" s="339">
        <v>4</v>
      </c>
      <c r="HJ16" s="339">
        <v>25</v>
      </c>
      <c r="HK16" s="339" t="s">
        <v>2498</v>
      </c>
      <c r="HL16" s="351">
        <v>59</v>
      </c>
      <c r="HM16" s="339">
        <v>30</v>
      </c>
      <c r="HN16" s="367">
        <v>35004</v>
      </c>
      <c r="HO16" s="339">
        <v>40</v>
      </c>
      <c r="HP16" s="339" t="s">
        <v>2499</v>
      </c>
      <c r="HQ16" s="339">
        <v>8</v>
      </c>
      <c r="HT16" s="339">
        <v>12</v>
      </c>
      <c r="HU16" s="339" t="s">
        <v>2418</v>
      </c>
      <c r="HV16" s="339">
        <v>52</v>
      </c>
      <c r="HW16" s="339">
        <v>15</v>
      </c>
      <c r="HX16" s="339">
        <v>2</v>
      </c>
      <c r="HY16" s="339">
        <v>4</v>
      </c>
      <c r="HZ16" s="339">
        <v>1</v>
      </c>
      <c r="IA16" s="339">
        <v>30</v>
      </c>
      <c r="IB16" s="339" t="s">
        <v>2564</v>
      </c>
      <c r="IC16" s="351">
        <v>54</v>
      </c>
      <c r="ID16" s="339">
        <v>34</v>
      </c>
      <c r="IE16" s="339" t="s">
        <v>2565</v>
      </c>
      <c r="IF16" s="339">
        <v>44</v>
      </c>
      <c r="IG16" s="339" t="s">
        <v>2326</v>
      </c>
      <c r="IH16" s="339">
        <v>7</v>
      </c>
      <c r="IK16" s="339">
        <v>12</v>
      </c>
      <c r="IL16" s="339" t="s">
        <v>1303</v>
      </c>
      <c r="IM16" s="339">
        <v>52</v>
      </c>
      <c r="IN16" s="339">
        <v>16</v>
      </c>
      <c r="IO16" s="339">
        <v>2</v>
      </c>
      <c r="IP16" s="339">
        <v>8</v>
      </c>
      <c r="IQ16" s="339">
        <v>2</v>
      </c>
      <c r="IR16" s="339">
        <v>24</v>
      </c>
      <c r="IS16" s="339" t="s">
        <v>2633</v>
      </c>
      <c r="IT16" s="351">
        <v>62</v>
      </c>
      <c r="IU16" s="339">
        <v>25</v>
      </c>
      <c r="IV16" s="367">
        <v>44501</v>
      </c>
      <c r="IW16" s="339">
        <v>38</v>
      </c>
      <c r="IX16" s="339" t="s">
        <v>2634</v>
      </c>
      <c r="IY16" s="339">
        <v>3</v>
      </c>
      <c r="JB16" s="339">
        <v>12</v>
      </c>
      <c r="JC16" s="339" t="s">
        <v>1262</v>
      </c>
      <c r="JD16" s="339">
        <v>52</v>
      </c>
      <c r="JE16" s="339">
        <v>17</v>
      </c>
      <c r="JF16" s="339">
        <v>3</v>
      </c>
      <c r="JG16" s="339">
        <v>3</v>
      </c>
      <c r="JH16" s="339">
        <v>3</v>
      </c>
      <c r="JI16" s="339">
        <v>26</v>
      </c>
      <c r="JJ16" s="339" t="s">
        <v>2713</v>
      </c>
      <c r="JK16" s="351">
        <v>63</v>
      </c>
      <c r="JL16" s="339">
        <v>51</v>
      </c>
      <c r="JM16" s="339" t="s">
        <v>2463</v>
      </c>
      <c r="JN16" s="339">
        <v>50</v>
      </c>
      <c r="JO16" s="339" t="s">
        <v>2137</v>
      </c>
      <c r="JP16" s="339">
        <v>2</v>
      </c>
      <c r="JS16" s="339">
        <v>12</v>
      </c>
      <c r="JT16" s="339" t="s">
        <v>2490</v>
      </c>
      <c r="JU16" s="339">
        <v>52</v>
      </c>
      <c r="JV16" s="339">
        <v>16</v>
      </c>
      <c r="JW16" s="339">
        <v>1</v>
      </c>
      <c r="JX16" s="339">
        <v>5</v>
      </c>
      <c r="JY16" s="339">
        <v>4</v>
      </c>
      <c r="JZ16" s="339">
        <v>26</v>
      </c>
      <c r="KA16" s="339" t="s">
        <v>2768</v>
      </c>
      <c r="KB16" s="351">
        <v>59</v>
      </c>
      <c r="KC16" s="339">
        <v>0</v>
      </c>
      <c r="KD16" s="339" t="s">
        <v>78</v>
      </c>
      <c r="KE16" s="339">
        <v>0</v>
      </c>
      <c r="KF16" s="339" t="s">
        <v>2757</v>
      </c>
      <c r="KG16" s="339">
        <v>0</v>
      </c>
      <c r="KJ16" s="339">
        <v>12</v>
      </c>
      <c r="KK16" s="339" t="s">
        <v>2089</v>
      </c>
      <c r="KL16" s="339">
        <v>52</v>
      </c>
      <c r="KM16" s="339">
        <v>15</v>
      </c>
      <c r="KN16" s="339">
        <v>5</v>
      </c>
      <c r="KO16" s="339">
        <v>2</v>
      </c>
      <c r="KP16" s="339">
        <v>5</v>
      </c>
      <c r="KQ16" s="339">
        <v>25</v>
      </c>
      <c r="KR16" s="339" t="s">
        <v>2802</v>
      </c>
      <c r="KS16" s="351">
        <v>62</v>
      </c>
      <c r="KT16" s="339">
        <v>0</v>
      </c>
      <c r="KU16" s="339" t="s">
        <v>78</v>
      </c>
      <c r="KV16" s="339">
        <v>0</v>
      </c>
      <c r="KW16" s="339" t="s">
        <v>2757</v>
      </c>
      <c r="KX16" s="339">
        <v>0</v>
      </c>
      <c r="LA16" s="339">
        <v>12</v>
      </c>
      <c r="LB16" s="339" t="s">
        <v>2089</v>
      </c>
      <c r="LC16" s="339">
        <v>52</v>
      </c>
      <c r="LD16" s="339">
        <v>13</v>
      </c>
      <c r="LE16" s="339">
        <v>0</v>
      </c>
      <c r="LF16" s="339">
        <v>12</v>
      </c>
      <c r="LG16" s="339">
        <v>0</v>
      </c>
      <c r="LH16" s="339">
        <v>27</v>
      </c>
      <c r="LI16" s="339" t="s">
        <v>2839</v>
      </c>
      <c r="LJ16" s="351">
        <v>38</v>
      </c>
      <c r="LK16" s="339">
        <v>0</v>
      </c>
      <c r="LL16" s="339" t="s">
        <v>78</v>
      </c>
      <c r="LM16" s="339">
        <v>0</v>
      </c>
      <c r="LN16" s="339" t="s">
        <v>2757</v>
      </c>
      <c r="LO16" s="339">
        <v>0</v>
      </c>
      <c r="LR16" s="339">
        <v>12</v>
      </c>
      <c r="LS16" s="339" t="s">
        <v>2883</v>
      </c>
      <c r="LT16" s="339">
        <v>52</v>
      </c>
      <c r="LU16" s="339">
        <v>15</v>
      </c>
      <c r="LV16" s="339">
        <v>0</v>
      </c>
      <c r="LW16" s="339">
        <v>8</v>
      </c>
      <c r="LX16" s="339">
        <v>0</v>
      </c>
      <c r="LY16" s="339">
        <v>29</v>
      </c>
      <c r="LZ16" s="339" t="s">
        <v>2884</v>
      </c>
      <c r="MA16" s="351">
        <v>38</v>
      </c>
      <c r="MB16" s="339">
        <v>21</v>
      </c>
      <c r="MC16" s="367">
        <v>21155</v>
      </c>
      <c r="MD16" s="339">
        <v>41</v>
      </c>
      <c r="ME16" s="339" t="s">
        <v>2885</v>
      </c>
      <c r="MF16" s="339">
        <v>6</v>
      </c>
    </row>
    <row r="17" spans="2:344" ht="69.599999999999994" thickBot="1" x14ac:dyDescent="0.35">
      <c r="B17" s="339">
        <v>13</v>
      </c>
      <c r="C17" s="339" t="s">
        <v>1307</v>
      </c>
      <c r="D17" s="339">
        <v>52</v>
      </c>
      <c r="E17" s="339">
        <v>13</v>
      </c>
      <c r="F17" s="339">
        <v>3</v>
      </c>
      <c r="G17" s="339"/>
      <c r="H17" s="339">
        <v>5</v>
      </c>
      <c r="I17" s="339">
        <v>31</v>
      </c>
      <c r="J17" s="339" t="s">
        <v>1308</v>
      </c>
      <c r="K17" s="351">
        <v>50</v>
      </c>
      <c r="L17" s="339">
        <v>28</v>
      </c>
      <c r="M17" s="339" t="s">
        <v>1309</v>
      </c>
      <c r="N17" s="339">
        <v>51</v>
      </c>
      <c r="O17" s="339" t="s">
        <v>1310</v>
      </c>
      <c r="P17" s="339">
        <v>3</v>
      </c>
      <c r="Q17" s="342"/>
      <c r="S17" s="339">
        <v>13</v>
      </c>
      <c r="T17" s="339" t="s">
        <v>1386</v>
      </c>
      <c r="U17" s="339">
        <v>52</v>
      </c>
      <c r="V17" s="339">
        <v>12</v>
      </c>
      <c r="W17" s="339">
        <v>7</v>
      </c>
      <c r="X17" s="339">
        <v>7</v>
      </c>
      <c r="Y17" s="339">
        <v>26</v>
      </c>
      <c r="Z17" s="339" t="s">
        <v>1434</v>
      </c>
      <c r="AA17" s="351">
        <v>57</v>
      </c>
      <c r="AB17" s="339">
        <v>29</v>
      </c>
      <c r="AC17" s="367">
        <v>18598</v>
      </c>
      <c r="AD17" s="339">
        <v>26</v>
      </c>
      <c r="AE17" s="339" t="s">
        <v>1435</v>
      </c>
      <c r="AF17" s="339">
        <v>2</v>
      </c>
      <c r="AI17" s="339">
        <v>13</v>
      </c>
      <c r="AJ17" s="339" t="s">
        <v>1303</v>
      </c>
      <c r="AK17" s="339">
        <v>52</v>
      </c>
      <c r="AL17" s="339">
        <v>12</v>
      </c>
      <c r="AM17" s="339">
        <v>1</v>
      </c>
      <c r="AN17" s="339">
        <v>11</v>
      </c>
      <c r="AO17" s="339">
        <v>28</v>
      </c>
      <c r="AP17" s="339" t="s">
        <v>1522</v>
      </c>
      <c r="AQ17" s="351">
        <v>49</v>
      </c>
      <c r="AR17" s="339">
        <v>29</v>
      </c>
      <c r="AS17" s="367">
        <v>24047</v>
      </c>
      <c r="AT17" s="339">
        <v>41</v>
      </c>
      <c r="AU17" s="339" t="s">
        <v>1523</v>
      </c>
      <c r="AV17" s="339">
        <v>3</v>
      </c>
      <c r="AY17" s="339">
        <v>13</v>
      </c>
      <c r="AZ17" s="339" t="s">
        <v>80</v>
      </c>
      <c r="BA17" s="339">
        <v>52</v>
      </c>
      <c r="BB17" s="339">
        <v>10</v>
      </c>
      <c r="BC17" s="339">
        <v>10</v>
      </c>
      <c r="BD17" s="339">
        <v>5</v>
      </c>
      <c r="BE17" s="339">
        <v>27</v>
      </c>
      <c r="BF17" s="339" t="s">
        <v>1634</v>
      </c>
      <c r="BG17" s="351">
        <v>55</v>
      </c>
      <c r="BH17" s="339">
        <v>37</v>
      </c>
      <c r="BI17" s="339" t="s">
        <v>1276</v>
      </c>
      <c r="BJ17" s="339">
        <v>35</v>
      </c>
      <c r="BK17" s="339" t="s">
        <v>1635</v>
      </c>
      <c r="BL17" s="339">
        <v>1</v>
      </c>
      <c r="BO17" s="339">
        <v>13</v>
      </c>
      <c r="BP17" s="339" t="s">
        <v>1282</v>
      </c>
      <c r="BQ17" s="339">
        <v>52</v>
      </c>
      <c r="BR17" s="339">
        <v>13</v>
      </c>
      <c r="BS17" s="339">
        <v>5</v>
      </c>
      <c r="BT17" s="339">
        <v>5</v>
      </c>
      <c r="BU17" s="339">
        <v>29</v>
      </c>
      <c r="BV17" s="339" t="s">
        <v>1724</v>
      </c>
      <c r="BW17" s="351">
        <v>54</v>
      </c>
      <c r="BX17" s="339">
        <v>45</v>
      </c>
      <c r="BY17" s="339" t="s">
        <v>1725</v>
      </c>
      <c r="BZ17" s="339">
        <v>55</v>
      </c>
      <c r="CA17" s="339" t="s">
        <v>1313</v>
      </c>
      <c r="CB17" s="339">
        <v>2</v>
      </c>
      <c r="CE17" s="339">
        <v>13</v>
      </c>
      <c r="CF17" s="339" t="s">
        <v>332</v>
      </c>
      <c r="CG17" s="339">
        <v>52</v>
      </c>
      <c r="CH17" s="339">
        <v>10</v>
      </c>
      <c r="CI17" s="339">
        <v>7</v>
      </c>
      <c r="CJ17" s="339">
        <v>3</v>
      </c>
      <c r="CK17" s="339">
        <v>32</v>
      </c>
      <c r="CL17" s="339" t="s">
        <v>1816</v>
      </c>
      <c r="CM17" s="351">
        <v>47</v>
      </c>
      <c r="CN17" s="339">
        <v>31</v>
      </c>
      <c r="CO17" s="339" t="s">
        <v>1817</v>
      </c>
      <c r="CP17" s="339">
        <v>43</v>
      </c>
      <c r="CQ17" s="339" t="s">
        <v>1818</v>
      </c>
      <c r="CR17" s="339">
        <v>2</v>
      </c>
      <c r="CU17" s="339">
        <v>13</v>
      </c>
      <c r="CV17" s="339" t="s">
        <v>1262</v>
      </c>
      <c r="CW17" s="339">
        <v>52</v>
      </c>
      <c r="CX17" s="339">
        <v>15</v>
      </c>
      <c r="CY17" s="339">
        <v>3</v>
      </c>
      <c r="CZ17" s="339">
        <v>12</v>
      </c>
      <c r="DA17" s="339">
        <v>22</v>
      </c>
      <c r="DB17" s="339" t="s">
        <v>1910</v>
      </c>
      <c r="DC17" s="351">
        <v>63</v>
      </c>
      <c r="DD17" s="339">
        <v>47</v>
      </c>
      <c r="DE17" s="339" t="s">
        <v>1911</v>
      </c>
      <c r="DF17" s="339">
        <v>52</v>
      </c>
      <c r="DG17" s="339" t="s">
        <v>1912</v>
      </c>
      <c r="DH17" s="339">
        <v>6</v>
      </c>
      <c r="DK17" s="339">
        <v>13</v>
      </c>
      <c r="DL17" s="339" t="s">
        <v>80</v>
      </c>
      <c r="DM17" s="339">
        <v>52</v>
      </c>
      <c r="DN17" s="339">
        <v>14</v>
      </c>
      <c r="DO17" s="339">
        <v>9</v>
      </c>
      <c r="DP17" s="339">
        <v>4</v>
      </c>
      <c r="DQ17" s="339">
        <v>25</v>
      </c>
      <c r="DR17" s="339" t="s">
        <v>2004</v>
      </c>
      <c r="DS17" s="351">
        <v>64</v>
      </c>
      <c r="DT17" s="339">
        <v>43</v>
      </c>
      <c r="DU17" s="339" t="s">
        <v>1407</v>
      </c>
      <c r="DV17" s="339">
        <v>52</v>
      </c>
      <c r="DW17" s="339" t="s">
        <v>2005</v>
      </c>
      <c r="DX17" s="339">
        <v>6</v>
      </c>
      <c r="EA17" s="339">
        <v>13</v>
      </c>
      <c r="EB17" s="339" t="s">
        <v>2089</v>
      </c>
      <c r="EC17" s="339">
        <v>52</v>
      </c>
      <c r="ED17" s="339">
        <v>10</v>
      </c>
      <c r="EE17" s="339">
        <v>3</v>
      </c>
      <c r="EF17" s="339">
        <v>5</v>
      </c>
      <c r="EG17" s="339">
        <v>34</v>
      </c>
      <c r="EH17" s="339" t="s">
        <v>2090</v>
      </c>
      <c r="EI17" s="351">
        <v>35</v>
      </c>
      <c r="EJ17" s="339">
        <v>31</v>
      </c>
      <c r="EK17" s="367">
        <v>33909</v>
      </c>
      <c r="EL17" s="339">
        <v>45</v>
      </c>
      <c r="EM17" s="339" t="s">
        <v>1739</v>
      </c>
      <c r="EN17" s="339">
        <v>4</v>
      </c>
      <c r="EQ17" s="339">
        <v>13</v>
      </c>
      <c r="ER17" s="339" t="s">
        <v>1290</v>
      </c>
      <c r="ES17" s="339">
        <v>52</v>
      </c>
      <c r="ET17" s="339">
        <v>12</v>
      </c>
      <c r="EU17" s="339">
        <v>10</v>
      </c>
      <c r="EV17" s="339">
        <v>6</v>
      </c>
      <c r="EW17" s="339">
        <v>24</v>
      </c>
      <c r="EX17" s="339" t="s">
        <v>2167</v>
      </c>
      <c r="EY17" s="351">
        <v>62</v>
      </c>
      <c r="EZ17" s="339">
        <v>35</v>
      </c>
      <c r="FA17" s="339" t="s">
        <v>1562</v>
      </c>
      <c r="FB17" s="339">
        <v>47</v>
      </c>
      <c r="FC17" s="339" t="s">
        <v>2168</v>
      </c>
      <c r="FD17" s="339">
        <v>5</v>
      </c>
      <c r="FG17" s="339">
        <v>13</v>
      </c>
      <c r="FH17" s="339" t="s">
        <v>2169</v>
      </c>
      <c r="FI17" s="339">
        <v>52</v>
      </c>
      <c r="FJ17" s="339">
        <v>14</v>
      </c>
      <c r="FK17" s="339">
        <v>8</v>
      </c>
      <c r="FL17" s="339">
        <v>8</v>
      </c>
      <c r="FM17" s="339">
        <v>22</v>
      </c>
      <c r="FN17" s="339" t="s">
        <v>2252</v>
      </c>
      <c r="FO17" s="351">
        <v>66</v>
      </c>
      <c r="FP17" s="339">
        <v>40</v>
      </c>
      <c r="FQ17" s="339" t="s">
        <v>2253</v>
      </c>
      <c r="FR17" s="339">
        <v>43</v>
      </c>
      <c r="FS17" s="339" t="s">
        <v>2254</v>
      </c>
      <c r="FT17" s="339">
        <v>2</v>
      </c>
      <c r="FW17" s="339">
        <v>13</v>
      </c>
      <c r="FX17" s="339" t="s">
        <v>1293</v>
      </c>
      <c r="FY17" s="339">
        <v>52</v>
      </c>
      <c r="FZ17" s="339">
        <v>19</v>
      </c>
      <c r="GA17" s="339">
        <v>1</v>
      </c>
      <c r="GB17" s="339">
        <v>4</v>
      </c>
      <c r="GC17" s="339">
        <v>28</v>
      </c>
      <c r="GD17" s="339" t="s">
        <v>2338</v>
      </c>
      <c r="GE17" s="351">
        <v>63</v>
      </c>
      <c r="GF17" s="339">
        <v>52</v>
      </c>
      <c r="GG17" s="339" t="s">
        <v>2150</v>
      </c>
      <c r="GH17" s="339">
        <v>70</v>
      </c>
      <c r="GI17" s="339" t="s">
        <v>1904</v>
      </c>
      <c r="GJ17" s="339">
        <v>5</v>
      </c>
      <c r="GM17" s="339">
        <v>13</v>
      </c>
      <c r="GN17" s="339" t="s">
        <v>2236</v>
      </c>
      <c r="GO17" s="339">
        <v>52</v>
      </c>
      <c r="GP17" s="339">
        <v>20</v>
      </c>
      <c r="GQ17" s="339">
        <v>1</v>
      </c>
      <c r="GR17" s="339">
        <v>1</v>
      </c>
      <c r="GS17" s="339">
        <v>30</v>
      </c>
      <c r="GT17" s="339" t="s">
        <v>2416</v>
      </c>
      <c r="GU17" s="351">
        <v>63</v>
      </c>
      <c r="GV17" s="339">
        <v>60</v>
      </c>
      <c r="GW17" s="339" t="s">
        <v>2020</v>
      </c>
      <c r="GX17" s="339">
        <v>74</v>
      </c>
      <c r="GY17" s="339" t="s">
        <v>2417</v>
      </c>
      <c r="GZ17" s="339">
        <v>11</v>
      </c>
      <c r="HC17" s="339">
        <v>13</v>
      </c>
      <c r="HD17" s="339" t="s">
        <v>2402</v>
      </c>
      <c r="HE17" s="339">
        <v>52</v>
      </c>
      <c r="HF17" s="339">
        <v>12</v>
      </c>
      <c r="HG17" s="339">
        <v>5</v>
      </c>
      <c r="HH17" s="339">
        <v>3</v>
      </c>
      <c r="HI17" s="339">
        <v>4</v>
      </c>
      <c r="HJ17" s="339">
        <v>28</v>
      </c>
      <c r="HK17" s="339" t="s">
        <v>2500</v>
      </c>
      <c r="HL17" s="351">
        <v>53</v>
      </c>
      <c r="HM17" s="339">
        <v>38</v>
      </c>
      <c r="HN17" s="367">
        <v>46357</v>
      </c>
      <c r="HO17" s="339">
        <v>53</v>
      </c>
      <c r="HP17" s="339" t="s">
        <v>2501</v>
      </c>
      <c r="HQ17" s="339">
        <v>6</v>
      </c>
      <c r="HT17" s="339">
        <v>13</v>
      </c>
      <c r="HU17" s="339" t="s">
        <v>1266</v>
      </c>
      <c r="HV17" s="339">
        <v>52</v>
      </c>
      <c r="HW17" s="339">
        <v>10</v>
      </c>
      <c r="HX17" s="339">
        <v>3</v>
      </c>
      <c r="HY17" s="339">
        <v>5</v>
      </c>
      <c r="HZ17" s="339">
        <v>5</v>
      </c>
      <c r="IA17" s="339">
        <v>29</v>
      </c>
      <c r="IB17" s="339" t="s">
        <v>2566</v>
      </c>
      <c r="IC17" s="351">
        <v>46</v>
      </c>
      <c r="ID17" s="339">
        <v>26</v>
      </c>
      <c r="IE17" s="367">
        <v>28065</v>
      </c>
      <c r="IF17" s="339">
        <v>39</v>
      </c>
      <c r="IG17" s="339" t="s">
        <v>2567</v>
      </c>
      <c r="IH17" s="339">
        <v>5</v>
      </c>
      <c r="IK17" s="339">
        <v>13</v>
      </c>
      <c r="IL17" s="339" t="s">
        <v>2418</v>
      </c>
      <c r="IM17" s="339">
        <v>52</v>
      </c>
      <c r="IN17" s="339">
        <v>15</v>
      </c>
      <c r="IO17" s="339">
        <v>4</v>
      </c>
      <c r="IP17" s="339">
        <v>6</v>
      </c>
      <c r="IQ17" s="339">
        <v>1</v>
      </c>
      <c r="IR17" s="339">
        <v>26</v>
      </c>
      <c r="IS17" s="339" t="s">
        <v>2635</v>
      </c>
      <c r="IT17" s="351">
        <v>60</v>
      </c>
      <c r="IU17" s="339">
        <v>45</v>
      </c>
      <c r="IV17" s="339" t="s">
        <v>1682</v>
      </c>
      <c r="IW17" s="339">
        <v>39</v>
      </c>
      <c r="IX17" s="339" t="s">
        <v>2636</v>
      </c>
      <c r="IY17" s="339">
        <v>5</v>
      </c>
      <c r="JB17" s="339">
        <v>13</v>
      </c>
      <c r="JC17" s="339" t="s">
        <v>1293</v>
      </c>
      <c r="JD17" s="339">
        <v>52</v>
      </c>
      <c r="JE17" s="339">
        <v>15</v>
      </c>
      <c r="JF17" s="339">
        <v>1</v>
      </c>
      <c r="JG17" s="339">
        <v>4</v>
      </c>
      <c r="JH17" s="339">
        <v>5</v>
      </c>
      <c r="JI17" s="339">
        <v>27</v>
      </c>
      <c r="JJ17" s="339" t="s">
        <v>2714</v>
      </c>
      <c r="JK17" s="351">
        <v>56</v>
      </c>
      <c r="JL17" s="339">
        <v>49</v>
      </c>
      <c r="JM17" s="366">
        <v>43697</v>
      </c>
      <c r="JN17" s="339">
        <v>34</v>
      </c>
      <c r="JO17" s="339" t="s">
        <v>2334</v>
      </c>
      <c r="JP17" s="339">
        <v>8</v>
      </c>
      <c r="JS17" s="339">
        <v>13</v>
      </c>
      <c r="JT17" s="339" t="s">
        <v>2412</v>
      </c>
      <c r="JU17" s="339">
        <v>52</v>
      </c>
      <c r="JV17" s="339">
        <v>16</v>
      </c>
      <c r="JW17" s="339">
        <v>0</v>
      </c>
      <c r="JX17" s="339">
        <v>3</v>
      </c>
      <c r="JY17" s="339">
        <v>4</v>
      </c>
      <c r="JZ17" s="339">
        <v>29</v>
      </c>
      <c r="KA17" s="339" t="s">
        <v>2769</v>
      </c>
      <c r="KB17" s="351">
        <v>55</v>
      </c>
      <c r="KC17" s="339">
        <v>0</v>
      </c>
      <c r="KD17" s="339" t="s">
        <v>78</v>
      </c>
      <c r="KE17" s="339">
        <v>0</v>
      </c>
      <c r="KF17" s="339" t="s">
        <v>2757</v>
      </c>
      <c r="KG17" s="339">
        <v>0</v>
      </c>
      <c r="KJ17" s="339">
        <v>13</v>
      </c>
      <c r="KK17" s="339" t="s">
        <v>2715</v>
      </c>
      <c r="KL17" s="339">
        <v>52</v>
      </c>
      <c r="KM17" s="339">
        <v>17</v>
      </c>
      <c r="KN17" s="339">
        <v>3</v>
      </c>
      <c r="KO17" s="339">
        <v>3</v>
      </c>
      <c r="KP17" s="339">
        <v>2</v>
      </c>
      <c r="KQ17" s="339">
        <v>27</v>
      </c>
      <c r="KR17" s="339" t="s">
        <v>2803</v>
      </c>
      <c r="KS17" s="351">
        <v>62</v>
      </c>
      <c r="KT17" s="339">
        <v>0</v>
      </c>
      <c r="KU17" s="339" t="s">
        <v>78</v>
      </c>
      <c r="KV17" s="339">
        <v>0</v>
      </c>
      <c r="KW17" s="339" t="s">
        <v>2757</v>
      </c>
      <c r="KX17" s="339">
        <v>0</v>
      </c>
      <c r="LA17" s="339">
        <v>13</v>
      </c>
      <c r="LB17" s="339" t="s">
        <v>2715</v>
      </c>
      <c r="LC17" s="339">
        <v>52</v>
      </c>
      <c r="LD17" s="339">
        <v>14</v>
      </c>
      <c r="LE17" s="339">
        <v>0</v>
      </c>
      <c r="LF17" s="339">
        <v>10</v>
      </c>
      <c r="LG17" s="339">
        <v>0</v>
      </c>
      <c r="LH17" s="339">
        <v>28</v>
      </c>
      <c r="LI17" s="339" t="s">
        <v>2840</v>
      </c>
      <c r="LJ17" s="351">
        <v>38</v>
      </c>
      <c r="LK17" s="339">
        <v>0</v>
      </c>
      <c r="LL17" s="339" t="s">
        <v>78</v>
      </c>
      <c r="LM17" s="339">
        <v>0</v>
      </c>
      <c r="LN17" s="339" t="s">
        <v>2757</v>
      </c>
      <c r="LO17" s="339">
        <v>0</v>
      </c>
      <c r="LR17" s="339">
        <v>13</v>
      </c>
      <c r="LS17" s="339" t="s">
        <v>2089</v>
      </c>
      <c r="LT17" s="339">
        <v>52</v>
      </c>
      <c r="LU17" s="339">
        <v>11</v>
      </c>
      <c r="LV17" s="339">
        <v>0</v>
      </c>
      <c r="LW17" s="339">
        <v>15</v>
      </c>
      <c r="LX17" s="339">
        <v>0</v>
      </c>
      <c r="LY17" s="339">
        <v>26</v>
      </c>
      <c r="LZ17" s="339" t="s">
        <v>2886</v>
      </c>
      <c r="MA17" s="351">
        <v>37</v>
      </c>
      <c r="MB17" s="339">
        <v>29</v>
      </c>
      <c r="MC17" s="339" t="s">
        <v>2270</v>
      </c>
      <c r="MD17" s="339">
        <v>34</v>
      </c>
      <c r="ME17" s="339" t="s">
        <v>2887</v>
      </c>
      <c r="MF17" s="339">
        <v>4</v>
      </c>
    </row>
    <row r="18" spans="2:344" ht="69.599999999999994" thickBot="1" x14ac:dyDescent="0.35">
      <c r="B18" s="339">
        <v>14</v>
      </c>
      <c r="C18" s="339" t="s">
        <v>1311</v>
      </c>
      <c r="D18" s="339">
        <v>52</v>
      </c>
      <c r="E18" s="339">
        <v>9</v>
      </c>
      <c r="F18" s="339">
        <v>2</v>
      </c>
      <c r="G18" s="339"/>
      <c r="H18" s="339">
        <v>5</v>
      </c>
      <c r="I18" s="339">
        <v>36</v>
      </c>
      <c r="J18" s="339" t="s">
        <v>1312</v>
      </c>
      <c r="K18" s="351">
        <v>36</v>
      </c>
      <c r="L18" s="339">
        <v>26</v>
      </c>
      <c r="M18" s="367">
        <v>34274</v>
      </c>
      <c r="N18" s="339">
        <v>44</v>
      </c>
      <c r="O18" s="339" t="s">
        <v>1313</v>
      </c>
      <c r="P18" s="339">
        <v>3</v>
      </c>
      <c r="Q18" s="342"/>
      <c r="S18" s="339">
        <v>14</v>
      </c>
      <c r="T18" s="339" t="s">
        <v>80</v>
      </c>
      <c r="U18" s="339">
        <v>52</v>
      </c>
      <c r="V18" s="339">
        <v>10</v>
      </c>
      <c r="W18" s="339">
        <v>7</v>
      </c>
      <c r="X18" s="339">
        <v>6</v>
      </c>
      <c r="Y18" s="339">
        <v>29</v>
      </c>
      <c r="Z18" s="339" t="s">
        <v>807</v>
      </c>
      <c r="AA18" s="351">
        <v>50</v>
      </c>
      <c r="AB18" s="339">
        <v>34</v>
      </c>
      <c r="AC18" s="339" t="s">
        <v>1436</v>
      </c>
      <c r="AD18" s="339">
        <v>50</v>
      </c>
      <c r="AE18" s="339" t="s">
        <v>1437</v>
      </c>
      <c r="AF18" s="339">
        <v>5</v>
      </c>
      <c r="AI18" s="339">
        <v>14</v>
      </c>
      <c r="AJ18" s="339" t="s">
        <v>1311</v>
      </c>
      <c r="AK18" s="339">
        <v>52</v>
      </c>
      <c r="AL18" s="339">
        <v>9</v>
      </c>
      <c r="AM18" s="339">
        <v>6</v>
      </c>
      <c r="AN18" s="339">
        <v>5</v>
      </c>
      <c r="AO18" s="339">
        <v>32</v>
      </c>
      <c r="AP18" s="339" t="s">
        <v>1524</v>
      </c>
      <c r="AQ18" s="351">
        <v>44</v>
      </c>
      <c r="AR18" s="339">
        <v>36</v>
      </c>
      <c r="AS18" s="339" t="s">
        <v>1525</v>
      </c>
      <c r="AT18" s="339">
        <v>39</v>
      </c>
      <c r="AU18" s="339" t="s">
        <v>1526</v>
      </c>
      <c r="AV18" s="339">
        <v>5</v>
      </c>
      <c r="AY18" s="339">
        <v>14</v>
      </c>
      <c r="AZ18" s="339" t="s">
        <v>1303</v>
      </c>
      <c r="BA18" s="339">
        <v>52</v>
      </c>
      <c r="BB18" s="339">
        <v>13</v>
      </c>
      <c r="BC18" s="339">
        <v>3</v>
      </c>
      <c r="BD18" s="339">
        <v>2</v>
      </c>
      <c r="BE18" s="339">
        <v>34</v>
      </c>
      <c r="BF18" s="339" t="s">
        <v>1636</v>
      </c>
      <c r="BG18" s="351">
        <v>47</v>
      </c>
      <c r="BH18" s="339">
        <v>31</v>
      </c>
      <c r="BI18" s="339" t="s">
        <v>1637</v>
      </c>
      <c r="BJ18" s="339">
        <v>49</v>
      </c>
      <c r="BK18" s="339" t="s">
        <v>1638</v>
      </c>
      <c r="BL18" s="339">
        <v>3</v>
      </c>
      <c r="BO18" s="339">
        <v>14</v>
      </c>
      <c r="BP18" s="339" t="s">
        <v>1591</v>
      </c>
      <c r="BQ18" s="339">
        <v>52</v>
      </c>
      <c r="BR18" s="339">
        <v>12</v>
      </c>
      <c r="BS18" s="339">
        <v>3</v>
      </c>
      <c r="BT18" s="339">
        <v>2</v>
      </c>
      <c r="BU18" s="339">
        <v>35</v>
      </c>
      <c r="BV18" s="339" t="s">
        <v>1726</v>
      </c>
      <c r="BW18" s="351">
        <v>44</v>
      </c>
      <c r="BX18" s="339">
        <v>36</v>
      </c>
      <c r="BY18" s="339" t="s">
        <v>1727</v>
      </c>
      <c r="BZ18" s="339">
        <v>67</v>
      </c>
      <c r="CA18" s="339" t="s">
        <v>1728</v>
      </c>
      <c r="CB18" s="339">
        <v>5</v>
      </c>
      <c r="CE18" s="339">
        <v>14</v>
      </c>
      <c r="CF18" s="339" t="s">
        <v>1307</v>
      </c>
      <c r="CG18" s="339">
        <v>52</v>
      </c>
      <c r="CH18" s="339">
        <v>6</v>
      </c>
      <c r="CI18" s="339">
        <v>0</v>
      </c>
      <c r="CJ18" s="339">
        <v>9</v>
      </c>
      <c r="CK18" s="339">
        <v>37</v>
      </c>
      <c r="CL18" s="339" t="s">
        <v>1819</v>
      </c>
      <c r="CM18" s="351">
        <v>27</v>
      </c>
      <c r="CN18" s="339">
        <v>35</v>
      </c>
      <c r="CO18" s="339" t="s">
        <v>1554</v>
      </c>
      <c r="CP18" s="339">
        <v>56</v>
      </c>
      <c r="CQ18" s="339" t="s">
        <v>1820</v>
      </c>
      <c r="CR18" s="339">
        <v>3</v>
      </c>
      <c r="CU18" s="339">
        <v>14</v>
      </c>
      <c r="CV18" s="339" t="s">
        <v>1307</v>
      </c>
      <c r="CW18" s="339">
        <v>52</v>
      </c>
      <c r="CX18" s="339">
        <v>11</v>
      </c>
      <c r="CY18" s="339">
        <v>10</v>
      </c>
      <c r="CZ18" s="339">
        <v>4</v>
      </c>
      <c r="DA18" s="339">
        <v>27</v>
      </c>
      <c r="DB18" s="339" t="s">
        <v>1913</v>
      </c>
      <c r="DC18" s="351">
        <v>57</v>
      </c>
      <c r="DD18" s="339">
        <v>36</v>
      </c>
      <c r="DE18" s="366">
        <v>43631</v>
      </c>
      <c r="DF18" s="339">
        <v>53</v>
      </c>
      <c r="DG18" s="339" t="s">
        <v>1914</v>
      </c>
      <c r="DH18" s="339">
        <v>2</v>
      </c>
      <c r="DK18" s="339">
        <v>14</v>
      </c>
      <c r="DL18" s="339" t="s">
        <v>1290</v>
      </c>
      <c r="DM18" s="339">
        <v>52</v>
      </c>
      <c r="DN18" s="339">
        <v>16</v>
      </c>
      <c r="DO18" s="339">
        <v>4</v>
      </c>
      <c r="DP18" s="339">
        <v>5</v>
      </c>
      <c r="DQ18" s="339">
        <v>27</v>
      </c>
      <c r="DR18" s="339" t="s">
        <v>2006</v>
      </c>
      <c r="DS18" s="351">
        <v>61</v>
      </c>
      <c r="DT18" s="339">
        <v>42</v>
      </c>
      <c r="DU18" s="339" t="s">
        <v>1682</v>
      </c>
      <c r="DV18" s="339">
        <v>49</v>
      </c>
      <c r="DW18" s="339" t="s">
        <v>2007</v>
      </c>
      <c r="DX18" s="339">
        <v>3</v>
      </c>
      <c r="EA18" s="339">
        <v>14</v>
      </c>
      <c r="EB18" s="339" t="s">
        <v>1290</v>
      </c>
      <c r="EC18" s="339">
        <v>52</v>
      </c>
      <c r="ED18" s="339">
        <v>14</v>
      </c>
      <c r="EE18" s="339">
        <v>4</v>
      </c>
      <c r="EF18" s="339">
        <v>5</v>
      </c>
      <c r="EG18" s="339">
        <v>29</v>
      </c>
      <c r="EH18" s="339" t="s">
        <v>2091</v>
      </c>
      <c r="EI18" s="351">
        <v>33</v>
      </c>
      <c r="EJ18" s="339">
        <v>29</v>
      </c>
      <c r="EK18" s="367">
        <v>14580</v>
      </c>
      <c r="EL18" s="339">
        <v>46</v>
      </c>
      <c r="EM18" s="339" t="s">
        <v>1778</v>
      </c>
      <c r="EN18" s="339">
        <v>6</v>
      </c>
      <c r="EQ18" s="339">
        <v>14</v>
      </c>
      <c r="ER18" s="339" t="s">
        <v>2169</v>
      </c>
      <c r="ES18" s="339">
        <v>52</v>
      </c>
      <c r="ET18" s="339">
        <v>15</v>
      </c>
      <c r="EU18" s="339">
        <v>4</v>
      </c>
      <c r="EV18" s="339">
        <v>5</v>
      </c>
      <c r="EW18" s="339">
        <v>28</v>
      </c>
      <c r="EX18" s="339" t="s">
        <v>2170</v>
      </c>
      <c r="EY18" s="351">
        <v>58</v>
      </c>
      <c r="EZ18" s="339">
        <v>32</v>
      </c>
      <c r="FA18" s="366">
        <v>43811</v>
      </c>
      <c r="FB18" s="339">
        <v>35</v>
      </c>
      <c r="FC18" s="339" t="s">
        <v>2171</v>
      </c>
      <c r="FD18" s="339">
        <v>3</v>
      </c>
      <c r="FG18" s="339">
        <v>14</v>
      </c>
      <c r="FH18" s="339" t="s">
        <v>1290</v>
      </c>
      <c r="FI18" s="339">
        <v>52</v>
      </c>
      <c r="FJ18" s="339">
        <v>15</v>
      </c>
      <c r="FK18" s="339">
        <v>5</v>
      </c>
      <c r="FL18" s="339">
        <v>4</v>
      </c>
      <c r="FM18" s="339">
        <v>28</v>
      </c>
      <c r="FN18" s="339" t="s">
        <v>2255</v>
      </c>
      <c r="FO18" s="351">
        <v>59</v>
      </c>
      <c r="FP18" s="339">
        <v>40</v>
      </c>
      <c r="FQ18" s="339" t="s">
        <v>2131</v>
      </c>
      <c r="FR18" s="339">
        <v>57</v>
      </c>
      <c r="FS18" s="339" t="s">
        <v>2256</v>
      </c>
      <c r="FT18" s="339">
        <v>4</v>
      </c>
      <c r="FW18" s="339">
        <v>14</v>
      </c>
      <c r="FX18" s="339" t="s">
        <v>2339</v>
      </c>
      <c r="FY18" s="339">
        <v>52</v>
      </c>
      <c r="FZ18" s="339">
        <v>6</v>
      </c>
      <c r="GA18" s="339">
        <v>7</v>
      </c>
      <c r="GB18" s="339">
        <v>8</v>
      </c>
      <c r="GC18" s="339">
        <v>31</v>
      </c>
      <c r="GD18" s="339" t="s">
        <v>2340</v>
      </c>
      <c r="GE18" s="351">
        <v>40</v>
      </c>
      <c r="GF18" s="339">
        <v>46</v>
      </c>
      <c r="GG18" s="339" t="s">
        <v>2341</v>
      </c>
      <c r="GH18" s="339">
        <v>83</v>
      </c>
      <c r="GI18" s="339" t="s">
        <v>2342</v>
      </c>
      <c r="GJ18" s="339">
        <v>13</v>
      </c>
      <c r="GM18" s="339">
        <v>14</v>
      </c>
      <c r="GN18" s="339" t="s">
        <v>2418</v>
      </c>
      <c r="GO18" s="339">
        <v>52</v>
      </c>
      <c r="GP18" s="339">
        <v>8</v>
      </c>
      <c r="GQ18" s="339">
        <v>3</v>
      </c>
      <c r="GR18" s="339">
        <v>4</v>
      </c>
      <c r="GS18" s="339">
        <v>37</v>
      </c>
      <c r="GT18" s="339" t="s">
        <v>2419</v>
      </c>
      <c r="GU18" s="351">
        <v>34</v>
      </c>
      <c r="GV18" s="339">
        <v>41</v>
      </c>
      <c r="GW18" s="367">
        <v>44136</v>
      </c>
      <c r="GX18" s="339">
        <v>62</v>
      </c>
      <c r="GY18" s="339" t="s">
        <v>2420</v>
      </c>
      <c r="GZ18" s="339">
        <v>4</v>
      </c>
      <c r="HC18" s="339">
        <v>14</v>
      </c>
      <c r="HD18" s="339" t="s">
        <v>2418</v>
      </c>
      <c r="HE18" s="339">
        <v>52</v>
      </c>
      <c r="HF18" s="339">
        <v>6</v>
      </c>
      <c r="HG18" s="339">
        <v>1</v>
      </c>
      <c r="HH18" s="339">
        <v>9</v>
      </c>
      <c r="HI18" s="339">
        <v>3</v>
      </c>
      <c r="HJ18" s="339">
        <v>33</v>
      </c>
      <c r="HK18" s="339" t="s">
        <v>2502</v>
      </c>
      <c r="HL18" s="351">
        <v>32</v>
      </c>
      <c r="HM18" s="339">
        <v>28</v>
      </c>
      <c r="HN18" s="367">
        <v>43344</v>
      </c>
      <c r="HO18" s="339">
        <v>44</v>
      </c>
      <c r="HP18" s="339" t="s">
        <v>2248</v>
      </c>
      <c r="HQ18" s="339">
        <v>1</v>
      </c>
      <c r="HT18" s="339">
        <v>14</v>
      </c>
      <c r="HU18" s="339" t="s">
        <v>1386</v>
      </c>
      <c r="HV18" s="339">
        <v>52</v>
      </c>
      <c r="HW18" s="339">
        <v>6</v>
      </c>
      <c r="HX18" s="339">
        <v>0</v>
      </c>
      <c r="HY18" s="339">
        <v>5</v>
      </c>
      <c r="HZ18" s="339">
        <v>1</v>
      </c>
      <c r="IA18" s="339">
        <v>40</v>
      </c>
      <c r="IB18" s="339" t="s">
        <v>2568</v>
      </c>
      <c r="IC18" s="351">
        <v>24</v>
      </c>
      <c r="ID18" s="339">
        <v>23</v>
      </c>
      <c r="IE18" s="367">
        <v>33482</v>
      </c>
      <c r="IF18" s="339">
        <v>42</v>
      </c>
      <c r="IG18" s="339" t="s">
        <v>2569</v>
      </c>
      <c r="IH18" s="339">
        <v>4</v>
      </c>
      <c r="IK18" s="339">
        <v>14</v>
      </c>
      <c r="IL18" s="339" t="s">
        <v>2490</v>
      </c>
      <c r="IM18" s="339">
        <v>52</v>
      </c>
      <c r="IN18" s="339">
        <v>13</v>
      </c>
      <c r="IO18" s="339">
        <v>1</v>
      </c>
      <c r="IP18" s="339">
        <v>4</v>
      </c>
      <c r="IQ18" s="339">
        <v>2</v>
      </c>
      <c r="IR18" s="339">
        <v>32</v>
      </c>
      <c r="IS18" s="339" t="s">
        <v>2637</v>
      </c>
      <c r="IT18" s="351">
        <v>47</v>
      </c>
      <c r="IU18" s="339">
        <v>30</v>
      </c>
      <c r="IV18" s="339" t="s">
        <v>2638</v>
      </c>
      <c r="IW18" s="339">
        <v>34</v>
      </c>
      <c r="IX18" s="339" t="s">
        <v>2329</v>
      </c>
      <c r="IY18" s="339">
        <v>4</v>
      </c>
      <c r="JB18" s="339">
        <v>14</v>
      </c>
      <c r="JC18" s="339" t="s">
        <v>2715</v>
      </c>
      <c r="JD18" s="339">
        <v>52</v>
      </c>
      <c r="JE18" s="339">
        <v>4</v>
      </c>
      <c r="JF18" s="339">
        <v>2</v>
      </c>
      <c r="JG18" s="339">
        <v>3</v>
      </c>
      <c r="JH18" s="339">
        <v>1</v>
      </c>
      <c r="JI18" s="339">
        <v>42</v>
      </c>
      <c r="JJ18" s="339" t="s">
        <v>2716</v>
      </c>
      <c r="JK18" s="351">
        <v>20</v>
      </c>
      <c r="JL18" s="339">
        <v>22</v>
      </c>
      <c r="JM18" s="367">
        <v>45200</v>
      </c>
      <c r="JN18" s="339">
        <v>59</v>
      </c>
      <c r="JO18" s="339" t="s">
        <v>2307</v>
      </c>
      <c r="JP18" s="339">
        <v>4</v>
      </c>
      <c r="JS18" s="339">
        <v>14</v>
      </c>
      <c r="JT18" s="339" t="s">
        <v>2089</v>
      </c>
      <c r="JU18" s="339">
        <v>52</v>
      </c>
      <c r="JV18" s="339">
        <v>10</v>
      </c>
      <c r="JW18" s="339">
        <v>4</v>
      </c>
      <c r="JX18" s="339">
        <v>9</v>
      </c>
      <c r="JY18" s="339">
        <v>2</v>
      </c>
      <c r="JZ18" s="339">
        <v>27</v>
      </c>
      <c r="KA18" s="339" t="s">
        <v>2770</v>
      </c>
      <c r="KB18" s="351">
        <v>49</v>
      </c>
      <c r="KC18" s="339">
        <v>0</v>
      </c>
      <c r="KD18" s="339" t="s">
        <v>78</v>
      </c>
      <c r="KE18" s="339">
        <v>0</v>
      </c>
      <c r="KF18" s="339" t="s">
        <v>2757</v>
      </c>
      <c r="KG18" s="339">
        <v>0</v>
      </c>
      <c r="KJ18" s="339">
        <v>14</v>
      </c>
      <c r="KK18" s="339" t="s">
        <v>1303</v>
      </c>
      <c r="KL18" s="339">
        <v>52</v>
      </c>
      <c r="KM18" s="339">
        <v>13</v>
      </c>
      <c r="KN18" s="339">
        <v>2</v>
      </c>
      <c r="KO18" s="339">
        <v>3</v>
      </c>
      <c r="KP18" s="339">
        <v>3</v>
      </c>
      <c r="KQ18" s="339">
        <v>31</v>
      </c>
      <c r="KR18" s="339" t="s">
        <v>2804</v>
      </c>
      <c r="KS18" s="351">
        <v>49</v>
      </c>
      <c r="KT18" s="339">
        <v>0</v>
      </c>
      <c r="KU18" s="339" t="s">
        <v>78</v>
      </c>
      <c r="KV18" s="339">
        <v>0</v>
      </c>
      <c r="KW18" s="339" t="s">
        <v>2757</v>
      </c>
      <c r="KX18" s="339">
        <v>0</v>
      </c>
      <c r="LA18" s="339">
        <v>14</v>
      </c>
      <c r="LB18" s="339" t="s">
        <v>1286</v>
      </c>
      <c r="LC18" s="339">
        <v>52</v>
      </c>
      <c r="LD18" s="339">
        <v>10</v>
      </c>
      <c r="LE18" s="339">
        <v>0</v>
      </c>
      <c r="LF18" s="339">
        <v>14</v>
      </c>
      <c r="LG18" s="339">
        <v>0</v>
      </c>
      <c r="LH18" s="339">
        <v>28</v>
      </c>
      <c r="LI18" s="339" t="s">
        <v>2841</v>
      </c>
      <c r="LJ18" s="351">
        <v>34</v>
      </c>
      <c r="LK18" s="339">
        <v>0</v>
      </c>
      <c r="LL18" s="339" t="s">
        <v>78</v>
      </c>
      <c r="LM18" s="339">
        <v>0</v>
      </c>
      <c r="LN18" s="339" t="s">
        <v>2757</v>
      </c>
      <c r="LO18" s="339">
        <v>0</v>
      </c>
      <c r="LR18" s="339">
        <v>14</v>
      </c>
      <c r="LS18" s="339" t="s">
        <v>1386</v>
      </c>
      <c r="LT18" s="339">
        <v>52</v>
      </c>
      <c r="LU18" s="339">
        <v>7</v>
      </c>
      <c r="LV18" s="339">
        <v>0</v>
      </c>
      <c r="LW18" s="339">
        <v>11</v>
      </c>
      <c r="LX18" s="339">
        <v>0</v>
      </c>
      <c r="LY18" s="339">
        <v>34</v>
      </c>
      <c r="LZ18" s="339" t="s">
        <v>2888</v>
      </c>
      <c r="MA18" s="351">
        <v>25</v>
      </c>
      <c r="MB18" s="339">
        <v>19</v>
      </c>
      <c r="MC18" s="367">
        <v>16346</v>
      </c>
      <c r="MD18" s="339">
        <v>49</v>
      </c>
      <c r="ME18" s="339" t="s">
        <v>2889</v>
      </c>
      <c r="MF18" s="339">
        <v>2</v>
      </c>
    </row>
    <row r="19" spans="2:344" ht="19.2" thickBot="1" x14ac:dyDescent="0.35">
      <c r="B19" s="363" t="s">
        <v>1314</v>
      </c>
      <c r="S19" s="363" t="s">
        <v>1314</v>
      </c>
      <c r="AI19" s="363" t="s">
        <v>1314</v>
      </c>
      <c r="AY19" s="363" t="s">
        <v>1314</v>
      </c>
      <c r="BO19" s="363" t="s">
        <v>1314</v>
      </c>
      <c r="CE19" s="363" t="s">
        <v>1314</v>
      </c>
      <c r="CU19" s="363" t="s">
        <v>1314</v>
      </c>
      <c r="DK19" s="363" t="s">
        <v>1314</v>
      </c>
      <c r="EA19" s="363" t="s">
        <v>1314</v>
      </c>
      <c r="EQ19" s="363" t="s">
        <v>2172</v>
      </c>
      <c r="FG19" s="363" t="s">
        <v>2172</v>
      </c>
      <c r="FW19" s="363" t="s">
        <v>2172</v>
      </c>
      <c r="GM19" s="363" t="s">
        <v>2172</v>
      </c>
      <c r="HC19" s="363" t="s">
        <v>1314</v>
      </c>
      <c r="HT19" s="363" t="s">
        <v>1314</v>
      </c>
      <c r="IK19" s="363" t="s">
        <v>1314</v>
      </c>
      <c r="JB19" s="363" t="s">
        <v>2717</v>
      </c>
      <c r="JS19" s="363" t="s">
        <v>2717</v>
      </c>
      <c r="KJ19" s="363" t="s">
        <v>2717</v>
      </c>
      <c r="LA19" s="363" t="s">
        <v>2717</v>
      </c>
      <c r="LR19" s="363" t="s">
        <v>2717</v>
      </c>
    </row>
    <row r="20" spans="2:344" ht="15.6" thickTop="1" thickBot="1" x14ac:dyDescent="0.35">
      <c r="B20" s="357" t="s">
        <v>1254</v>
      </c>
      <c r="C20" s="357" t="s">
        <v>813</v>
      </c>
      <c r="D20" s="357" t="s">
        <v>1255</v>
      </c>
      <c r="E20" s="357" t="s">
        <v>16</v>
      </c>
      <c r="F20" s="357" t="s">
        <v>793</v>
      </c>
      <c r="G20" s="357"/>
      <c r="H20" s="357" t="s">
        <v>794</v>
      </c>
      <c r="I20" s="357" t="s">
        <v>743</v>
      </c>
      <c r="J20" s="357" t="s">
        <v>795</v>
      </c>
      <c r="K20" s="365" t="s">
        <v>1256</v>
      </c>
      <c r="L20" s="357" t="s">
        <v>1257</v>
      </c>
      <c r="M20" s="357" t="s">
        <v>1258</v>
      </c>
      <c r="N20" s="357" t="s">
        <v>1259</v>
      </c>
      <c r="O20" s="357" t="s">
        <v>1260</v>
      </c>
      <c r="P20" s="357" t="s">
        <v>1261</v>
      </c>
      <c r="Q20" s="358"/>
      <c r="S20" s="357" t="s">
        <v>1254</v>
      </c>
      <c r="T20" s="357" t="s">
        <v>813</v>
      </c>
      <c r="U20" s="357" t="s">
        <v>1255</v>
      </c>
      <c r="V20" s="357" t="s">
        <v>16</v>
      </c>
      <c r="W20" s="357" t="s">
        <v>793</v>
      </c>
      <c r="X20" s="357" t="s">
        <v>794</v>
      </c>
      <c r="Y20" s="357" t="s">
        <v>743</v>
      </c>
      <c r="Z20" s="357" t="s">
        <v>795</v>
      </c>
      <c r="AA20" s="365" t="s">
        <v>1256</v>
      </c>
      <c r="AB20" s="357" t="s">
        <v>1257</v>
      </c>
      <c r="AC20" s="357" t="s">
        <v>1258</v>
      </c>
      <c r="AD20" s="357" t="s">
        <v>1259</v>
      </c>
      <c r="AE20" s="357" t="s">
        <v>1260</v>
      </c>
      <c r="AF20" s="357" t="s">
        <v>1261</v>
      </c>
      <c r="AI20" s="357" t="s">
        <v>1254</v>
      </c>
      <c r="AJ20" s="357" t="s">
        <v>813</v>
      </c>
      <c r="AK20" s="357" t="s">
        <v>1255</v>
      </c>
      <c r="AL20" s="357" t="s">
        <v>16</v>
      </c>
      <c r="AM20" s="357" t="s">
        <v>793</v>
      </c>
      <c r="AN20" s="357" t="s">
        <v>794</v>
      </c>
      <c r="AO20" s="357" t="s">
        <v>743</v>
      </c>
      <c r="AP20" s="357" t="s">
        <v>795</v>
      </c>
      <c r="AQ20" s="365" t="s">
        <v>1256</v>
      </c>
      <c r="AR20" s="357" t="s">
        <v>1257</v>
      </c>
      <c r="AS20" s="357" t="s">
        <v>1258</v>
      </c>
      <c r="AT20" s="357" t="s">
        <v>1259</v>
      </c>
      <c r="AU20" s="357" t="s">
        <v>1260</v>
      </c>
      <c r="AV20" s="357" t="s">
        <v>1261</v>
      </c>
      <c r="AY20" s="357" t="s">
        <v>1254</v>
      </c>
      <c r="AZ20" s="357" t="s">
        <v>813</v>
      </c>
      <c r="BA20" s="357" t="s">
        <v>1255</v>
      </c>
      <c r="BB20" s="357" t="s">
        <v>16</v>
      </c>
      <c r="BC20" s="357" t="s">
        <v>793</v>
      </c>
      <c r="BD20" s="357" t="s">
        <v>794</v>
      </c>
      <c r="BE20" s="357" t="s">
        <v>743</v>
      </c>
      <c r="BF20" s="357" t="s">
        <v>795</v>
      </c>
      <c r="BG20" s="365" t="s">
        <v>1256</v>
      </c>
      <c r="BH20" s="357" t="s">
        <v>1257</v>
      </c>
      <c r="BI20" s="357" t="s">
        <v>1258</v>
      </c>
      <c r="BJ20" s="357" t="s">
        <v>1259</v>
      </c>
      <c r="BK20" s="357" t="s">
        <v>1260</v>
      </c>
      <c r="BL20" s="357" t="s">
        <v>1261</v>
      </c>
      <c r="BO20" s="357" t="s">
        <v>1254</v>
      </c>
      <c r="BP20" s="357" t="s">
        <v>813</v>
      </c>
      <c r="BQ20" s="357" t="s">
        <v>1255</v>
      </c>
      <c r="BR20" s="357" t="s">
        <v>16</v>
      </c>
      <c r="BS20" s="357" t="s">
        <v>793</v>
      </c>
      <c r="BT20" s="357" t="s">
        <v>794</v>
      </c>
      <c r="BU20" s="357" t="s">
        <v>743</v>
      </c>
      <c r="BV20" s="357" t="s">
        <v>795</v>
      </c>
      <c r="BW20" s="365" t="s">
        <v>1256</v>
      </c>
      <c r="BX20" s="357" t="s">
        <v>1257</v>
      </c>
      <c r="BY20" s="357" t="s">
        <v>1258</v>
      </c>
      <c r="BZ20" s="357" t="s">
        <v>1259</v>
      </c>
      <c r="CA20" s="357" t="s">
        <v>1260</v>
      </c>
      <c r="CB20" s="357" t="s">
        <v>1261</v>
      </c>
      <c r="CE20" s="357" t="s">
        <v>1254</v>
      </c>
      <c r="CF20" s="357" t="s">
        <v>813</v>
      </c>
      <c r="CG20" s="357" t="s">
        <v>1255</v>
      </c>
      <c r="CH20" s="357" t="s">
        <v>16</v>
      </c>
      <c r="CI20" s="357" t="s">
        <v>793</v>
      </c>
      <c r="CJ20" s="357" t="s">
        <v>794</v>
      </c>
      <c r="CK20" s="357" t="s">
        <v>743</v>
      </c>
      <c r="CL20" s="357" t="s">
        <v>795</v>
      </c>
      <c r="CM20" s="365" t="s">
        <v>1256</v>
      </c>
      <c r="CN20" s="357" t="s">
        <v>1257</v>
      </c>
      <c r="CO20" s="357" t="s">
        <v>1258</v>
      </c>
      <c r="CP20" s="357" t="s">
        <v>1259</v>
      </c>
      <c r="CQ20" s="357" t="s">
        <v>1260</v>
      </c>
      <c r="CR20" s="357" t="s">
        <v>1261</v>
      </c>
      <c r="CU20" s="357" t="s">
        <v>1254</v>
      </c>
      <c r="CV20" s="357" t="s">
        <v>813</v>
      </c>
      <c r="CW20" s="357" t="s">
        <v>1255</v>
      </c>
      <c r="CX20" s="357" t="s">
        <v>16</v>
      </c>
      <c r="CY20" s="357" t="s">
        <v>793</v>
      </c>
      <c r="CZ20" s="357" t="s">
        <v>794</v>
      </c>
      <c r="DA20" s="357" t="s">
        <v>743</v>
      </c>
      <c r="DB20" s="357" t="s">
        <v>795</v>
      </c>
      <c r="DC20" s="365" t="s">
        <v>1256</v>
      </c>
      <c r="DD20" s="357" t="s">
        <v>1257</v>
      </c>
      <c r="DE20" s="357" t="s">
        <v>1258</v>
      </c>
      <c r="DF20" s="357" t="s">
        <v>1259</v>
      </c>
      <c r="DG20" s="357" t="s">
        <v>1260</v>
      </c>
      <c r="DH20" s="357" t="s">
        <v>1261</v>
      </c>
      <c r="DK20" s="357" t="s">
        <v>1254</v>
      </c>
      <c r="DL20" s="357" t="s">
        <v>813</v>
      </c>
      <c r="DM20" s="357" t="s">
        <v>1255</v>
      </c>
      <c r="DN20" s="357" t="s">
        <v>16</v>
      </c>
      <c r="DO20" s="357" t="s">
        <v>793</v>
      </c>
      <c r="DP20" s="357" t="s">
        <v>794</v>
      </c>
      <c r="DQ20" s="357" t="s">
        <v>743</v>
      </c>
      <c r="DR20" s="357" t="s">
        <v>795</v>
      </c>
      <c r="DS20" s="365" t="s">
        <v>1256</v>
      </c>
      <c r="DT20" s="357" t="s">
        <v>1257</v>
      </c>
      <c r="DU20" s="357" t="s">
        <v>1258</v>
      </c>
      <c r="DV20" s="357" t="s">
        <v>1259</v>
      </c>
      <c r="DW20" s="357" t="s">
        <v>1260</v>
      </c>
      <c r="DX20" s="357" t="s">
        <v>1261</v>
      </c>
      <c r="EA20" s="357" t="s">
        <v>1254</v>
      </c>
      <c r="EB20" s="357" t="s">
        <v>813</v>
      </c>
      <c r="EC20" s="357" t="s">
        <v>1255</v>
      </c>
      <c r="ED20" s="357" t="s">
        <v>16</v>
      </c>
      <c r="EE20" s="357" t="s">
        <v>793</v>
      </c>
      <c r="EF20" s="357" t="s">
        <v>794</v>
      </c>
      <c r="EG20" s="357" t="s">
        <v>743</v>
      </c>
      <c r="EH20" s="357" t="s">
        <v>795</v>
      </c>
      <c r="EI20" s="365" t="s">
        <v>1256</v>
      </c>
      <c r="EJ20" s="357" t="s">
        <v>1257</v>
      </c>
      <c r="EK20" s="357" t="s">
        <v>1258</v>
      </c>
      <c r="EL20" s="357" t="s">
        <v>1259</v>
      </c>
      <c r="EM20" s="357" t="s">
        <v>1260</v>
      </c>
      <c r="EN20" s="357" t="s">
        <v>1261</v>
      </c>
      <c r="EQ20" s="357" t="s">
        <v>1254</v>
      </c>
      <c r="ER20" s="357" t="s">
        <v>813</v>
      </c>
      <c r="ES20" s="357" t="s">
        <v>1255</v>
      </c>
      <c r="ET20" s="357" t="s">
        <v>16</v>
      </c>
      <c r="EU20" s="357" t="s">
        <v>793</v>
      </c>
      <c r="EV20" s="357" t="s">
        <v>794</v>
      </c>
      <c r="EW20" s="357" t="s">
        <v>743</v>
      </c>
      <c r="EX20" s="357" t="s">
        <v>795</v>
      </c>
      <c r="EY20" s="365" t="s">
        <v>1256</v>
      </c>
      <c r="EZ20" s="357" t="s">
        <v>1257</v>
      </c>
      <c r="FA20" s="357" t="s">
        <v>1258</v>
      </c>
      <c r="FB20" s="357" t="s">
        <v>1259</v>
      </c>
      <c r="FC20" s="357" t="s">
        <v>1260</v>
      </c>
      <c r="FD20" s="357" t="s">
        <v>1261</v>
      </c>
      <c r="FG20" s="357" t="s">
        <v>1254</v>
      </c>
      <c r="FH20" s="357" t="s">
        <v>813</v>
      </c>
      <c r="FI20" s="357" t="s">
        <v>1255</v>
      </c>
      <c r="FJ20" s="357" t="s">
        <v>16</v>
      </c>
      <c r="FK20" s="357" t="s">
        <v>793</v>
      </c>
      <c r="FL20" s="357" t="s">
        <v>794</v>
      </c>
      <c r="FM20" s="357" t="s">
        <v>743</v>
      </c>
      <c r="FN20" s="357" t="s">
        <v>795</v>
      </c>
      <c r="FO20" s="365" t="s">
        <v>1256</v>
      </c>
      <c r="FP20" s="357" t="s">
        <v>1257</v>
      </c>
      <c r="FQ20" s="357" t="s">
        <v>1258</v>
      </c>
      <c r="FR20" s="357" t="s">
        <v>1259</v>
      </c>
      <c r="FS20" s="357" t="s">
        <v>1260</v>
      </c>
      <c r="FT20" s="357" t="s">
        <v>1261</v>
      </c>
      <c r="FW20" s="357" t="s">
        <v>1254</v>
      </c>
      <c r="FX20" s="357" t="s">
        <v>813</v>
      </c>
      <c r="FY20" s="357" t="s">
        <v>1255</v>
      </c>
      <c r="FZ20" s="357" t="s">
        <v>16</v>
      </c>
      <c r="GA20" s="357" t="s">
        <v>793</v>
      </c>
      <c r="GB20" s="357" t="s">
        <v>794</v>
      </c>
      <c r="GC20" s="357" t="s">
        <v>743</v>
      </c>
      <c r="GD20" s="357" t="s">
        <v>795</v>
      </c>
      <c r="GE20" s="365" t="s">
        <v>1256</v>
      </c>
      <c r="GF20" s="357" t="s">
        <v>1257</v>
      </c>
      <c r="GG20" s="357" t="s">
        <v>1258</v>
      </c>
      <c r="GH20" s="357" t="s">
        <v>1259</v>
      </c>
      <c r="GI20" s="357" t="s">
        <v>1260</v>
      </c>
      <c r="GJ20" s="357" t="s">
        <v>1261</v>
      </c>
      <c r="GM20" s="357" t="s">
        <v>1254</v>
      </c>
      <c r="GN20" s="357" t="s">
        <v>813</v>
      </c>
      <c r="GO20" s="357" t="s">
        <v>1255</v>
      </c>
      <c r="GP20" s="357" t="s">
        <v>16</v>
      </c>
      <c r="GQ20" s="357" t="s">
        <v>793</v>
      </c>
      <c r="GR20" s="357" t="s">
        <v>794</v>
      </c>
      <c r="GS20" s="357" t="s">
        <v>743</v>
      </c>
      <c r="GT20" s="357" t="s">
        <v>795</v>
      </c>
      <c r="GU20" s="365" t="s">
        <v>1256</v>
      </c>
      <c r="GV20" s="357" t="s">
        <v>1257</v>
      </c>
      <c r="GW20" s="357" t="s">
        <v>1258</v>
      </c>
      <c r="GX20" s="357" t="s">
        <v>1259</v>
      </c>
      <c r="GY20" s="357" t="s">
        <v>1260</v>
      </c>
      <c r="GZ20" s="357" t="s">
        <v>1261</v>
      </c>
      <c r="HC20" s="357" t="s">
        <v>1254</v>
      </c>
      <c r="HD20" s="357" t="s">
        <v>813</v>
      </c>
      <c r="HE20" s="357" t="s">
        <v>1255</v>
      </c>
      <c r="HF20" s="357" t="s">
        <v>16</v>
      </c>
      <c r="HG20" s="357" t="s">
        <v>793</v>
      </c>
      <c r="HH20" s="357" t="s">
        <v>2470</v>
      </c>
      <c r="HI20" s="357" t="s">
        <v>794</v>
      </c>
      <c r="HJ20" s="357" t="s">
        <v>743</v>
      </c>
      <c r="HK20" s="357" t="s">
        <v>795</v>
      </c>
      <c r="HL20" s="365" t="s">
        <v>1256</v>
      </c>
      <c r="HM20" s="357" t="s">
        <v>1257</v>
      </c>
      <c r="HN20" s="357" t="s">
        <v>1258</v>
      </c>
      <c r="HO20" s="357" t="s">
        <v>1259</v>
      </c>
      <c r="HP20" s="357" t="s">
        <v>1260</v>
      </c>
      <c r="HQ20" s="357" t="s">
        <v>1261</v>
      </c>
      <c r="HT20" s="357" t="s">
        <v>1254</v>
      </c>
      <c r="HU20" s="357" t="s">
        <v>813</v>
      </c>
      <c r="HV20" s="357" t="s">
        <v>1255</v>
      </c>
      <c r="HW20" s="357" t="s">
        <v>16</v>
      </c>
      <c r="HX20" s="357" t="s">
        <v>793</v>
      </c>
      <c r="HY20" s="357" t="s">
        <v>2470</v>
      </c>
      <c r="HZ20" s="357" t="s">
        <v>794</v>
      </c>
      <c r="IA20" s="357" t="s">
        <v>743</v>
      </c>
      <c r="IB20" s="357" t="s">
        <v>795</v>
      </c>
      <c r="IC20" s="365" t="s">
        <v>1256</v>
      </c>
      <c r="ID20" s="357" t="s">
        <v>1257</v>
      </c>
      <c r="IE20" s="357" t="s">
        <v>1258</v>
      </c>
      <c r="IF20" s="357" t="s">
        <v>1259</v>
      </c>
      <c r="IG20" s="357" t="s">
        <v>1260</v>
      </c>
      <c r="IH20" s="357" t="s">
        <v>1261</v>
      </c>
      <c r="IK20" s="357" t="s">
        <v>1254</v>
      </c>
      <c r="IL20" s="357" t="s">
        <v>813</v>
      </c>
      <c r="IM20" s="357" t="s">
        <v>1255</v>
      </c>
      <c r="IN20" s="357" t="s">
        <v>16</v>
      </c>
      <c r="IO20" s="357" t="s">
        <v>793</v>
      </c>
      <c r="IP20" s="357" t="s">
        <v>2470</v>
      </c>
      <c r="IQ20" s="357" t="s">
        <v>794</v>
      </c>
      <c r="IR20" s="357" t="s">
        <v>743</v>
      </c>
      <c r="IS20" s="357" t="s">
        <v>795</v>
      </c>
      <c r="IT20" s="365" t="s">
        <v>1256</v>
      </c>
      <c r="IU20" s="357" t="s">
        <v>1257</v>
      </c>
      <c r="IV20" s="357" t="s">
        <v>1258</v>
      </c>
      <c r="IW20" s="357" t="s">
        <v>1259</v>
      </c>
      <c r="IX20" s="357" t="s">
        <v>1260</v>
      </c>
      <c r="IY20" s="357" t="s">
        <v>1261</v>
      </c>
      <c r="JB20" s="357" t="s">
        <v>1254</v>
      </c>
      <c r="JC20" s="357" t="s">
        <v>813</v>
      </c>
      <c r="JD20" s="357" t="s">
        <v>1255</v>
      </c>
      <c r="JE20" s="357" t="s">
        <v>16</v>
      </c>
      <c r="JF20" s="357" t="s">
        <v>793</v>
      </c>
      <c r="JG20" s="357" t="s">
        <v>2470</v>
      </c>
      <c r="JH20" s="357" t="s">
        <v>794</v>
      </c>
      <c r="JI20" s="357" t="s">
        <v>743</v>
      </c>
      <c r="JJ20" s="357" t="s">
        <v>795</v>
      </c>
      <c r="JK20" s="365" t="s">
        <v>1256</v>
      </c>
      <c r="JL20" s="357" t="s">
        <v>1257</v>
      </c>
      <c r="JM20" s="357" t="s">
        <v>1258</v>
      </c>
      <c r="JN20" s="357" t="s">
        <v>1259</v>
      </c>
      <c r="JO20" s="357" t="s">
        <v>1260</v>
      </c>
      <c r="JP20" s="357" t="s">
        <v>1261</v>
      </c>
      <c r="JS20" s="357" t="s">
        <v>1254</v>
      </c>
      <c r="JT20" s="357" t="s">
        <v>813</v>
      </c>
      <c r="JU20" s="357" t="s">
        <v>1255</v>
      </c>
      <c r="JV20" s="357" t="s">
        <v>16</v>
      </c>
      <c r="JW20" s="357" t="s">
        <v>793</v>
      </c>
      <c r="JX20" s="357" t="s">
        <v>2470</v>
      </c>
      <c r="JY20" s="357" t="s">
        <v>794</v>
      </c>
      <c r="JZ20" s="357" t="s">
        <v>743</v>
      </c>
      <c r="KA20" s="357" t="s">
        <v>795</v>
      </c>
      <c r="KB20" s="365" t="s">
        <v>1256</v>
      </c>
      <c r="KC20" s="357" t="s">
        <v>1257</v>
      </c>
      <c r="KD20" s="357" t="s">
        <v>1258</v>
      </c>
      <c r="KE20" s="357" t="s">
        <v>1259</v>
      </c>
      <c r="KF20" s="357" t="s">
        <v>1260</v>
      </c>
      <c r="KG20" s="357" t="s">
        <v>1261</v>
      </c>
      <c r="KJ20" s="357" t="s">
        <v>1254</v>
      </c>
      <c r="KK20" s="357" t="s">
        <v>813</v>
      </c>
      <c r="KL20" s="357" t="s">
        <v>1255</v>
      </c>
      <c r="KM20" s="357" t="s">
        <v>16</v>
      </c>
      <c r="KN20" s="357" t="s">
        <v>793</v>
      </c>
      <c r="KO20" s="357" t="s">
        <v>2470</v>
      </c>
      <c r="KP20" s="357" t="s">
        <v>794</v>
      </c>
      <c r="KQ20" s="357" t="s">
        <v>743</v>
      </c>
      <c r="KR20" s="357" t="s">
        <v>795</v>
      </c>
      <c r="KS20" s="365" t="s">
        <v>1256</v>
      </c>
      <c r="KT20" s="357" t="s">
        <v>1257</v>
      </c>
      <c r="KU20" s="357" t="s">
        <v>1258</v>
      </c>
      <c r="KV20" s="357" t="s">
        <v>1259</v>
      </c>
      <c r="KW20" s="357" t="s">
        <v>1260</v>
      </c>
      <c r="KX20" s="357" t="s">
        <v>1261</v>
      </c>
      <c r="LA20" s="357" t="s">
        <v>1254</v>
      </c>
      <c r="LB20" s="357" t="s">
        <v>813</v>
      </c>
      <c r="LC20" s="357" t="s">
        <v>1255</v>
      </c>
      <c r="LD20" s="357" t="s">
        <v>16</v>
      </c>
      <c r="LE20" s="357" t="s">
        <v>793</v>
      </c>
      <c r="LF20" s="357" t="s">
        <v>2470</v>
      </c>
      <c r="LG20" s="357" t="s">
        <v>794</v>
      </c>
      <c r="LH20" s="357" t="s">
        <v>743</v>
      </c>
      <c r="LI20" s="357" t="s">
        <v>795</v>
      </c>
      <c r="LJ20" s="365" t="s">
        <v>1256</v>
      </c>
      <c r="LK20" s="357" t="s">
        <v>1257</v>
      </c>
      <c r="LL20" s="357" t="s">
        <v>1258</v>
      </c>
      <c r="LM20" s="357" t="s">
        <v>1259</v>
      </c>
      <c r="LN20" s="357" t="s">
        <v>1260</v>
      </c>
      <c r="LO20" s="357" t="s">
        <v>1261</v>
      </c>
      <c r="LR20" s="357" t="s">
        <v>1254</v>
      </c>
      <c r="LS20" s="357" t="s">
        <v>813</v>
      </c>
      <c r="LT20" s="357" t="s">
        <v>1255</v>
      </c>
      <c r="LU20" s="357" t="s">
        <v>16</v>
      </c>
      <c r="LV20" s="357" t="s">
        <v>793</v>
      </c>
      <c r="LW20" s="357" t="s">
        <v>2470</v>
      </c>
      <c r="LX20" s="357" t="s">
        <v>794</v>
      </c>
      <c r="LY20" s="357" t="s">
        <v>743</v>
      </c>
      <c r="LZ20" s="357" t="s">
        <v>795</v>
      </c>
      <c r="MA20" s="365" t="s">
        <v>1256</v>
      </c>
      <c r="MB20" s="357" t="s">
        <v>1257</v>
      </c>
      <c r="MC20" s="357" t="s">
        <v>1258</v>
      </c>
      <c r="MD20" s="357" t="s">
        <v>1259</v>
      </c>
      <c r="ME20" s="357" t="s">
        <v>1260</v>
      </c>
      <c r="MF20" s="357" t="s">
        <v>1261</v>
      </c>
    </row>
    <row r="21" spans="2:344" ht="42" thickBot="1" x14ac:dyDescent="0.35">
      <c r="B21" s="339">
        <v>1</v>
      </c>
      <c r="C21" s="339" t="s">
        <v>1270</v>
      </c>
      <c r="D21" s="339">
        <v>26</v>
      </c>
      <c r="E21" s="339">
        <v>12</v>
      </c>
      <c r="F21" s="339">
        <v>6</v>
      </c>
      <c r="G21" s="339"/>
      <c r="H21" s="339">
        <v>0</v>
      </c>
      <c r="I21" s="339">
        <v>8</v>
      </c>
      <c r="J21" s="339" t="s">
        <v>1315</v>
      </c>
      <c r="K21" s="351">
        <v>48</v>
      </c>
      <c r="L21" s="339">
        <v>13</v>
      </c>
      <c r="M21" s="367">
        <v>18598</v>
      </c>
      <c r="N21" s="339">
        <v>11</v>
      </c>
      <c r="O21" s="339" t="s">
        <v>1316</v>
      </c>
      <c r="P21" s="339">
        <v>3</v>
      </c>
      <c r="Q21" s="342"/>
      <c r="S21" s="339">
        <v>1</v>
      </c>
      <c r="T21" s="339" t="s">
        <v>1266</v>
      </c>
      <c r="U21" s="339">
        <v>26</v>
      </c>
      <c r="V21" s="339">
        <v>12</v>
      </c>
      <c r="W21" s="339">
        <v>2</v>
      </c>
      <c r="X21" s="339">
        <v>5</v>
      </c>
      <c r="Y21" s="339">
        <v>7</v>
      </c>
      <c r="Z21" s="339" t="s">
        <v>1438</v>
      </c>
      <c r="AA21" s="351">
        <v>45</v>
      </c>
      <c r="AB21" s="339">
        <v>12</v>
      </c>
      <c r="AC21" s="367">
        <v>28460</v>
      </c>
      <c r="AD21" s="339">
        <v>16</v>
      </c>
      <c r="AE21" s="339" t="s">
        <v>1439</v>
      </c>
      <c r="AF21" s="339">
        <v>3</v>
      </c>
      <c r="AI21" s="339">
        <v>1</v>
      </c>
      <c r="AJ21" s="339" t="s">
        <v>1262</v>
      </c>
      <c r="AK21" s="339">
        <v>26</v>
      </c>
      <c r="AL21" s="339">
        <v>14</v>
      </c>
      <c r="AM21" s="339">
        <v>0</v>
      </c>
      <c r="AN21" s="339">
        <v>6</v>
      </c>
      <c r="AO21" s="339">
        <v>6</v>
      </c>
      <c r="AP21" s="352">
        <v>2.9562500000000003</v>
      </c>
      <c r="AQ21" s="351">
        <v>48</v>
      </c>
      <c r="AR21" s="339">
        <v>19</v>
      </c>
      <c r="AS21" s="339" t="s">
        <v>1527</v>
      </c>
      <c r="AT21" s="339">
        <v>21</v>
      </c>
      <c r="AU21" s="339" t="s">
        <v>1414</v>
      </c>
      <c r="AV21" s="339">
        <v>2</v>
      </c>
      <c r="AY21" s="339">
        <v>1</v>
      </c>
      <c r="AZ21" s="339" t="s">
        <v>1262</v>
      </c>
      <c r="BA21" s="339">
        <v>26</v>
      </c>
      <c r="BB21" s="339">
        <v>14</v>
      </c>
      <c r="BC21" s="339">
        <v>4</v>
      </c>
      <c r="BD21" s="339">
        <v>2</v>
      </c>
      <c r="BE21" s="339">
        <v>6</v>
      </c>
      <c r="BF21" s="339" t="s">
        <v>1639</v>
      </c>
      <c r="BG21" s="351">
        <v>52</v>
      </c>
      <c r="BH21" s="339">
        <v>25</v>
      </c>
      <c r="BI21" s="339" t="s">
        <v>1640</v>
      </c>
      <c r="BJ21" s="339">
        <v>19</v>
      </c>
      <c r="BK21" s="339" t="s">
        <v>1641</v>
      </c>
      <c r="BL21" s="339">
        <v>3</v>
      </c>
      <c r="BO21" s="339">
        <v>1</v>
      </c>
      <c r="BP21" s="339" t="s">
        <v>1266</v>
      </c>
      <c r="BQ21" s="339">
        <v>26</v>
      </c>
      <c r="BR21" s="339">
        <v>14</v>
      </c>
      <c r="BS21" s="339">
        <v>3</v>
      </c>
      <c r="BT21" s="339">
        <v>2</v>
      </c>
      <c r="BU21" s="339">
        <v>7</v>
      </c>
      <c r="BV21" s="339" t="s">
        <v>1729</v>
      </c>
      <c r="BW21" s="351">
        <v>50</v>
      </c>
      <c r="BX21" s="339">
        <v>27</v>
      </c>
      <c r="BY21" s="339" t="s">
        <v>1730</v>
      </c>
      <c r="BZ21" s="339">
        <v>30</v>
      </c>
      <c r="CA21" s="339" t="s">
        <v>1582</v>
      </c>
      <c r="CB21" s="339">
        <v>5</v>
      </c>
      <c r="CE21" s="339">
        <v>1</v>
      </c>
      <c r="CF21" s="339" t="s">
        <v>1286</v>
      </c>
      <c r="CG21" s="339">
        <v>26</v>
      </c>
      <c r="CH21" s="339">
        <v>13</v>
      </c>
      <c r="CI21" s="339">
        <v>3</v>
      </c>
      <c r="CJ21" s="339">
        <v>2</v>
      </c>
      <c r="CK21" s="339">
        <v>8</v>
      </c>
      <c r="CL21" s="339" t="s">
        <v>1473</v>
      </c>
      <c r="CM21" s="351">
        <v>47</v>
      </c>
      <c r="CN21" s="339">
        <v>23</v>
      </c>
      <c r="CO21" s="339" t="s">
        <v>1821</v>
      </c>
      <c r="CP21" s="339">
        <v>25</v>
      </c>
      <c r="CQ21" s="339" t="s">
        <v>1638</v>
      </c>
      <c r="CR21" s="339">
        <v>2</v>
      </c>
      <c r="CU21" s="339">
        <v>1</v>
      </c>
      <c r="CV21" s="339" t="s">
        <v>1591</v>
      </c>
      <c r="CW21" s="339">
        <v>26</v>
      </c>
      <c r="CX21" s="339">
        <v>13</v>
      </c>
      <c r="CY21" s="339">
        <v>3</v>
      </c>
      <c r="CZ21" s="339">
        <v>0</v>
      </c>
      <c r="DA21" s="339">
        <v>10</v>
      </c>
      <c r="DB21" s="339" t="s">
        <v>1122</v>
      </c>
      <c r="DC21" s="351">
        <v>45</v>
      </c>
      <c r="DD21" s="339">
        <v>14</v>
      </c>
      <c r="DE21" s="339" t="s">
        <v>1915</v>
      </c>
      <c r="DF21" s="339">
        <v>24</v>
      </c>
      <c r="DG21" s="339" t="s">
        <v>1582</v>
      </c>
      <c r="DH21" s="339">
        <v>3</v>
      </c>
      <c r="DK21" s="339">
        <v>1</v>
      </c>
      <c r="DL21" s="339" t="s">
        <v>1297</v>
      </c>
      <c r="DM21" s="339">
        <v>26</v>
      </c>
      <c r="DN21" s="339">
        <v>14</v>
      </c>
      <c r="DO21" s="339">
        <v>3</v>
      </c>
      <c r="DP21" s="339">
        <v>3</v>
      </c>
      <c r="DQ21" s="339">
        <v>6</v>
      </c>
      <c r="DR21" s="352">
        <v>3.4555555555555557</v>
      </c>
      <c r="DS21" s="351">
        <v>51</v>
      </c>
      <c r="DT21" s="339">
        <v>19</v>
      </c>
      <c r="DU21" s="366">
        <v>43816</v>
      </c>
      <c r="DV21" s="339">
        <v>14</v>
      </c>
      <c r="DW21" s="339" t="s">
        <v>2008</v>
      </c>
      <c r="DX21" s="339">
        <v>3</v>
      </c>
      <c r="EA21" s="339">
        <v>1</v>
      </c>
      <c r="EB21" s="339" t="s">
        <v>2068</v>
      </c>
      <c r="EC21" s="339">
        <v>26</v>
      </c>
      <c r="ED21" s="339">
        <v>12</v>
      </c>
      <c r="EE21" s="339">
        <v>1</v>
      </c>
      <c r="EF21" s="339">
        <v>5</v>
      </c>
      <c r="EG21" s="339">
        <v>8</v>
      </c>
      <c r="EH21" s="339" t="s">
        <v>2092</v>
      </c>
      <c r="EI21" s="351">
        <v>43</v>
      </c>
      <c r="EJ21" s="339">
        <v>20</v>
      </c>
      <c r="EK21" s="339" t="s">
        <v>2093</v>
      </c>
      <c r="EL21" s="339">
        <v>14</v>
      </c>
      <c r="EM21" s="339" t="s">
        <v>2047</v>
      </c>
      <c r="EN21" s="339">
        <v>1</v>
      </c>
      <c r="EQ21" s="339">
        <v>1</v>
      </c>
      <c r="ER21" s="339" t="s">
        <v>1978</v>
      </c>
      <c r="ES21" s="339">
        <v>26</v>
      </c>
      <c r="ET21" s="339">
        <v>12</v>
      </c>
      <c r="EU21" s="339">
        <v>4</v>
      </c>
      <c r="EV21" s="339">
        <v>2</v>
      </c>
      <c r="EW21" s="339">
        <v>8</v>
      </c>
      <c r="EX21" s="339" t="s">
        <v>2173</v>
      </c>
      <c r="EY21" s="351">
        <v>46</v>
      </c>
      <c r="EZ21" s="339">
        <v>26</v>
      </c>
      <c r="FA21" s="339" t="s">
        <v>1661</v>
      </c>
      <c r="FB21" s="339">
        <v>20</v>
      </c>
      <c r="FC21" s="339" t="s">
        <v>1439</v>
      </c>
      <c r="FD21" s="339">
        <v>6</v>
      </c>
      <c r="FG21" s="339">
        <v>1</v>
      </c>
      <c r="FH21" s="339" t="s">
        <v>1591</v>
      </c>
      <c r="FI21" s="339">
        <v>26</v>
      </c>
      <c r="FJ21" s="339">
        <v>9</v>
      </c>
      <c r="FK21" s="339">
        <v>4</v>
      </c>
      <c r="FL21" s="339">
        <v>4</v>
      </c>
      <c r="FM21" s="339">
        <v>9</v>
      </c>
      <c r="FN21" s="339" t="s">
        <v>2257</v>
      </c>
      <c r="FO21" s="351">
        <v>39</v>
      </c>
      <c r="FP21" s="339">
        <v>21</v>
      </c>
      <c r="FQ21" s="339" t="s">
        <v>1782</v>
      </c>
      <c r="FR21" s="339">
        <v>26</v>
      </c>
      <c r="FS21" s="339" t="s">
        <v>2258</v>
      </c>
      <c r="FT21" s="339">
        <v>4</v>
      </c>
      <c r="FW21" s="339">
        <v>1</v>
      </c>
      <c r="FX21" s="339" t="s">
        <v>1895</v>
      </c>
      <c r="FY21" s="339">
        <v>26</v>
      </c>
      <c r="FZ21" s="339">
        <v>13</v>
      </c>
      <c r="GA21" s="339">
        <v>3</v>
      </c>
      <c r="GB21" s="339">
        <v>2</v>
      </c>
      <c r="GC21" s="339">
        <v>8</v>
      </c>
      <c r="GD21" s="339" t="s">
        <v>2343</v>
      </c>
      <c r="GE21" s="351">
        <v>47</v>
      </c>
      <c r="GF21" s="339">
        <v>24</v>
      </c>
      <c r="GG21" s="366">
        <v>43513</v>
      </c>
      <c r="GH21" s="339">
        <v>29</v>
      </c>
      <c r="GI21" s="339" t="s">
        <v>2344</v>
      </c>
      <c r="GJ21" s="339">
        <v>3</v>
      </c>
      <c r="GM21" s="339">
        <v>1</v>
      </c>
      <c r="GN21" s="339" t="s">
        <v>2224</v>
      </c>
      <c r="GO21" s="339">
        <v>26</v>
      </c>
      <c r="GP21" s="339">
        <v>11</v>
      </c>
      <c r="GQ21" s="339">
        <v>1</v>
      </c>
      <c r="GR21" s="339">
        <v>1</v>
      </c>
      <c r="GS21" s="339">
        <v>13</v>
      </c>
      <c r="GT21" s="339" t="s">
        <v>2421</v>
      </c>
      <c r="GU21" s="351">
        <v>36</v>
      </c>
      <c r="GV21" s="339">
        <v>29</v>
      </c>
      <c r="GW21" s="339" t="s">
        <v>2422</v>
      </c>
      <c r="GX21" s="339">
        <v>32</v>
      </c>
      <c r="GY21" s="339" t="s">
        <v>1947</v>
      </c>
      <c r="GZ21" s="339">
        <v>8</v>
      </c>
      <c r="HC21" s="339">
        <v>1</v>
      </c>
      <c r="HD21" s="339" t="s">
        <v>1591</v>
      </c>
      <c r="HE21" s="339">
        <v>26</v>
      </c>
      <c r="HF21" s="339">
        <v>11</v>
      </c>
      <c r="HG21" s="339">
        <v>0</v>
      </c>
      <c r="HH21" s="339">
        <v>5</v>
      </c>
      <c r="HI21" s="339">
        <v>0</v>
      </c>
      <c r="HJ21" s="339">
        <v>10</v>
      </c>
      <c r="HK21" s="339" t="s">
        <v>1572</v>
      </c>
      <c r="HL21" s="351">
        <v>38</v>
      </c>
      <c r="HM21" s="339">
        <v>16</v>
      </c>
      <c r="HN21" s="367">
        <v>25903</v>
      </c>
      <c r="HO21" s="339">
        <v>19</v>
      </c>
      <c r="HP21" s="339" t="s">
        <v>2503</v>
      </c>
      <c r="HQ21" s="339">
        <v>3</v>
      </c>
      <c r="HT21" s="339">
        <v>1</v>
      </c>
      <c r="HU21" s="339" t="s">
        <v>1293</v>
      </c>
      <c r="HV21" s="339">
        <v>26</v>
      </c>
      <c r="HW21" s="339">
        <v>14</v>
      </c>
      <c r="HX21" s="339">
        <v>2</v>
      </c>
      <c r="HY21" s="339">
        <v>3</v>
      </c>
      <c r="HZ21" s="339">
        <v>1</v>
      </c>
      <c r="IA21" s="339">
        <v>6</v>
      </c>
      <c r="IB21" s="352">
        <v>2.7013888888888888</v>
      </c>
      <c r="IC21" s="351">
        <v>50</v>
      </c>
      <c r="ID21" s="339">
        <v>18</v>
      </c>
      <c r="IE21" s="339" t="s">
        <v>1367</v>
      </c>
      <c r="IF21" s="339">
        <v>12</v>
      </c>
      <c r="IG21" s="339" t="s">
        <v>2570</v>
      </c>
      <c r="IH21" s="339">
        <v>2</v>
      </c>
      <c r="IK21" s="339">
        <v>1</v>
      </c>
      <c r="IL21" s="339" t="s">
        <v>2224</v>
      </c>
      <c r="IM21" s="339">
        <v>26</v>
      </c>
      <c r="IN21" s="339">
        <v>13</v>
      </c>
      <c r="IO21" s="339">
        <v>0</v>
      </c>
      <c r="IP21" s="339">
        <v>5</v>
      </c>
      <c r="IQ21" s="339">
        <v>2</v>
      </c>
      <c r="IR21" s="339">
        <v>6</v>
      </c>
      <c r="IS21" s="339" t="s">
        <v>2639</v>
      </c>
      <c r="IT21" s="351">
        <v>46</v>
      </c>
      <c r="IU21" s="339">
        <v>23</v>
      </c>
      <c r="IV21" s="339" t="s">
        <v>2640</v>
      </c>
      <c r="IW21" s="339">
        <v>16</v>
      </c>
      <c r="IX21" s="339" t="s">
        <v>2641</v>
      </c>
      <c r="IY21" s="339">
        <v>3</v>
      </c>
      <c r="JB21" s="339">
        <v>1</v>
      </c>
      <c r="JC21" s="339" t="s">
        <v>1591</v>
      </c>
      <c r="JD21" s="339">
        <v>26</v>
      </c>
      <c r="JE21" s="339">
        <v>11</v>
      </c>
      <c r="JF21" s="339">
        <v>2</v>
      </c>
      <c r="JG21" s="339">
        <v>4</v>
      </c>
      <c r="JH21" s="339">
        <v>1</v>
      </c>
      <c r="JI21" s="339">
        <v>8</v>
      </c>
      <c r="JJ21" s="352">
        <v>3.0812500000000003</v>
      </c>
      <c r="JK21" s="351">
        <v>42</v>
      </c>
      <c r="JL21" s="339">
        <v>15</v>
      </c>
      <c r="JM21" s="339" t="s">
        <v>1452</v>
      </c>
      <c r="JN21" s="339">
        <v>12</v>
      </c>
      <c r="JO21" s="339" t="s">
        <v>2718</v>
      </c>
      <c r="JP21" s="339">
        <v>4</v>
      </c>
      <c r="JS21" s="339">
        <v>1</v>
      </c>
      <c r="JT21" s="339" t="s">
        <v>1297</v>
      </c>
      <c r="JU21" s="339">
        <v>26</v>
      </c>
      <c r="JV21" s="339">
        <v>12</v>
      </c>
      <c r="JW21" s="339">
        <v>3</v>
      </c>
      <c r="JX21" s="339">
        <v>5</v>
      </c>
      <c r="JY21" s="339">
        <v>0</v>
      </c>
      <c r="JZ21" s="339">
        <v>6</v>
      </c>
      <c r="KA21" s="339" t="s">
        <v>2771</v>
      </c>
      <c r="KB21" s="351">
        <v>47</v>
      </c>
      <c r="KC21" s="339">
        <v>0</v>
      </c>
      <c r="KD21" s="339" t="s">
        <v>78</v>
      </c>
      <c r="KE21" s="339">
        <v>0</v>
      </c>
      <c r="KF21" s="339" t="s">
        <v>2757</v>
      </c>
      <c r="KG21" s="339">
        <v>0</v>
      </c>
      <c r="KJ21" s="339">
        <v>1</v>
      </c>
      <c r="KK21" s="339" t="s">
        <v>2418</v>
      </c>
      <c r="KL21" s="339">
        <v>26</v>
      </c>
      <c r="KM21" s="339">
        <v>13</v>
      </c>
      <c r="KN21" s="339">
        <v>1</v>
      </c>
      <c r="KO21" s="339">
        <v>0</v>
      </c>
      <c r="KP21" s="339">
        <v>1</v>
      </c>
      <c r="KQ21" s="339">
        <v>11</v>
      </c>
      <c r="KR21" s="339" t="s">
        <v>2805</v>
      </c>
      <c r="KS21" s="351">
        <v>42</v>
      </c>
      <c r="KT21" s="339">
        <v>0</v>
      </c>
      <c r="KU21" s="339" t="s">
        <v>78</v>
      </c>
      <c r="KV21" s="339">
        <v>0</v>
      </c>
      <c r="KW21" s="339" t="s">
        <v>2757</v>
      </c>
      <c r="KX21" s="339">
        <v>0</v>
      </c>
      <c r="LA21" s="339">
        <v>1</v>
      </c>
      <c r="LB21" s="339" t="s">
        <v>1297</v>
      </c>
      <c r="LC21" s="339">
        <v>26</v>
      </c>
      <c r="LD21" s="339">
        <v>13</v>
      </c>
      <c r="LE21" s="339">
        <v>0</v>
      </c>
      <c r="LF21" s="339">
        <v>5</v>
      </c>
      <c r="LG21" s="339">
        <v>0</v>
      </c>
      <c r="LH21" s="339">
        <v>8</v>
      </c>
      <c r="LI21" s="339" t="s">
        <v>2842</v>
      </c>
      <c r="LJ21" s="351">
        <v>31</v>
      </c>
      <c r="LK21" s="339">
        <v>0</v>
      </c>
      <c r="LL21" s="339" t="s">
        <v>78</v>
      </c>
      <c r="LM21" s="339">
        <v>0</v>
      </c>
      <c r="LN21" s="339" t="s">
        <v>2757</v>
      </c>
      <c r="LO21" s="339">
        <v>0</v>
      </c>
      <c r="LR21" s="339">
        <v>1</v>
      </c>
      <c r="LS21" s="339" t="s">
        <v>2418</v>
      </c>
      <c r="LT21" s="339">
        <v>26</v>
      </c>
      <c r="LU21" s="339">
        <v>14</v>
      </c>
      <c r="LV21" s="339">
        <v>0</v>
      </c>
      <c r="LW21" s="339">
        <v>8</v>
      </c>
      <c r="LX21" s="339">
        <v>0</v>
      </c>
      <c r="LY21" s="339">
        <v>4</v>
      </c>
      <c r="LZ21" s="352">
        <v>3.4097222222222219</v>
      </c>
      <c r="MA21" s="351">
        <v>36</v>
      </c>
      <c r="MB21" s="339">
        <v>12</v>
      </c>
      <c r="MC21" s="339" t="s">
        <v>1682</v>
      </c>
      <c r="MD21" s="339">
        <v>10</v>
      </c>
      <c r="ME21" s="339" t="s">
        <v>2890</v>
      </c>
      <c r="MF21" s="339">
        <v>5</v>
      </c>
    </row>
    <row r="22" spans="2:344" ht="42" thickBot="1" x14ac:dyDescent="0.35">
      <c r="B22" s="339">
        <v>2</v>
      </c>
      <c r="C22" s="339" t="s">
        <v>1266</v>
      </c>
      <c r="D22" s="339">
        <v>26</v>
      </c>
      <c r="E22" s="339">
        <v>15</v>
      </c>
      <c r="F22" s="339">
        <v>1</v>
      </c>
      <c r="G22" s="339"/>
      <c r="H22" s="339">
        <v>0</v>
      </c>
      <c r="I22" s="339">
        <v>10</v>
      </c>
      <c r="J22" s="352">
        <v>2.9979166666666668</v>
      </c>
      <c r="K22" s="351">
        <v>47</v>
      </c>
      <c r="L22" s="339">
        <v>18</v>
      </c>
      <c r="M22" s="339" t="s">
        <v>1317</v>
      </c>
      <c r="N22" s="339">
        <v>17</v>
      </c>
      <c r="O22" s="339" t="s">
        <v>1318</v>
      </c>
      <c r="P22" s="339">
        <v>1</v>
      </c>
      <c r="Q22" s="342"/>
      <c r="S22" s="339">
        <v>2</v>
      </c>
      <c r="T22" s="339" t="s">
        <v>1274</v>
      </c>
      <c r="U22" s="339">
        <v>26</v>
      </c>
      <c r="V22" s="339">
        <v>10</v>
      </c>
      <c r="W22" s="339">
        <v>4</v>
      </c>
      <c r="X22" s="339">
        <v>5</v>
      </c>
      <c r="Y22" s="339">
        <v>7</v>
      </c>
      <c r="Z22" s="352">
        <v>2.4534722222222221</v>
      </c>
      <c r="AA22" s="351">
        <v>43</v>
      </c>
      <c r="AB22" s="339">
        <v>10</v>
      </c>
      <c r="AC22" s="367">
        <v>44166</v>
      </c>
      <c r="AD22" s="339">
        <v>19</v>
      </c>
      <c r="AE22" s="339" t="s">
        <v>1440</v>
      </c>
      <c r="AF22" s="339">
        <v>2</v>
      </c>
      <c r="AI22" s="339">
        <v>2</v>
      </c>
      <c r="AJ22" s="339" t="s">
        <v>1297</v>
      </c>
      <c r="AK22" s="339">
        <v>26</v>
      </c>
      <c r="AL22" s="339">
        <v>13</v>
      </c>
      <c r="AM22" s="339">
        <v>2</v>
      </c>
      <c r="AN22" s="339">
        <v>3</v>
      </c>
      <c r="AO22" s="339">
        <v>8</v>
      </c>
      <c r="AP22" s="339" t="s">
        <v>1528</v>
      </c>
      <c r="AQ22" s="351">
        <v>46</v>
      </c>
      <c r="AR22" s="339">
        <v>27</v>
      </c>
      <c r="AS22" s="339" t="s">
        <v>1320</v>
      </c>
      <c r="AT22" s="339">
        <v>20</v>
      </c>
      <c r="AU22" s="339" t="s">
        <v>1529</v>
      </c>
      <c r="AV22" s="339">
        <v>3</v>
      </c>
      <c r="AY22" s="339">
        <v>2</v>
      </c>
      <c r="AZ22" s="339" t="s">
        <v>1297</v>
      </c>
      <c r="BA22" s="339">
        <v>26</v>
      </c>
      <c r="BB22" s="339">
        <v>12</v>
      </c>
      <c r="BC22" s="339">
        <v>2</v>
      </c>
      <c r="BD22" s="339">
        <v>4</v>
      </c>
      <c r="BE22" s="339">
        <v>8</v>
      </c>
      <c r="BF22" s="339" t="s">
        <v>1642</v>
      </c>
      <c r="BG22" s="351">
        <v>44</v>
      </c>
      <c r="BH22" s="339">
        <v>12</v>
      </c>
      <c r="BI22" s="339" t="s">
        <v>1592</v>
      </c>
      <c r="BJ22" s="339">
        <v>21</v>
      </c>
      <c r="BK22" s="339" t="s">
        <v>1643</v>
      </c>
      <c r="BL22" s="339">
        <v>3</v>
      </c>
      <c r="BO22" s="339">
        <v>2</v>
      </c>
      <c r="BP22" s="339" t="s">
        <v>1297</v>
      </c>
      <c r="BQ22" s="339">
        <v>26</v>
      </c>
      <c r="BR22" s="339">
        <v>13</v>
      </c>
      <c r="BS22" s="339">
        <v>3</v>
      </c>
      <c r="BT22" s="339">
        <v>0</v>
      </c>
      <c r="BU22" s="339">
        <v>10</v>
      </c>
      <c r="BV22" s="339" t="s">
        <v>1731</v>
      </c>
      <c r="BW22" s="351">
        <v>45</v>
      </c>
      <c r="BX22" s="339">
        <v>43</v>
      </c>
      <c r="BY22" s="339" t="s">
        <v>1732</v>
      </c>
      <c r="BZ22" s="339">
        <v>40</v>
      </c>
      <c r="CA22" s="339" t="s">
        <v>1733</v>
      </c>
      <c r="CB22" s="339">
        <v>2</v>
      </c>
      <c r="CE22" s="339">
        <v>2</v>
      </c>
      <c r="CF22" s="339" t="s">
        <v>1297</v>
      </c>
      <c r="CG22" s="339">
        <v>26</v>
      </c>
      <c r="CH22" s="339">
        <v>12</v>
      </c>
      <c r="CI22" s="339">
        <v>1</v>
      </c>
      <c r="CJ22" s="339">
        <v>5</v>
      </c>
      <c r="CK22" s="339">
        <v>8</v>
      </c>
      <c r="CL22" s="339" t="s">
        <v>1822</v>
      </c>
      <c r="CM22" s="351">
        <v>43</v>
      </c>
      <c r="CN22" s="339">
        <v>26</v>
      </c>
      <c r="CO22" s="339" t="s">
        <v>1823</v>
      </c>
      <c r="CP22" s="339">
        <v>24</v>
      </c>
      <c r="CQ22" s="339" t="s">
        <v>1310</v>
      </c>
      <c r="CR22" s="339">
        <v>5</v>
      </c>
      <c r="CU22" s="339">
        <v>2</v>
      </c>
      <c r="CV22" s="339" t="s">
        <v>1293</v>
      </c>
      <c r="CW22" s="339">
        <v>26</v>
      </c>
      <c r="CX22" s="339">
        <v>11</v>
      </c>
      <c r="CY22" s="339">
        <v>3</v>
      </c>
      <c r="CZ22" s="339">
        <v>3</v>
      </c>
      <c r="DA22" s="339">
        <v>9</v>
      </c>
      <c r="DB22" s="339" t="s">
        <v>1916</v>
      </c>
      <c r="DC22" s="351">
        <v>42</v>
      </c>
      <c r="DD22" s="339">
        <v>24</v>
      </c>
      <c r="DE22" s="366">
        <v>43700</v>
      </c>
      <c r="DF22" s="339">
        <v>14</v>
      </c>
      <c r="DG22" s="339" t="s">
        <v>1917</v>
      </c>
      <c r="DH22" s="339">
        <v>3</v>
      </c>
      <c r="DK22" s="339">
        <v>2</v>
      </c>
      <c r="DL22" s="339" t="s">
        <v>1311</v>
      </c>
      <c r="DM22" s="339">
        <v>26</v>
      </c>
      <c r="DN22" s="339">
        <v>10</v>
      </c>
      <c r="DO22" s="339">
        <v>2</v>
      </c>
      <c r="DP22" s="339">
        <v>4</v>
      </c>
      <c r="DQ22" s="339">
        <v>10</v>
      </c>
      <c r="DR22" s="339" t="s">
        <v>1765</v>
      </c>
      <c r="DS22" s="351">
        <v>38</v>
      </c>
      <c r="DT22" s="339">
        <v>17</v>
      </c>
      <c r="DU22" s="339" t="s">
        <v>2009</v>
      </c>
      <c r="DV22" s="339">
        <v>25</v>
      </c>
      <c r="DW22" s="339" t="s">
        <v>2010</v>
      </c>
      <c r="DX22" s="339">
        <v>4</v>
      </c>
      <c r="EA22" s="339">
        <v>2</v>
      </c>
      <c r="EB22" s="339" t="s">
        <v>1262</v>
      </c>
      <c r="EC22" s="339">
        <v>26</v>
      </c>
      <c r="ED22" s="339">
        <v>9</v>
      </c>
      <c r="EE22" s="339">
        <v>4</v>
      </c>
      <c r="EF22" s="339">
        <v>5</v>
      </c>
      <c r="EG22" s="339">
        <v>8</v>
      </c>
      <c r="EH22" s="339" t="s">
        <v>2094</v>
      </c>
      <c r="EI22" s="351">
        <v>40</v>
      </c>
      <c r="EJ22" s="339">
        <v>20</v>
      </c>
      <c r="EK22" s="339" t="s">
        <v>2093</v>
      </c>
      <c r="EL22" s="339">
        <v>23</v>
      </c>
      <c r="EM22" s="339" t="s">
        <v>2095</v>
      </c>
      <c r="EN22" s="339">
        <v>0</v>
      </c>
      <c r="EQ22" s="339">
        <v>2</v>
      </c>
      <c r="ER22" s="339" t="s">
        <v>1293</v>
      </c>
      <c r="ES22" s="339">
        <v>26</v>
      </c>
      <c r="ET22" s="339">
        <v>11</v>
      </c>
      <c r="EU22" s="339">
        <v>5</v>
      </c>
      <c r="EV22" s="339">
        <v>1</v>
      </c>
      <c r="EW22" s="339">
        <v>9</v>
      </c>
      <c r="EX22" s="339" t="s">
        <v>2174</v>
      </c>
      <c r="EY22" s="351">
        <v>44</v>
      </c>
      <c r="EZ22" s="339">
        <v>20</v>
      </c>
      <c r="FA22" s="339" t="s">
        <v>216</v>
      </c>
      <c r="FB22" s="339">
        <v>29</v>
      </c>
      <c r="FC22" s="339" t="s">
        <v>2175</v>
      </c>
      <c r="FD22" s="339">
        <v>3</v>
      </c>
      <c r="FG22" s="339">
        <v>2</v>
      </c>
      <c r="FH22" s="339" t="s">
        <v>2227</v>
      </c>
      <c r="FI22" s="339">
        <v>26</v>
      </c>
      <c r="FJ22" s="339">
        <v>8</v>
      </c>
      <c r="FK22" s="339">
        <v>5</v>
      </c>
      <c r="FL22" s="339">
        <v>0</v>
      </c>
      <c r="FM22" s="339">
        <v>13</v>
      </c>
      <c r="FN22" s="339" t="s">
        <v>2259</v>
      </c>
      <c r="FO22" s="351">
        <v>34</v>
      </c>
      <c r="FP22" s="339">
        <v>23</v>
      </c>
      <c r="FQ22" s="366">
        <v>43759</v>
      </c>
      <c r="FR22" s="339">
        <v>27</v>
      </c>
      <c r="FS22" s="339" t="s">
        <v>2260</v>
      </c>
      <c r="FT22" s="339">
        <v>3</v>
      </c>
      <c r="FW22" s="339">
        <v>2</v>
      </c>
      <c r="FX22" s="339" t="s">
        <v>1591</v>
      </c>
      <c r="FY22" s="339">
        <v>26</v>
      </c>
      <c r="FZ22" s="339">
        <v>12</v>
      </c>
      <c r="GA22" s="339">
        <v>1</v>
      </c>
      <c r="GB22" s="339">
        <v>3</v>
      </c>
      <c r="GC22" s="339">
        <v>10</v>
      </c>
      <c r="GD22" s="339" t="s">
        <v>2345</v>
      </c>
      <c r="GE22" s="351">
        <v>41</v>
      </c>
      <c r="GF22" s="339">
        <v>17</v>
      </c>
      <c r="GG22" s="367">
        <v>32478</v>
      </c>
      <c r="GH22" s="339">
        <v>29</v>
      </c>
      <c r="GI22" s="339" t="s">
        <v>2346</v>
      </c>
      <c r="GJ22" s="339">
        <v>6</v>
      </c>
      <c r="GM22" s="339">
        <v>2</v>
      </c>
      <c r="GN22" s="339" t="s">
        <v>1591</v>
      </c>
      <c r="GO22" s="339">
        <v>26</v>
      </c>
      <c r="GP22" s="339">
        <v>8</v>
      </c>
      <c r="GQ22" s="339">
        <v>4</v>
      </c>
      <c r="GR22" s="339">
        <v>3</v>
      </c>
      <c r="GS22" s="339">
        <v>11</v>
      </c>
      <c r="GT22" s="339" t="s">
        <v>2096</v>
      </c>
      <c r="GU22" s="351">
        <v>35</v>
      </c>
      <c r="GV22" s="339">
        <v>30</v>
      </c>
      <c r="GW22" s="339" t="s">
        <v>2423</v>
      </c>
      <c r="GX22" s="339">
        <v>34</v>
      </c>
      <c r="GY22" s="339" t="s">
        <v>2424</v>
      </c>
      <c r="GZ22" s="339">
        <v>6</v>
      </c>
      <c r="HC22" s="339">
        <v>2</v>
      </c>
      <c r="HD22" s="339" t="s">
        <v>2224</v>
      </c>
      <c r="HE22" s="339">
        <v>26</v>
      </c>
      <c r="HF22" s="339">
        <v>10</v>
      </c>
      <c r="HG22" s="339">
        <v>1</v>
      </c>
      <c r="HH22" s="339">
        <v>3</v>
      </c>
      <c r="HI22" s="339">
        <v>1</v>
      </c>
      <c r="HJ22" s="339">
        <v>11</v>
      </c>
      <c r="HK22" s="339" t="s">
        <v>2504</v>
      </c>
      <c r="HL22" s="351">
        <v>36</v>
      </c>
      <c r="HM22" s="339">
        <v>16</v>
      </c>
      <c r="HN22" s="367">
        <v>43770</v>
      </c>
      <c r="HO22" s="339">
        <v>20</v>
      </c>
      <c r="HP22" s="339" t="s">
        <v>2505</v>
      </c>
      <c r="HQ22" s="339">
        <v>2</v>
      </c>
      <c r="HT22" s="339">
        <v>2</v>
      </c>
      <c r="HU22" s="339" t="s">
        <v>1297</v>
      </c>
      <c r="HV22" s="339">
        <v>26</v>
      </c>
      <c r="HW22" s="339">
        <v>11</v>
      </c>
      <c r="HX22" s="339">
        <v>3</v>
      </c>
      <c r="HY22" s="339">
        <v>2</v>
      </c>
      <c r="HZ22" s="339">
        <v>1</v>
      </c>
      <c r="IA22" s="339">
        <v>9</v>
      </c>
      <c r="IB22" s="352">
        <v>3.1236111111111113</v>
      </c>
      <c r="IC22" s="351">
        <v>42</v>
      </c>
      <c r="ID22" s="339">
        <v>25</v>
      </c>
      <c r="IE22" s="339" t="s">
        <v>2571</v>
      </c>
      <c r="IF22" s="339">
        <v>11</v>
      </c>
      <c r="IG22" s="339" t="s">
        <v>2572</v>
      </c>
      <c r="IH22" s="339">
        <v>3</v>
      </c>
      <c r="IK22" s="339">
        <v>2</v>
      </c>
      <c r="IL22" s="339" t="s">
        <v>1297</v>
      </c>
      <c r="IM22" s="339">
        <v>26</v>
      </c>
      <c r="IN22" s="339">
        <v>11</v>
      </c>
      <c r="IO22" s="339">
        <v>1</v>
      </c>
      <c r="IP22" s="339">
        <v>1</v>
      </c>
      <c r="IQ22" s="339">
        <v>0</v>
      </c>
      <c r="IR22" s="339">
        <v>13</v>
      </c>
      <c r="IS22" s="339" t="s">
        <v>2642</v>
      </c>
      <c r="IT22" s="351">
        <v>36</v>
      </c>
      <c r="IU22" s="339">
        <v>18</v>
      </c>
      <c r="IV22" s="339" t="s">
        <v>1489</v>
      </c>
      <c r="IW22" s="339">
        <v>17</v>
      </c>
      <c r="IX22" s="339" t="s">
        <v>2643</v>
      </c>
      <c r="IY22" s="339">
        <v>2</v>
      </c>
      <c r="JB22" s="339">
        <v>2</v>
      </c>
      <c r="JC22" s="339" t="s">
        <v>1311</v>
      </c>
      <c r="JD22" s="339">
        <v>26</v>
      </c>
      <c r="JE22" s="339">
        <v>11</v>
      </c>
      <c r="JF22" s="339">
        <v>3</v>
      </c>
      <c r="JG22" s="339">
        <v>2</v>
      </c>
      <c r="JH22" s="339">
        <v>1</v>
      </c>
      <c r="JI22" s="339">
        <v>9</v>
      </c>
      <c r="JJ22" s="339" t="s">
        <v>2719</v>
      </c>
      <c r="JK22" s="351">
        <v>42</v>
      </c>
      <c r="JL22" s="339">
        <v>18</v>
      </c>
      <c r="JM22" s="339" t="s">
        <v>2720</v>
      </c>
      <c r="JN22" s="339">
        <v>23</v>
      </c>
      <c r="JO22" s="339" t="s">
        <v>2507</v>
      </c>
      <c r="JP22" s="339">
        <v>3</v>
      </c>
      <c r="JS22" s="339">
        <v>2</v>
      </c>
      <c r="JT22" s="339" t="s">
        <v>1286</v>
      </c>
      <c r="JU22" s="339">
        <v>26</v>
      </c>
      <c r="JV22" s="339">
        <v>11</v>
      </c>
      <c r="JW22" s="339">
        <v>4</v>
      </c>
      <c r="JX22" s="339">
        <v>2</v>
      </c>
      <c r="JY22" s="339">
        <v>2</v>
      </c>
      <c r="JZ22" s="339">
        <v>7</v>
      </c>
      <c r="KA22" s="339" t="s">
        <v>2772</v>
      </c>
      <c r="KB22" s="351">
        <v>45</v>
      </c>
      <c r="KC22" s="339">
        <v>0</v>
      </c>
      <c r="KD22" s="339" t="s">
        <v>78</v>
      </c>
      <c r="KE22" s="339">
        <v>0</v>
      </c>
      <c r="KF22" s="339" t="s">
        <v>2757</v>
      </c>
      <c r="KG22" s="339">
        <v>0</v>
      </c>
      <c r="KJ22" s="339">
        <v>2</v>
      </c>
      <c r="KK22" s="339" t="s">
        <v>2249</v>
      </c>
      <c r="KL22" s="339">
        <v>26</v>
      </c>
      <c r="KM22" s="339">
        <v>9</v>
      </c>
      <c r="KN22" s="339">
        <v>2</v>
      </c>
      <c r="KO22" s="339">
        <v>3</v>
      </c>
      <c r="KP22" s="339">
        <v>2</v>
      </c>
      <c r="KQ22" s="339">
        <v>10</v>
      </c>
      <c r="KR22" s="339" t="s">
        <v>2806</v>
      </c>
      <c r="KS22" s="351">
        <v>36</v>
      </c>
      <c r="KT22" s="339">
        <v>0</v>
      </c>
      <c r="KU22" s="339" t="s">
        <v>78</v>
      </c>
      <c r="KV22" s="339">
        <v>0</v>
      </c>
      <c r="KW22" s="339" t="s">
        <v>2757</v>
      </c>
      <c r="KX22" s="339">
        <v>0</v>
      </c>
      <c r="LA22" s="339">
        <v>2</v>
      </c>
      <c r="LB22" s="339" t="s">
        <v>2418</v>
      </c>
      <c r="LC22" s="339">
        <v>26</v>
      </c>
      <c r="LD22" s="339">
        <v>9</v>
      </c>
      <c r="LE22" s="339">
        <v>0</v>
      </c>
      <c r="LF22" s="339">
        <v>7</v>
      </c>
      <c r="LG22" s="339">
        <v>0</v>
      </c>
      <c r="LH22" s="339">
        <v>10</v>
      </c>
      <c r="LI22" s="339" t="s">
        <v>2272</v>
      </c>
      <c r="LJ22" s="351">
        <v>25</v>
      </c>
      <c r="LK22" s="339">
        <v>0</v>
      </c>
      <c r="LL22" s="339" t="s">
        <v>78</v>
      </c>
      <c r="LM22" s="339">
        <v>0</v>
      </c>
      <c r="LN22" s="339" t="s">
        <v>2757</v>
      </c>
      <c r="LO22" s="339">
        <v>0</v>
      </c>
      <c r="LR22" s="339">
        <v>2</v>
      </c>
      <c r="LS22" s="339" t="s">
        <v>1297</v>
      </c>
      <c r="LT22" s="339">
        <v>26</v>
      </c>
      <c r="LU22" s="339">
        <v>10</v>
      </c>
      <c r="LV22" s="339">
        <v>0</v>
      </c>
      <c r="LW22" s="339">
        <v>7</v>
      </c>
      <c r="LX22" s="339">
        <v>0</v>
      </c>
      <c r="LY22" s="339">
        <v>9</v>
      </c>
      <c r="LZ22" s="339" t="s">
        <v>2891</v>
      </c>
      <c r="MA22" s="351">
        <v>27</v>
      </c>
      <c r="MB22" s="339">
        <v>26</v>
      </c>
      <c r="MC22" s="339" t="s">
        <v>2892</v>
      </c>
      <c r="MD22" s="339">
        <v>22</v>
      </c>
      <c r="ME22" s="339" t="s">
        <v>1603</v>
      </c>
      <c r="MF22" s="339">
        <v>0</v>
      </c>
    </row>
    <row r="23" spans="2:344" ht="42" thickBot="1" x14ac:dyDescent="0.35">
      <c r="B23" s="339">
        <v>3</v>
      </c>
      <c r="C23" s="339" t="s">
        <v>1297</v>
      </c>
      <c r="D23" s="339">
        <v>26</v>
      </c>
      <c r="E23" s="339">
        <v>10</v>
      </c>
      <c r="F23" s="339">
        <v>6</v>
      </c>
      <c r="G23" s="339"/>
      <c r="H23" s="339">
        <v>0</v>
      </c>
      <c r="I23" s="339">
        <v>10</v>
      </c>
      <c r="J23" s="339" t="s">
        <v>1319</v>
      </c>
      <c r="K23" s="351">
        <v>42</v>
      </c>
      <c r="L23" s="339">
        <v>16</v>
      </c>
      <c r="M23" s="339" t="s">
        <v>1321</v>
      </c>
      <c r="N23" s="339">
        <v>20</v>
      </c>
      <c r="O23" s="339" t="s">
        <v>1322</v>
      </c>
      <c r="P23" s="339">
        <v>2</v>
      </c>
      <c r="Q23" s="342"/>
      <c r="S23" s="339">
        <v>3</v>
      </c>
      <c r="T23" s="339" t="s">
        <v>1270</v>
      </c>
      <c r="U23" s="339">
        <v>26</v>
      </c>
      <c r="V23" s="339">
        <v>10</v>
      </c>
      <c r="W23" s="339">
        <v>3</v>
      </c>
      <c r="X23" s="339">
        <v>6</v>
      </c>
      <c r="Y23" s="339">
        <v>7</v>
      </c>
      <c r="Z23" s="339" t="s">
        <v>1441</v>
      </c>
      <c r="AA23" s="351">
        <v>42</v>
      </c>
      <c r="AB23" s="339">
        <v>15</v>
      </c>
      <c r="AC23" s="339" t="s">
        <v>1442</v>
      </c>
      <c r="AD23" s="339">
        <v>20</v>
      </c>
      <c r="AE23" s="339" t="s">
        <v>1443</v>
      </c>
      <c r="AF23" s="339">
        <v>2</v>
      </c>
      <c r="AI23" s="339">
        <v>3</v>
      </c>
      <c r="AJ23" s="339" t="s">
        <v>1266</v>
      </c>
      <c r="AK23" s="339">
        <v>26</v>
      </c>
      <c r="AL23" s="339">
        <v>11</v>
      </c>
      <c r="AM23" s="339">
        <v>2</v>
      </c>
      <c r="AN23" s="339">
        <v>6</v>
      </c>
      <c r="AO23" s="339">
        <v>7</v>
      </c>
      <c r="AP23" s="339" t="s">
        <v>1530</v>
      </c>
      <c r="AQ23" s="351">
        <v>43</v>
      </c>
      <c r="AR23" s="339">
        <v>18</v>
      </c>
      <c r="AS23" s="339" t="s">
        <v>1531</v>
      </c>
      <c r="AT23" s="339">
        <v>16</v>
      </c>
      <c r="AU23" s="339" t="s">
        <v>1392</v>
      </c>
      <c r="AV23" s="339">
        <v>4</v>
      </c>
      <c r="AY23" s="339">
        <v>3</v>
      </c>
      <c r="AZ23" s="339" t="s">
        <v>1270</v>
      </c>
      <c r="BA23" s="339">
        <v>26</v>
      </c>
      <c r="BB23" s="339">
        <v>11</v>
      </c>
      <c r="BC23" s="339">
        <v>2</v>
      </c>
      <c r="BD23" s="339">
        <v>4</v>
      </c>
      <c r="BE23" s="339">
        <v>9</v>
      </c>
      <c r="BF23" s="339" t="s">
        <v>1644</v>
      </c>
      <c r="BG23" s="351">
        <v>41</v>
      </c>
      <c r="BH23" s="339">
        <v>26</v>
      </c>
      <c r="BI23" s="366">
        <v>43546</v>
      </c>
      <c r="BJ23" s="339">
        <v>18</v>
      </c>
      <c r="BK23" s="339" t="s">
        <v>1645</v>
      </c>
      <c r="BL23" s="339">
        <v>6</v>
      </c>
      <c r="BO23" s="339">
        <v>3</v>
      </c>
      <c r="BP23" s="339" t="s">
        <v>80</v>
      </c>
      <c r="BQ23" s="339">
        <v>26</v>
      </c>
      <c r="BR23" s="339">
        <v>12</v>
      </c>
      <c r="BS23" s="339">
        <v>3</v>
      </c>
      <c r="BT23" s="339">
        <v>3</v>
      </c>
      <c r="BU23" s="339">
        <v>8</v>
      </c>
      <c r="BV23" s="339" t="s">
        <v>1734</v>
      </c>
      <c r="BW23" s="351">
        <v>45</v>
      </c>
      <c r="BX23" s="339">
        <v>25</v>
      </c>
      <c r="BY23" s="339" t="s">
        <v>1459</v>
      </c>
      <c r="BZ23" s="339">
        <v>27</v>
      </c>
      <c r="CA23" s="339" t="s">
        <v>1559</v>
      </c>
      <c r="CB23" s="339">
        <v>3</v>
      </c>
      <c r="CE23" s="339">
        <v>3</v>
      </c>
      <c r="CF23" s="339" t="s">
        <v>1293</v>
      </c>
      <c r="CG23" s="339">
        <v>26</v>
      </c>
      <c r="CH23" s="339">
        <v>10</v>
      </c>
      <c r="CI23" s="339">
        <v>4</v>
      </c>
      <c r="CJ23" s="339">
        <v>3</v>
      </c>
      <c r="CK23" s="339">
        <v>9</v>
      </c>
      <c r="CL23" s="352">
        <v>2.4125000000000001</v>
      </c>
      <c r="CM23" s="351">
        <v>41</v>
      </c>
      <c r="CN23" s="339">
        <v>19</v>
      </c>
      <c r="CO23" s="366">
        <v>43790</v>
      </c>
      <c r="CP23" s="339">
        <v>17</v>
      </c>
      <c r="CQ23" s="339" t="s">
        <v>1824</v>
      </c>
      <c r="CR23" s="339">
        <v>4</v>
      </c>
      <c r="CU23" s="339">
        <v>3</v>
      </c>
      <c r="CV23" s="339" t="s">
        <v>1270</v>
      </c>
      <c r="CW23" s="339">
        <v>26</v>
      </c>
      <c r="CX23" s="339">
        <v>9</v>
      </c>
      <c r="CY23" s="339">
        <v>4</v>
      </c>
      <c r="CZ23" s="339">
        <v>5</v>
      </c>
      <c r="DA23" s="339">
        <v>8</v>
      </c>
      <c r="DB23" s="339" t="s">
        <v>1918</v>
      </c>
      <c r="DC23" s="351">
        <v>40</v>
      </c>
      <c r="DD23" s="339">
        <v>20</v>
      </c>
      <c r="DE23" s="366">
        <v>43606</v>
      </c>
      <c r="DF23" s="339">
        <v>23</v>
      </c>
      <c r="DG23" s="339" t="s">
        <v>1919</v>
      </c>
      <c r="DH23" s="339">
        <v>2</v>
      </c>
      <c r="DK23" s="339">
        <v>3</v>
      </c>
      <c r="DL23" s="339" t="s">
        <v>1591</v>
      </c>
      <c r="DM23" s="339">
        <v>26</v>
      </c>
      <c r="DN23" s="339">
        <v>8</v>
      </c>
      <c r="DO23" s="339">
        <v>3</v>
      </c>
      <c r="DP23" s="339">
        <v>6</v>
      </c>
      <c r="DQ23" s="339">
        <v>9</v>
      </c>
      <c r="DR23" s="339" t="s">
        <v>2011</v>
      </c>
      <c r="DS23" s="351">
        <v>36</v>
      </c>
      <c r="DT23" s="339">
        <v>18</v>
      </c>
      <c r="DU23" s="339" t="s">
        <v>2012</v>
      </c>
      <c r="DV23" s="339">
        <v>30</v>
      </c>
      <c r="DW23" s="339" t="s">
        <v>2013</v>
      </c>
      <c r="DX23" s="339">
        <v>3</v>
      </c>
      <c r="EA23" s="339">
        <v>3</v>
      </c>
      <c r="EB23" s="339" t="s">
        <v>1266</v>
      </c>
      <c r="EC23" s="339">
        <v>26</v>
      </c>
      <c r="ED23" s="339">
        <v>10</v>
      </c>
      <c r="EE23" s="339">
        <v>1</v>
      </c>
      <c r="EF23" s="339">
        <v>6</v>
      </c>
      <c r="EG23" s="339">
        <v>9</v>
      </c>
      <c r="EH23" s="339" t="s">
        <v>2096</v>
      </c>
      <c r="EI23" s="351">
        <v>38</v>
      </c>
      <c r="EJ23" s="339">
        <v>23</v>
      </c>
      <c r="EK23" s="339" t="s">
        <v>2097</v>
      </c>
      <c r="EL23" s="339">
        <v>21</v>
      </c>
      <c r="EM23" s="339" t="s">
        <v>2098</v>
      </c>
      <c r="EN23" s="339">
        <v>3</v>
      </c>
      <c r="EQ23" s="339">
        <v>3</v>
      </c>
      <c r="ER23" s="339" t="s">
        <v>2068</v>
      </c>
      <c r="ES23" s="339">
        <v>26</v>
      </c>
      <c r="ET23" s="339">
        <v>9</v>
      </c>
      <c r="EU23" s="339">
        <v>4</v>
      </c>
      <c r="EV23" s="339">
        <v>4</v>
      </c>
      <c r="EW23" s="339">
        <v>9</v>
      </c>
      <c r="EX23" s="339" t="s">
        <v>2176</v>
      </c>
      <c r="EY23" s="351">
        <v>39</v>
      </c>
      <c r="EZ23" s="339">
        <v>22</v>
      </c>
      <c r="FA23" s="339" t="s">
        <v>2177</v>
      </c>
      <c r="FB23" s="339">
        <v>25</v>
      </c>
      <c r="FC23" s="339" t="s">
        <v>1983</v>
      </c>
      <c r="FD23" s="339">
        <v>3</v>
      </c>
      <c r="FG23" s="339">
        <v>3</v>
      </c>
      <c r="FH23" s="339" t="s">
        <v>2236</v>
      </c>
      <c r="FI23" s="339">
        <v>26</v>
      </c>
      <c r="FJ23" s="339">
        <v>10</v>
      </c>
      <c r="FK23" s="339">
        <v>0</v>
      </c>
      <c r="FL23" s="339">
        <v>4</v>
      </c>
      <c r="FM23" s="339">
        <v>12</v>
      </c>
      <c r="FN23" s="339" t="s">
        <v>2261</v>
      </c>
      <c r="FO23" s="351">
        <v>34</v>
      </c>
      <c r="FP23" s="339">
        <v>27</v>
      </c>
      <c r="FQ23" s="339" t="s">
        <v>2262</v>
      </c>
      <c r="FR23" s="339">
        <v>25</v>
      </c>
      <c r="FS23" s="339" t="s">
        <v>1801</v>
      </c>
      <c r="FT23" s="339">
        <v>5</v>
      </c>
      <c r="FW23" s="339">
        <v>3</v>
      </c>
      <c r="FX23" s="339" t="s">
        <v>1262</v>
      </c>
      <c r="FY23" s="339">
        <v>26</v>
      </c>
      <c r="FZ23" s="339">
        <v>8</v>
      </c>
      <c r="GA23" s="339">
        <v>6</v>
      </c>
      <c r="GB23" s="339">
        <v>4</v>
      </c>
      <c r="GC23" s="339">
        <v>8</v>
      </c>
      <c r="GD23" s="339" t="s">
        <v>2347</v>
      </c>
      <c r="GE23" s="351">
        <v>40</v>
      </c>
      <c r="GF23" s="339">
        <v>19</v>
      </c>
      <c r="GG23" s="367">
        <v>21520</v>
      </c>
      <c r="GH23" s="339">
        <v>23</v>
      </c>
      <c r="GI23" s="339" t="s">
        <v>2348</v>
      </c>
      <c r="GJ23" s="339">
        <v>3</v>
      </c>
      <c r="GM23" s="339">
        <v>3</v>
      </c>
      <c r="GN23" s="339" t="s">
        <v>1262</v>
      </c>
      <c r="GO23" s="339">
        <v>26</v>
      </c>
      <c r="GP23" s="339">
        <v>9</v>
      </c>
      <c r="GQ23" s="339">
        <v>2</v>
      </c>
      <c r="GR23" s="339">
        <v>3</v>
      </c>
      <c r="GS23" s="339">
        <v>12</v>
      </c>
      <c r="GT23" s="339" t="s">
        <v>2425</v>
      </c>
      <c r="GU23" s="351">
        <v>34</v>
      </c>
      <c r="GV23" s="339">
        <v>21</v>
      </c>
      <c r="GW23" s="339" t="s">
        <v>2426</v>
      </c>
      <c r="GX23" s="339">
        <v>32</v>
      </c>
      <c r="GY23" s="339" t="s">
        <v>1970</v>
      </c>
      <c r="GZ23" s="339">
        <v>6</v>
      </c>
      <c r="HC23" s="339">
        <v>3</v>
      </c>
      <c r="HD23" s="339" t="s">
        <v>2249</v>
      </c>
      <c r="HE23" s="339">
        <v>26</v>
      </c>
      <c r="HF23" s="339">
        <v>9</v>
      </c>
      <c r="HG23" s="339">
        <v>0</v>
      </c>
      <c r="HH23" s="339">
        <v>6</v>
      </c>
      <c r="HI23" s="339">
        <v>2</v>
      </c>
      <c r="HJ23" s="339">
        <v>9</v>
      </c>
      <c r="HK23" s="339" t="s">
        <v>2506</v>
      </c>
      <c r="HL23" s="351">
        <v>35</v>
      </c>
      <c r="HM23" s="339">
        <v>11</v>
      </c>
      <c r="HN23" s="367">
        <v>12724</v>
      </c>
      <c r="HO23" s="339">
        <v>23</v>
      </c>
      <c r="HP23" s="339" t="s">
        <v>2507</v>
      </c>
      <c r="HQ23" s="339">
        <v>2</v>
      </c>
      <c r="HT23" s="339">
        <v>3</v>
      </c>
      <c r="HU23" s="339" t="s">
        <v>1591</v>
      </c>
      <c r="HV23" s="339">
        <v>26</v>
      </c>
      <c r="HW23" s="339">
        <v>12</v>
      </c>
      <c r="HX23" s="339">
        <v>1</v>
      </c>
      <c r="HY23" s="339">
        <v>0</v>
      </c>
      <c r="HZ23" s="339">
        <v>1</v>
      </c>
      <c r="IA23" s="339">
        <v>12</v>
      </c>
      <c r="IB23" s="339" t="s">
        <v>1375</v>
      </c>
      <c r="IC23" s="351">
        <v>39</v>
      </c>
      <c r="ID23" s="339">
        <v>15</v>
      </c>
      <c r="IE23" s="339" t="s">
        <v>2573</v>
      </c>
      <c r="IF23" s="339">
        <v>19</v>
      </c>
      <c r="IG23" s="339" t="s">
        <v>1491</v>
      </c>
      <c r="IH23" s="339">
        <v>2</v>
      </c>
      <c r="IK23" s="339">
        <v>3</v>
      </c>
      <c r="IL23" s="339" t="s">
        <v>2249</v>
      </c>
      <c r="IM23" s="339">
        <v>26</v>
      </c>
      <c r="IN23" s="339">
        <v>10</v>
      </c>
      <c r="IO23" s="339">
        <v>2</v>
      </c>
      <c r="IP23" s="339">
        <v>2</v>
      </c>
      <c r="IQ23" s="339">
        <v>0</v>
      </c>
      <c r="IR23" s="339">
        <v>12</v>
      </c>
      <c r="IS23" s="339" t="s">
        <v>2644</v>
      </c>
      <c r="IT23" s="351">
        <v>36</v>
      </c>
      <c r="IU23" s="339">
        <v>16</v>
      </c>
      <c r="IV23" s="339" t="s">
        <v>2300</v>
      </c>
      <c r="IW23" s="339">
        <v>23</v>
      </c>
      <c r="IX23" s="339" t="s">
        <v>1891</v>
      </c>
      <c r="IY23" s="339">
        <v>3</v>
      </c>
      <c r="JB23" s="339">
        <v>3</v>
      </c>
      <c r="JC23" s="339" t="s">
        <v>1297</v>
      </c>
      <c r="JD23" s="339">
        <v>26</v>
      </c>
      <c r="JE23" s="339">
        <v>10</v>
      </c>
      <c r="JF23" s="339">
        <v>1</v>
      </c>
      <c r="JG23" s="339">
        <v>3</v>
      </c>
      <c r="JH23" s="339">
        <v>2</v>
      </c>
      <c r="JI23" s="339">
        <v>10</v>
      </c>
      <c r="JJ23" s="339" t="s">
        <v>2306</v>
      </c>
      <c r="JK23" s="351">
        <v>37</v>
      </c>
      <c r="JL23" s="339">
        <v>17</v>
      </c>
      <c r="JM23" s="366">
        <v>43726</v>
      </c>
      <c r="JN23" s="339">
        <v>17</v>
      </c>
      <c r="JO23" s="339" t="s">
        <v>1950</v>
      </c>
      <c r="JP23" s="339">
        <v>1</v>
      </c>
      <c r="JS23" s="339">
        <v>3</v>
      </c>
      <c r="JT23" s="339" t="s">
        <v>1293</v>
      </c>
      <c r="JU23" s="339">
        <v>26</v>
      </c>
      <c r="JV23" s="339">
        <v>11</v>
      </c>
      <c r="JW23" s="339">
        <v>3</v>
      </c>
      <c r="JX23" s="339">
        <v>2</v>
      </c>
      <c r="JY23" s="339">
        <v>2</v>
      </c>
      <c r="JZ23" s="339">
        <v>8</v>
      </c>
      <c r="KA23" s="339" t="s">
        <v>2773</v>
      </c>
      <c r="KB23" s="351">
        <v>43</v>
      </c>
      <c r="KC23" s="339">
        <v>0</v>
      </c>
      <c r="KD23" s="339" t="s">
        <v>78</v>
      </c>
      <c r="KE23" s="339">
        <v>0</v>
      </c>
      <c r="KF23" s="339" t="s">
        <v>2757</v>
      </c>
      <c r="KG23" s="339">
        <v>0</v>
      </c>
      <c r="KJ23" s="339">
        <v>3</v>
      </c>
      <c r="KK23" s="339" t="s">
        <v>2412</v>
      </c>
      <c r="KL23" s="339">
        <v>26</v>
      </c>
      <c r="KM23" s="339">
        <v>10</v>
      </c>
      <c r="KN23" s="339">
        <v>0</v>
      </c>
      <c r="KO23" s="339">
        <v>4</v>
      </c>
      <c r="KP23" s="339">
        <v>0</v>
      </c>
      <c r="KQ23" s="339">
        <v>12</v>
      </c>
      <c r="KR23" s="339" t="s">
        <v>2807</v>
      </c>
      <c r="KS23" s="351">
        <v>34</v>
      </c>
      <c r="KT23" s="339">
        <v>0</v>
      </c>
      <c r="KU23" s="339" t="s">
        <v>78</v>
      </c>
      <c r="KV23" s="339">
        <v>0</v>
      </c>
      <c r="KW23" s="339" t="s">
        <v>2757</v>
      </c>
      <c r="KX23" s="339">
        <v>0</v>
      </c>
      <c r="LA23" s="339">
        <v>3</v>
      </c>
      <c r="LB23" s="339" t="s">
        <v>2706</v>
      </c>
      <c r="LC23" s="339">
        <v>26</v>
      </c>
      <c r="LD23" s="339">
        <v>10</v>
      </c>
      <c r="LE23" s="339">
        <v>0</v>
      </c>
      <c r="LF23" s="339">
        <v>4</v>
      </c>
      <c r="LG23" s="339">
        <v>0</v>
      </c>
      <c r="LH23" s="339">
        <v>12</v>
      </c>
      <c r="LI23" s="339" t="s">
        <v>2843</v>
      </c>
      <c r="LJ23" s="351">
        <v>24</v>
      </c>
      <c r="LK23" s="339">
        <v>0</v>
      </c>
      <c r="LL23" s="339" t="s">
        <v>78</v>
      </c>
      <c r="LM23" s="339">
        <v>0</v>
      </c>
      <c r="LN23" s="339" t="s">
        <v>2757</v>
      </c>
      <c r="LO23" s="339">
        <v>0</v>
      </c>
      <c r="LR23" s="339">
        <v>3</v>
      </c>
      <c r="LS23" s="339" t="s">
        <v>2490</v>
      </c>
      <c r="LT23" s="339">
        <v>26</v>
      </c>
      <c r="LU23" s="339">
        <v>10</v>
      </c>
      <c r="LV23" s="339">
        <v>0</v>
      </c>
      <c r="LW23" s="339">
        <v>6</v>
      </c>
      <c r="LX23" s="339">
        <v>0</v>
      </c>
      <c r="LY23" s="339">
        <v>10</v>
      </c>
      <c r="LZ23" s="339" t="s">
        <v>2893</v>
      </c>
      <c r="MA23" s="351">
        <v>26</v>
      </c>
      <c r="MB23" s="339">
        <v>15</v>
      </c>
      <c r="MC23" s="339" t="s">
        <v>2423</v>
      </c>
      <c r="MD23" s="339">
        <v>23</v>
      </c>
      <c r="ME23" s="339" t="s">
        <v>1968</v>
      </c>
      <c r="MF23" s="339">
        <v>4</v>
      </c>
    </row>
    <row r="24" spans="2:344" ht="55.8" thickBot="1" x14ac:dyDescent="0.35">
      <c r="B24" s="339">
        <v>4</v>
      </c>
      <c r="C24" s="339" t="s">
        <v>1278</v>
      </c>
      <c r="D24" s="339">
        <v>26</v>
      </c>
      <c r="E24" s="339">
        <v>9</v>
      </c>
      <c r="F24" s="339">
        <v>4</v>
      </c>
      <c r="G24" s="339"/>
      <c r="H24" s="339">
        <v>3</v>
      </c>
      <c r="I24" s="339">
        <v>10</v>
      </c>
      <c r="J24" s="339" t="s">
        <v>1323</v>
      </c>
      <c r="K24" s="351">
        <v>38</v>
      </c>
      <c r="L24" s="339">
        <v>22</v>
      </c>
      <c r="M24" s="339" t="s">
        <v>1324</v>
      </c>
      <c r="N24" s="339">
        <v>19</v>
      </c>
      <c r="O24" s="339" t="s">
        <v>1325</v>
      </c>
      <c r="P24" s="339">
        <v>2</v>
      </c>
      <c r="Q24" s="342"/>
      <c r="S24" s="339">
        <v>4</v>
      </c>
      <c r="T24" s="339" t="s">
        <v>1278</v>
      </c>
      <c r="U24" s="339">
        <v>26</v>
      </c>
      <c r="V24" s="339">
        <v>11</v>
      </c>
      <c r="W24" s="339">
        <v>2</v>
      </c>
      <c r="X24" s="339">
        <v>4</v>
      </c>
      <c r="Y24" s="339">
        <v>9</v>
      </c>
      <c r="Z24" s="339" t="s">
        <v>1444</v>
      </c>
      <c r="AA24" s="351">
        <v>41</v>
      </c>
      <c r="AB24" s="339">
        <v>13</v>
      </c>
      <c r="AC24" s="339" t="s">
        <v>1445</v>
      </c>
      <c r="AD24" s="339">
        <v>17</v>
      </c>
      <c r="AE24" s="339" t="s">
        <v>1446</v>
      </c>
      <c r="AF24" s="339">
        <v>5</v>
      </c>
      <c r="AI24" s="339">
        <v>4</v>
      </c>
      <c r="AJ24" s="339" t="s">
        <v>80</v>
      </c>
      <c r="AK24" s="339">
        <v>26</v>
      </c>
      <c r="AL24" s="339">
        <v>11</v>
      </c>
      <c r="AM24" s="339">
        <v>2</v>
      </c>
      <c r="AN24" s="339">
        <v>1</v>
      </c>
      <c r="AO24" s="339">
        <v>12</v>
      </c>
      <c r="AP24" s="339" t="s">
        <v>1532</v>
      </c>
      <c r="AQ24" s="351">
        <v>38</v>
      </c>
      <c r="AR24" s="339">
        <v>14</v>
      </c>
      <c r="AS24" s="339" t="s">
        <v>1533</v>
      </c>
      <c r="AT24" s="339">
        <v>17</v>
      </c>
      <c r="AU24" s="339" t="s">
        <v>1534</v>
      </c>
      <c r="AV24" s="339">
        <v>1</v>
      </c>
      <c r="AY24" s="339">
        <v>4</v>
      </c>
      <c r="AZ24" s="339" t="s">
        <v>1293</v>
      </c>
      <c r="BA24" s="339">
        <v>26</v>
      </c>
      <c r="BB24" s="339">
        <v>9</v>
      </c>
      <c r="BC24" s="339">
        <v>3</v>
      </c>
      <c r="BD24" s="339">
        <v>5</v>
      </c>
      <c r="BE24" s="339">
        <v>9</v>
      </c>
      <c r="BF24" s="339" t="s">
        <v>1646</v>
      </c>
      <c r="BG24" s="351">
        <v>38</v>
      </c>
      <c r="BH24" s="339">
        <v>15</v>
      </c>
      <c r="BI24" s="339" t="s">
        <v>1340</v>
      </c>
      <c r="BJ24" s="339">
        <v>17</v>
      </c>
      <c r="BK24" s="339" t="s">
        <v>1647</v>
      </c>
      <c r="BL24" s="339">
        <v>2</v>
      </c>
      <c r="BO24" s="339">
        <v>4</v>
      </c>
      <c r="BP24" s="339" t="s">
        <v>1278</v>
      </c>
      <c r="BQ24" s="339">
        <v>26</v>
      </c>
      <c r="BR24" s="339">
        <v>11</v>
      </c>
      <c r="BS24" s="339">
        <v>3</v>
      </c>
      <c r="BT24" s="339">
        <v>2</v>
      </c>
      <c r="BU24" s="339">
        <v>10</v>
      </c>
      <c r="BV24" s="339" t="s">
        <v>1735</v>
      </c>
      <c r="BW24" s="351">
        <v>41</v>
      </c>
      <c r="BX24" s="339">
        <v>12</v>
      </c>
      <c r="BY24" s="367">
        <v>27973</v>
      </c>
      <c r="BZ24" s="339">
        <v>26</v>
      </c>
      <c r="CA24" s="339" t="s">
        <v>1736</v>
      </c>
      <c r="CB24" s="339">
        <v>9</v>
      </c>
      <c r="CE24" s="339">
        <v>4</v>
      </c>
      <c r="CF24" s="339" t="s">
        <v>1274</v>
      </c>
      <c r="CG24" s="339">
        <v>26</v>
      </c>
      <c r="CH24" s="339">
        <v>9</v>
      </c>
      <c r="CI24" s="339">
        <v>6</v>
      </c>
      <c r="CJ24" s="339">
        <v>2</v>
      </c>
      <c r="CK24" s="339">
        <v>9</v>
      </c>
      <c r="CL24" s="339" t="s">
        <v>1825</v>
      </c>
      <c r="CM24" s="351">
        <v>41</v>
      </c>
      <c r="CN24" s="339">
        <v>16</v>
      </c>
      <c r="CO24" s="339" t="s">
        <v>214</v>
      </c>
      <c r="CP24" s="339">
        <v>25</v>
      </c>
      <c r="CQ24" s="339" t="s">
        <v>1826</v>
      </c>
      <c r="CR24" s="339">
        <v>2</v>
      </c>
      <c r="CU24" s="339">
        <v>4</v>
      </c>
      <c r="CV24" s="339" t="s">
        <v>1297</v>
      </c>
      <c r="CW24" s="339">
        <v>26</v>
      </c>
      <c r="CX24" s="339">
        <v>10</v>
      </c>
      <c r="CY24" s="339">
        <v>2</v>
      </c>
      <c r="CZ24" s="339">
        <v>2</v>
      </c>
      <c r="DA24" s="339">
        <v>12</v>
      </c>
      <c r="DB24" s="339" t="s">
        <v>1920</v>
      </c>
      <c r="DC24" s="351">
        <v>36</v>
      </c>
      <c r="DD24" s="339">
        <v>26</v>
      </c>
      <c r="DE24" s="339" t="s">
        <v>1921</v>
      </c>
      <c r="DF24" s="339">
        <v>25</v>
      </c>
      <c r="DG24" s="339" t="s">
        <v>1767</v>
      </c>
      <c r="DH24" s="339">
        <v>8</v>
      </c>
      <c r="DK24" s="339">
        <v>4</v>
      </c>
      <c r="DL24" s="339" t="s">
        <v>1978</v>
      </c>
      <c r="DM24" s="339">
        <v>26</v>
      </c>
      <c r="DN24" s="339">
        <v>8</v>
      </c>
      <c r="DO24" s="339">
        <v>3</v>
      </c>
      <c r="DP24" s="339">
        <v>5</v>
      </c>
      <c r="DQ24" s="339">
        <v>10</v>
      </c>
      <c r="DR24" s="339" t="s">
        <v>2014</v>
      </c>
      <c r="DS24" s="351">
        <v>35</v>
      </c>
      <c r="DT24" s="339">
        <v>15</v>
      </c>
      <c r="DU24" s="339" t="s">
        <v>2015</v>
      </c>
      <c r="DV24" s="339">
        <v>24</v>
      </c>
      <c r="DW24" s="339" t="s">
        <v>1482</v>
      </c>
      <c r="DX24" s="339">
        <v>2</v>
      </c>
      <c r="EA24" s="339">
        <v>4</v>
      </c>
      <c r="EB24" s="339" t="s">
        <v>1293</v>
      </c>
      <c r="EC24" s="339">
        <v>26</v>
      </c>
      <c r="ED24" s="339">
        <v>9</v>
      </c>
      <c r="EE24" s="339">
        <v>4</v>
      </c>
      <c r="EF24" s="339">
        <v>3</v>
      </c>
      <c r="EG24" s="339">
        <v>10</v>
      </c>
      <c r="EH24" s="339" t="s">
        <v>2099</v>
      </c>
      <c r="EI24" s="351">
        <v>38</v>
      </c>
      <c r="EJ24" s="339">
        <v>9</v>
      </c>
      <c r="EK24" s="366">
        <v>43777</v>
      </c>
      <c r="EL24" s="339">
        <v>27</v>
      </c>
      <c r="EM24" s="339" t="s">
        <v>2100</v>
      </c>
      <c r="EN24" s="339">
        <v>4</v>
      </c>
      <c r="EQ24" s="339">
        <v>4</v>
      </c>
      <c r="ER24" s="339" t="s">
        <v>1297</v>
      </c>
      <c r="ES24" s="339">
        <v>26</v>
      </c>
      <c r="ET24" s="339">
        <v>10</v>
      </c>
      <c r="EU24" s="339">
        <v>3</v>
      </c>
      <c r="EV24" s="339">
        <v>3</v>
      </c>
      <c r="EW24" s="339">
        <v>10</v>
      </c>
      <c r="EX24" s="339" t="s">
        <v>1571</v>
      </c>
      <c r="EY24" s="351">
        <v>39</v>
      </c>
      <c r="EZ24" s="339">
        <v>19</v>
      </c>
      <c r="FA24" s="339" t="s">
        <v>2178</v>
      </c>
      <c r="FB24" s="339">
        <v>24</v>
      </c>
      <c r="FC24" s="339" t="s">
        <v>1995</v>
      </c>
      <c r="FD24" s="339">
        <v>4</v>
      </c>
      <c r="FG24" s="339">
        <v>4</v>
      </c>
      <c r="FH24" s="339" t="s">
        <v>1303</v>
      </c>
      <c r="FI24" s="339">
        <v>26</v>
      </c>
      <c r="FJ24" s="339">
        <v>8</v>
      </c>
      <c r="FK24" s="339">
        <v>2</v>
      </c>
      <c r="FL24" s="339">
        <v>5</v>
      </c>
      <c r="FM24" s="339">
        <v>11</v>
      </c>
      <c r="FN24" s="339" t="s">
        <v>2186</v>
      </c>
      <c r="FO24" s="351">
        <v>33</v>
      </c>
      <c r="FP24" s="339">
        <v>22</v>
      </c>
      <c r="FQ24" s="339" t="s">
        <v>2263</v>
      </c>
      <c r="FR24" s="339">
        <v>28</v>
      </c>
      <c r="FS24" s="339" t="s">
        <v>2264</v>
      </c>
      <c r="FT24" s="339">
        <v>5</v>
      </c>
      <c r="FW24" s="339">
        <v>4</v>
      </c>
      <c r="FX24" s="339" t="s">
        <v>1303</v>
      </c>
      <c r="FY24" s="339">
        <v>26</v>
      </c>
      <c r="FZ24" s="339">
        <v>6</v>
      </c>
      <c r="GA24" s="339">
        <v>8</v>
      </c>
      <c r="GB24" s="339">
        <v>2</v>
      </c>
      <c r="GC24" s="339">
        <v>10</v>
      </c>
      <c r="GD24" s="339" t="s">
        <v>2011</v>
      </c>
      <c r="GE24" s="351">
        <v>36</v>
      </c>
      <c r="GF24" s="339">
        <v>25</v>
      </c>
      <c r="GG24" s="339" t="s">
        <v>2349</v>
      </c>
      <c r="GH24" s="339">
        <v>33</v>
      </c>
      <c r="GI24" s="339" t="s">
        <v>2350</v>
      </c>
      <c r="GJ24" s="339">
        <v>5</v>
      </c>
      <c r="GM24" s="339">
        <v>4</v>
      </c>
      <c r="GN24" s="339" t="s">
        <v>1293</v>
      </c>
      <c r="GO24" s="339">
        <v>26</v>
      </c>
      <c r="GP24" s="339">
        <v>6</v>
      </c>
      <c r="GQ24" s="339">
        <v>6</v>
      </c>
      <c r="GR24" s="339">
        <v>4</v>
      </c>
      <c r="GS24" s="339">
        <v>10</v>
      </c>
      <c r="GT24" s="339" t="s">
        <v>2427</v>
      </c>
      <c r="GU24" s="351">
        <v>34</v>
      </c>
      <c r="GV24" s="339">
        <v>28</v>
      </c>
      <c r="GW24" s="339" t="s">
        <v>1606</v>
      </c>
      <c r="GX24" s="339">
        <v>32</v>
      </c>
      <c r="GY24" s="339" t="s">
        <v>2428</v>
      </c>
      <c r="GZ24" s="339">
        <v>5</v>
      </c>
      <c r="HC24" s="339">
        <v>4</v>
      </c>
      <c r="HD24" s="339" t="s">
        <v>1262</v>
      </c>
      <c r="HE24" s="339">
        <v>26</v>
      </c>
      <c r="HF24" s="339">
        <v>9</v>
      </c>
      <c r="HG24" s="339">
        <v>0</v>
      </c>
      <c r="HH24" s="339">
        <v>3</v>
      </c>
      <c r="HI24" s="339">
        <v>3</v>
      </c>
      <c r="HJ24" s="339">
        <v>11</v>
      </c>
      <c r="HK24" s="339" t="s">
        <v>1867</v>
      </c>
      <c r="HL24" s="351">
        <v>33</v>
      </c>
      <c r="HM24" s="339">
        <v>20</v>
      </c>
      <c r="HN24" s="339" t="s">
        <v>2508</v>
      </c>
      <c r="HO24" s="339">
        <v>25</v>
      </c>
      <c r="HP24" s="339" t="s">
        <v>2509</v>
      </c>
      <c r="HQ24" s="339">
        <v>4</v>
      </c>
      <c r="HT24" s="339">
        <v>4</v>
      </c>
      <c r="HU24" s="339" t="s">
        <v>2224</v>
      </c>
      <c r="HV24" s="339">
        <v>26</v>
      </c>
      <c r="HW24" s="339">
        <v>11</v>
      </c>
      <c r="HX24" s="339">
        <v>1</v>
      </c>
      <c r="HY24" s="339">
        <v>1</v>
      </c>
      <c r="HZ24" s="339">
        <v>2</v>
      </c>
      <c r="IA24" s="339">
        <v>11</v>
      </c>
      <c r="IB24" s="339" t="s">
        <v>2574</v>
      </c>
      <c r="IC24" s="351">
        <v>38</v>
      </c>
      <c r="ID24" s="339">
        <v>20</v>
      </c>
      <c r="IE24" s="339" t="s">
        <v>1969</v>
      </c>
      <c r="IF24" s="339">
        <v>19</v>
      </c>
      <c r="IG24" s="339" t="s">
        <v>2168</v>
      </c>
      <c r="IH24" s="339">
        <v>4</v>
      </c>
      <c r="IK24" s="339">
        <v>4</v>
      </c>
      <c r="IL24" s="339" t="s">
        <v>1293</v>
      </c>
      <c r="IM24" s="339">
        <v>26</v>
      </c>
      <c r="IN24" s="339">
        <v>9</v>
      </c>
      <c r="IO24" s="339">
        <v>2</v>
      </c>
      <c r="IP24" s="339">
        <v>1</v>
      </c>
      <c r="IQ24" s="339">
        <v>0</v>
      </c>
      <c r="IR24" s="339">
        <v>14</v>
      </c>
      <c r="IS24" s="339" t="s">
        <v>2645</v>
      </c>
      <c r="IT24" s="351">
        <v>32</v>
      </c>
      <c r="IU24" s="339">
        <v>21</v>
      </c>
      <c r="IV24" s="339" t="s">
        <v>2646</v>
      </c>
      <c r="IW24" s="339">
        <v>26</v>
      </c>
      <c r="IX24" s="339" t="s">
        <v>1738</v>
      </c>
      <c r="IY24" s="339">
        <v>1</v>
      </c>
      <c r="JB24" s="339">
        <v>4</v>
      </c>
      <c r="JC24" s="339" t="s">
        <v>2490</v>
      </c>
      <c r="JD24" s="339">
        <v>26</v>
      </c>
      <c r="JE24" s="339">
        <v>9</v>
      </c>
      <c r="JF24" s="339">
        <v>3</v>
      </c>
      <c r="JG24" s="339">
        <v>2</v>
      </c>
      <c r="JH24" s="339">
        <v>1</v>
      </c>
      <c r="JI24" s="339">
        <v>11</v>
      </c>
      <c r="JJ24" s="339" t="s">
        <v>2721</v>
      </c>
      <c r="JK24" s="351">
        <v>36</v>
      </c>
      <c r="JL24" s="339">
        <v>11</v>
      </c>
      <c r="JM24" s="339" t="s">
        <v>215</v>
      </c>
      <c r="JN24" s="339">
        <v>22</v>
      </c>
      <c r="JO24" s="339" t="s">
        <v>2661</v>
      </c>
      <c r="JP24" s="339">
        <v>4</v>
      </c>
      <c r="JS24" s="339">
        <v>4</v>
      </c>
      <c r="JT24" s="339" t="s">
        <v>1266</v>
      </c>
      <c r="JU24" s="339">
        <v>26</v>
      </c>
      <c r="JV24" s="339">
        <v>12</v>
      </c>
      <c r="JW24" s="339">
        <v>1</v>
      </c>
      <c r="JX24" s="339">
        <v>2</v>
      </c>
      <c r="JY24" s="339">
        <v>1</v>
      </c>
      <c r="JZ24" s="339">
        <v>10</v>
      </c>
      <c r="KA24" s="339" t="s">
        <v>2774</v>
      </c>
      <c r="KB24" s="351">
        <v>41</v>
      </c>
      <c r="KC24" s="339">
        <v>0</v>
      </c>
      <c r="KD24" s="339" t="s">
        <v>78</v>
      </c>
      <c r="KE24" s="339">
        <v>0</v>
      </c>
      <c r="KF24" s="339" t="s">
        <v>2757</v>
      </c>
      <c r="KG24" s="339">
        <v>0</v>
      </c>
      <c r="KJ24" s="339">
        <v>4</v>
      </c>
      <c r="KK24" s="339" t="s">
        <v>1297</v>
      </c>
      <c r="KL24" s="339">
        <v>26</v>
      </c>
      <c r="KM24" s="339">
        <v>7</v>
      </c>
      <c r="KN24" s="339">
        <v>3</v>
      </c>
      <c r="KO24" s="339">
        <v>1</v>
      </c>
      <c r="KP24" s="339">
        <v>5</v>
      </c>
      <c r="KQ24" s="339">
        <v>10</v>
      </c>
      <c r="KR24" s="339" t="s">
        <v>2808</v>
      </c>
      <c r="KS24" s="351">
        <v>33</v>
      </c>
      <c r="KT24" s="339">
        <v>0</v>
      </c>
      <c r="KU24" s="339" t="s">
        <v>78</v>
      </c>
      <c r="KV24" s="339">
        <v>0</v>
      </c>
      <c r="KW24" s="339" t="s">
        <v>2757</v>
      </c>
      <c r="KX24" s="339">
        <v>0</v>
      </c>
      <c r="LA24" s="339">
        <v>4</v>
      </c>
      <c r="LB24" s="339" t="s">
        <v>1293</v>
      </c>
      <c r="LC24" s="339">
        <v>26</v>
      </c>
      <c r="LD24" s="339">
        <v>7</v>
      </c>
      <c r="LE24" s="339">
        <v>0</v>
      </c>
      <c r="LF24" s="339">
        <v>9</v>
      </c>
      <c r="LG24" s="339">
        <v>0</v>
      </c>
      <c r="LH24" s="339">
        <v>10</v>
      </c>
      <c r="LI24" s="339" t="s">
        <v>2844</v>
      </c>
      <c r="LJ24" s="351">
        <v>23</v>
      </c>
      <c r="LK24" s="339">
        <v>0</v>
      </c>
      <c r="LL24" s="339" t="s">
        <v>78</v>
      </c>
      <c r="LM24" s="339">
        <v>0</v>
      </c>
      <c r="LN24" s="339" t="s">
        <v>2757</v>
      </c>
      <c r="LO24" s="339">
        <v>0</v>
      </c>
      <c r="LR24" s="339">
        <v>4</v>
      </c>
      <c r="LS24" s="339" t="s">
        <v>1293</v>
      </c>
      <c r="LT24" s="339">
        <v>26</v>
      </c>
      <c r="LU24" s="339">
        <v>8</v>
      </c>
      <c r="LV24" s="339">
        <v>0</v>
      </c>
      <c r="LW24" s="339">
        <v>10</v>
      </c>
      <c r="LX24" s="339">
        <v>0</v>
      </c>
      <c r="LY24" s="339">
        <v>8</v>
      </c>
      <c r="LZ24" s="339" t="s">
        <v>1781</v>
      </c>
      <c r="MA24" s="351">
        <v>26</v>
      </c>
      <c r="MB24" s="339">
        <v>14</v>
      </c>
      <c r="MC24" s="339" t="s">
        <v>1478</v>
      </c>
      <c r="MD24" s="339">
        <v>22</v>
      </c>
      <c r="ME24" s="339" t="s">
        <v>2669</v>
      </c>
      <c r="MF24" s="339">
        <v>7</v>
      </c>
    </row>
    <row r="25" spans="2:344" ht="55.8" thickBot="1" x14ac:dyDescent="0.35">
      <c r="B25" s="339">
        <v>5</v>
      </c>
      <c r="C25" s="339" t="s">
        <v>1290</v>
      </c>
      <c r="D25" s="339">
        <v>26</v>
      </c>
      <c r="E25" s="339">
        <v>11</v>
      </c>
      <c r="F25" s="339">
        <v>2</v>
      </c>
      <c r="G25" s="339"/>
      <c r="H25" s="339">
        <v>1</v>
      </c>
      <c r="I25" s="339">
        <v>12</v>
      </c>
      <c r="J25" s="339" t="s">
        <v>1326</v>
      </c>
      <c r="K25" s="351">
        <v>38</v>
      </c>
      <c r="L25" s="339">
        <v>14</v>
      </c>
      <c r="M25" s="339" t="s">
        <v>1327</v>
      </c>
      <c r="N25" s="339">
        <v>19</v>
      </c>
      <c r="O25" s="339" t="s">
        <v>1328</v>
      </c>
      <c r="P25" s="339">
        <v>0</v>
      </c>
      <c r="Q25" s="342"/>
      <c r="S25" s="339">
        <v>5</v>
      </c>
      <c r="T25" s="339" t="s">
        <v>1286</v>
      </c>
      <c r="U25" s="339">
        <v>26</v>
      </c>
      <c r="V25" s="339">
        <v>11</v>
      </c>
      <c r="W25" s="339">
        <v>2</v>
      </c>
      <c r="X25" s="339">
        <v>4</v>
      </c>
      <c r="Y25" s="339">
        <v>9</v>
      </c>
      <c r="Z25" s="339" t="s">
        <v>1447</v>
      </c>
      <c r="AA25" s="351">
        <v>41</v>
      </c>
      <c r="AB25" s="339">
        <v>23</v>
      </c>
      <c r="AC25" s="339" t="s">
        <v>1448</v>
      </c>
      <c r="AD25" s="339">
        <v>24</v>
      </c>
      <c r="AE25" s="339" t="s">
        <v>1365</v>
      </c>
      <c r="AF25" s="339">
        <v>6</v>
      </c>
      <c r="AI25" s="339">
        <v>5</v>
      </c>
      <c r="AJ25" s="339" t="s">
        <v>1274</v>
      </c>
      <c r="AK25" s="339">
        <v>26</v>
      </c>
      <c r="AL25" s="339">
        <v>9</v>
      </c>
      <c r="AM25" s="339">
        <v>2</v>
      </c>
      <c r="AN25" s="339">
        <v>5</v>
      </c>
      <c r="AO25" s="339">
        <v>10</v>
      </c>
      <c r="AP25" s="339" t="s">
        <v>1535</v>
      </c>
      <c r="AQ25" s="351">
        <v>36</v>
      </c>
      <c r="AR25" s="339">
        <v>17</v>
      </c>
      <c r="AS25" s="366">
        <v>43726</v>
      </c>
      <c r="AT25" s="339">
        <v>12</v>
      </c>
      <c r="AU25" s="339" t="s">
        <v>1536</v>
      </c>
      <c r="AV25" s="339">
        <v>0</v>
      </c>
      <c r="AY25" s="339">
        <v>5</v>
      </c>
      <c r="AZ25" s="339" t="s">
        <v>1282</v>
      </c>
      <c r="BA25" s="339">
        <v>26</v>
      </c>
      <c r="BB25" s="339">
        <v>9</v>
      </c>
      <c r="BC25" s="339">
        <v>2</v>
      </c>
      <c r="BD25" s="339">
        <v>6</v>
      </c>
      <c r="BE25" s="339">
        <v>9</v>
      </c>
      <c r="BF25" s="339" t="s">
        <v>1648</v>
      </c>
      <c r="BG25" s="351">
        <v>37</v>
      </c>
      <c r="BH25" s="339">
        <v>9</v>
      </c>
      <c r="BI25" s="367">
        <v>12693</v>
      </c>
      <c r="BJ25" s="339">
        <v>17</v>
      </c>
      <c r="BK25" s="339" t="s">
        <v>1650</v>
      </c>
      <c r="BL25" s="339">
        <v>1</v>
      </c>
      <c r="BO25" s="339">
        <v>5</v>
      </c>
      <c r="BP25" s="339" t="s">
        <v>1290</v>
      </c>
      <c r="BQ25" s="339">
        <v>26</v>
      </c>
      <c r="BR25" s="339">
        <v>11</v>
      </c>
      <c r="BS25" s="339">
        <v>0</v>
      </c>
      <c r="BT25" s="339">
        <v>3</v>
      </c>
      <c r="BU25" s="339">
        <v>12</v>
      </c>
      <c r="BV25" s="339" t="s">
        <v>1737</v>
      </c>
      <c r="BW25" s="351">
        <v>36</v>
      </c>
      <c r="BX25" s="339">
        <v>25</v>
      </c>
      <c r="BY25" s="366">
        <v>43816</v>
      </c>
      <c r="BZ25" s="339">
        <v>26</v>
      </c>
      <c r="CA25" s="339" t="s">
        <v>1738</v>
      </c>
      <c r="CB25" s="339">
        <v>6</v>
      </c>
      <c r="CE25" s="339">
        <v>5</v>
      </c>
      <c r="CF25" s="339" t="s">
        <v>1266</v>
      </c>
      <c r="CG25" s="339">
        <v>26</v>
      </c>
      <c r="CH25" s="339">
        <v>10</v>
      </c>
      <c r="CI25" s="339">
        <v>2</v>
      </c>
      <c r="CJ25" s="339">
        <v>2</v>
      </c>
      <c r="CK25" s="339">
        <v>12</v>
      </c>
      <c r="CL25" s="339" t="s">
        <v>1827</v>
      </c>
      <c r="CM25" s="351">
        <v>36</v>
      </c>
      <c r="CN25" s="339">
        <v>22</v>
      </c>
      <c r="CO25" s="339" t="s">
        <v>1828</v>
      </c>
      <c r="CP25" s="339">
        <v>22</v>
      </c>
      <c r="CQ25" s="339" t="s">
        <v>1512</v>
      </c>
      <c r="CR25" s="339">
        <v>4</v>
      </c>
      <c r="CU25" s="339">
        <v>5</v>
      </c>
      <c r="CV25" s="339" t="s">
        <v>80</v>
      </c>
      <c r="CW25" s="339">
        <v>26</v>
      </c>
      <c r="CX25" s="339">
        <v>8</v>
      </c>
      <c r="CY25" s="339">
        <v>3</v>
      </c>
      <c r="CZ25" s="339">
        <v>3</v>
      </c>
      <c r="DA25" s="339">
        <v>12</v>
      </c>
      <c r="DB25" s="339" t="s">
        <v>1922</v>
      </c>
      <c r="DC25" s="351">
        <v>33</v>
      </c>
      <c r="DD25" s="339">
        <v>19</v>
      </c>
      <c r="DE25" s="339" t="s">
        <v>1481</v>
      </c>
      <c r="DF25" s="339">
        <v>29</v>
      </c>
      <c r="DG25" s="339" t="s">
        <v>1923</v>
      </c>
      <c r="DH25" s="339">
        <v>6</v>
      </c>
      <c r="DK25" s="339">
        <v>5</v>
      </c>
      <c r="DL25" s="339" t="s">
        <v>1266</v>
      </c>
      <c r="DM25" s="339">
        <v>26</v>
      </c>
      <c r="DN25" s="339">
        <v>9</v>
      </c>
      <c r="DO25" s="339">
        <v>1</v>
      </c>
      <c r="DP25" s="339">
        <v>6</v>
      </c>
      <c r="DQ25" s="339">
        <v>10</v>
      </c>
      <c r="DR25" s="339" t="s">
        <v>2016</v>
      </c>
      <c r="DS25" s="351">
        <v>35</v>
      </c>
      <c r="DT25" s="339">
        <v>20</v>
      </c>
      <c r="DU25" s="339" t="s">
        <v>2017</v>
      </c>
      <c r="DV25" s="339">
        <v>16</v>
      </c>
      <c r="DW25" s="339" t="s">
        <v>2018</v>
      </c>
      <c r="DX25" s="339">
        <v>4</v>
      </c>
      <c r="EA25" s="339">
        <v>5</v>
      </c>
      <c r="EB25" s="339" t="s">
        <v>1303</v>
      </c>
      <c r="EC25" s="339">
        <v>26</v>
      </c>
      <c r="ED25" s="339">
        <v>8</v>
      </c>
      <c r="EE25" s="339">
        <v>4</v>
      </c>
      <c r="EF25" s="339">
        <v>6</v>
      </c>
      <c r="EG25" s="339">
        <v>8</v>
      </c>
      <c r="EH25" s="339" t="s">
        <v>2101</v>
      </c>
      <c r="EI25" s="351">
        <v>38</v>
      </c>
      <c r="EJ25" s="339">
        <v>33</v>
      </c>
      <c r="EK25" s="339" t="s">
        <v>1649</v>
      </c>
      <c r="EL25" s="339">
        <v>22</v>
      </c>
      <c r="EM25" s="339" t="s">
        <v>1981</v>
      </c>
      <c r="EN25" s="339">
        <v>2</v>
      </c>
      <c r="EQ25" s="339">
        <v>5</v>
      </c>
      <c r="ER25" s="339" t="s">
        <v>1286</v>
      </c>
      <c r="ES25" s="339">
        <v>26</v>
      </c>
      <c r="ET25" s="339">
        <v>9</v>
      </c>
      <c r="EU25" s="339">
        <v>4</v>
      </c>
      <c r="EV25" s="339">
        <v>4</v>
      </c>
      <c r="EW25" s="339">
        <v>9</v>
      </c>
      <c r="EX25" s="339" t="s">
        <v>2179</v>
      </c>
      <c r="EY25" s="351">
        <v>39</v>
      </c>
      <c r="EZ25" s="339">
        <v>20</v>
      </c>
      <c r="FA25" s="339" t="s">
        <v>2093</v>
      </c>
      <c r="FB25" s="339">
        <v>27</v>
      </c>
      <c r="FC25" s="339" t="s">
        <v>1952</v>
      </c>
      <c r="FD25" s="339">
        <v>2</v>
      </c>
      <c r="FG25" s="339">
        <v>5</v>
      </c>
      <c r="FH25" s="339" t="s">
        <v>1297</v>
      </c>
      <c r="FI25" s="339">
        <v>26</v>
      </c>
      <c r="FJ25" s="339">
        <v>8</v>
      </c>
      <c r="FK25" s="339">
        <v>2</v>
      </c>
      <c r="FL25" s="339">
        <v>4</v>
      </c>
      <c r="FM25" s="339">
        <v>12</v>
      </c>
      <c r="FN25" s="339" t="s">
        <v>1335</v>
      </c>
      <c r="FO25" s="351">
        <v>32</v>
      </c>
      <c r="FP25" s="339">
        <v>19</v>
      </c>
      <c r="FQ25" s="339" t="s">
        <v>2265</v>
      </c>
      <c r="FR25" s="339">
        <v>24</v>
      </c>
      <c r="FS25" s="339" t="s">
        <v>2266</v>
      </c>
      <c r="FT25" s="339">
        <v>4</v>
      </c>
      <c r="FW25" s="339">
        <v>5</v>
      </c>
      <c r="FX25" s="339" t="s">
        <v>1297</v>
      </c>
      <c r="FY25" s="339">
        <v>26</v>
      </c>
      <c r="FZ25" s="339">
        <v>7</v>
      </c>
      <c r="GA25" s="339">
        <v>4</v>
      </c>
      <c r="GB25" s="339">
        <v>5</v>
      </c>
      <c r="GC25" s="339">
        <v>10</v>
      </c>
      <c r="GD25" s="339" t="s">
        <v>2351</v>
      </c>
      <c r="GE25" s="351">
        <v>34</v>
      </c>
      <c r="GF25" s="339">
        <v>22</v>
      </c>
      <c r="GG25" s="366">
        <v>43661</v>
      </c>
      <c r="GH25" s="339">
        <v>33</v>
      </c>
      <c r="GI25" s="339" t="s">
        <v>2352</v>
      </c>
      <c r="GJ25" s="339">
        <v>2</v>
      </c>
      <c r="GM25" s="339">
        <v>5</v>
      </c>
      <c r="GN25" s="339" t="s">
        <v>1303</v>
      </c>
      <c r="GO25" s="339">
        <v>26</v>
      </c>
      <c r="GP25" s="339">
        <v>7</v>
      </c>
      <c r="GQ25" s="339">
        <v>2</v>
      </c>
      <c r="GR25" s="339">
        <v>4</v>
      </c>
      <c r="GS25" s="339">
        <v>13</v>
      </c>
      <c r="GT25" s="339" t="s">
        <v>2429</v>
      </c>
      <c r="GU25" s="351">
        <v>29</v>
      </c>
      <c r="GV25" s="339">
        <v>23</v>
      </c>
      <c r="GW25" s="339" t="s">
        <v>2430</v>
      </c>
      <c r="GX25" s="339">
        <v>32</v>
      </c>
      <c r="GY25" s="339" t="s">
        <v>2431</v>
      </c>
      <c r="GZ25" s="339">
        <v>4</v>
      </c>
      <c r="HC25" s="339">
        <v>5</v>
      </c>
      <c r="HD25" s="339" t="s">
        <v>1286</v>
      </c>
      <c r="HE25" s="339">
        <v>26</v>
      </c>
      <c r="HF25" s="339">
        <v>9</v>
      </c>
      <c r="HG25" s="339">
        <v>1</v>
      </c>
      <c r="HH25" s="339">
        <v>4</v>
      </c>
      <c r="HI25" s="339">
        <v>0</v>
      </c>
      <c r="HJ25" s="339">
        <v>12</v>
      </c>
      <c r="HK25" s="339" t="s">
        <v>2011</v>
      </c>
      <c r="HL25" s="351">
        <v>33</v>
      </c>
      <c r="HM25" s="339">
        <v>20</v>
      </c>
      <c r="HN25" s="339" t="s">
        <v>2510</v>
      </c>
      <c r="HO25" s="339">
        <v>30</v>
      </c>
      <c r="HP25" s="339" t="s">
        <v>2511</v>
      </c>
      <c r="HQ25" s="339">
        <v>1</v>
      </c>
      <c r="HT25" s="339">
        <v>5</v>
      </c>
      <c r="HU25" s="339" t="s">
        <v>2402</v>
      </c>
      <c r="HV25" s="339">
        <v>26</v>
      </c>
      <c r="HW25" s="339">
        <v>12</v>
      </c>
      <c r="HX25" s="339">
        <v>0</v>
      </c>
      <c r="HY25" s="339">
        <v>2</v>
      </c>
      <c r="HZ25" s="339">
        <v>0</v>
      </c>
      <c r="IA25" s="339">
        <v>12</v>
      </c>
      <c r="IB25" s="339" t="s">
        <v>2575</v>
      </c>
      <c r="IC25" s="351">
        <v>38</v>
      </c>
      <c r="ID25" s="339">
        <v>20</v>
      </c>
      <c r="IE25" s="339" t="s">
        <v>2576</v>
      </c>
      <c r="IF25" s="339">
        <v>27</v>
      </c>
      <c r="IG25" s="339" t="s">
        <v>2577</v>
      </c>
      <c r="IH25" s="339">
        <v>2</v>
      </c>
      <c r="IK25" s="339">
        <v>5</v>
      </c>
      <c r="IL25" s="339" t="s">
        <v>1591</v>
      </c>
      <c r="IM25" s="339">
        <v>26</v>
      </c>
      <c r="IN25" s="339">
        <v>7</v>
      </c>
      <c r="IO25" s="339">
        <v>2</v>
      </c>
      <c r="IP25" s="339">
        <v>3</v>
      </c>
      <c r="IQ25" s="339">
        <v>1</v>
      </c>
      <c r="IR25" s="339">
        <v>13</v>
      </c>
      <c r="IS25" s="339" t="s">
        <v>2647</v>
      </c>
      <c r="IT25" s="351">
        <v>29</v>
      </c>
      <c r="IU25" s="339">
        <v>16</v>
      </c>
      <c r="IV25" s="339" t="s">
        <v>2648</v>
      </c>
      <c r="IW25" s="339">
        <v>23</v>
      </c>
      <c r="IX25" s="339" t="s">
        <v>2649</v>
      </c>
      <c r="IY25" s="339">
        <v>1</v>
      </c>
      <c r="JB25" s="339">
        <v>5</v>
      </c>
      <c r="JC25" s="339" t="s">
        <v>2418</v>
      </c>
      <c r="JD25" s="339">
        <v>26</v>
      </c>
      <c r="JE25" s="339">
        <v>10</v>
      </c>
      <c r="JF25" s="339">
        <v>0</v>
      </c>
      <c r="JG25" s="339">
        <v>2</v>
      </c>
      <c r="JH25" s="339">
        <v>0</v>
      </c>
      <c r="JI25" s="339">
        <v>14</v>
      </c>
      <c r="JJ25" s="339" t="s">
        <v>2722</v>
      </c>
      <c r="JK25" s="351">
        <v>32</v>
      </c>
      <c r="JL25" s="339">
        <v>18</v>
      </c>
      <c r="JM25" s="339" t="s">
        <v>1725</v>
      </c>
      <c r="JN25" s="339">
        <v>23</v>
      </c>
      <c r="JO25" s="339" t="s">
        <v>2723</v>
      </c>
      <c r="JP25" s="339">
        <v>4</v>
      </c>
      <c r="JS25" s="339">
        <v>5</v>
      </c>
      <c r="JT25" s="339" t="s">
        <v>2706</v>
      </c>
      <c r="JU25" s="339">
        <v>26</v>
      </c>
      <c r="JV25" s="339">
        <v>12</v>
      </c>
      <c r="JW25" s="339">
        <v>1</v>
      </c>
      <c r="JX25" s="339">
        <v>2</v>
      </c>
      <c r="JY25" s="339">
        <v>0</v>
      </c>
      <c r="JZ25" s="339">
        <v>11</v>
      </c>
      <c r="KA25" s="339" t="s">
        <v>2775</v>
      </c>
      <c r="KB25" s="351">
        <v>40</v>
      </c>
      <c r="KC25" s="339">
        <v>0</v>
      </c>
      <c r="KD25" s="339" t="s">
        <v>78</v>
      </c>
      <c r="KE25" s="339">
        <v>0</v>
      </c>
      <c r="KF25" s="339" t="s">
        <v>2757</v>
      </c>
      <c r="KG25" s="339">
        <v>0</v>
      </c>
      <c r="KJ25" s="339">
        <v>5</v>
      </c>
      <c r="KK25" s="339" t="s">
        <v>1286</v>
      </c>
      <c r="KL25" s="339">
        <v>26</v>
      </c>
      <c r="KM25" s="339">
        <v>8</v>
      </c>
      <c r="KN25" s="339">
        <v>2</v>
      </c>
      <c r="KO25" s="339">
        <v>3</v>
      </c>
      <c r="KP25" s="339">
        <v>2</v>
      </c>
      <c r="KQ25" s="339">
        <v>11</v>
      </c>
      <c r="KR25" s="339" t="s">
        <v>2809</v>
      </c>
      <c r="KS25" s="351">
        <v>33</v>
      </c>
      <c r="KT25" s="339">
        <v>0</v>
      </c>
      <c r="KU25" s="339" t="s">
        <v>78</v>
      </c>
      <c r="KV25" s="339">
        <v>0</v>
      </c>
      <c r="KW25" s="339" t="s">
        <v>2757</v>
      </c>
      <c r="KX25" s="339">
        <v>0</v>
      </c>
      <c r="LA25" s="339">
        <v>5</v>
      </c>
      <c r="LB25" s="339" t="s">
        <v>2249</v>
      </c>
      <c r="LC25" s="339">
        <v>26</v>
      </c>
      <c r="LD25" s="339">
        <v>7</v>
      </c>
      <c r="LE25" s="339">
        <v>0</v>
      </c>
      <c r="LF25" s="339">
        <v>5</v>
      </c>
      <c r="LG25" s="339">
        <v>0</v>
      </c>
      <c r="LH25" s="339">
        <v>14</v>
      </c>
      <c r="LI25" s="339" t="s">
        <v>2356</v>
      </c>
      <c r="LJ25" s="351">
        <v>19</v>
      </c>
      <c r="LK25" s="339">
        <v>0</v>
      </c>
      <c r="LL25" s="339" t="s">
        <v>78</v>
      </c>
      <c r="LM25" s="339">
        <v>0</v>
      </c>
      <c r="LN25" s="339" t="s">
        <v>2757</v>
      </c>
      <c r="LO25" s="339">
        <v>0</v>
      </c>
      <c r="LR25" s="339">
        <v>5</v>
      </c>
      <c r="LS25" s="339" t="s">
        <v>1266</v>
      </c>
      <c r="LT25" s="339">
        <v>26</v>
      </c>
      <c r="LU25" s="339">
        <v>10</v>
      </c>
      <c r="LV25" s="339">
        <v>0</v>
      </c>
      <c r="LW25" s="339">
        <v>6</v>
      </c>
      <c r="LX25" s="339">
        <v>0</v>
      </c>
      <c r="LY25" s="339">
        <v>10</v>
      </c>
      <c r="LZ25" s="339" t="s">
        <v>1332</v>
      </c>
      <c r="MA25" s="351">
        <v>26</v>
      </c>
      <c r="MB25" s="339">
        <v>17</v>
      </c>
      <c r="MC25" s="339" t="s">
        <v>1413</v>
      </c>
      <c r="MD25" s="339">
        <v>23</v>
      </c>
      <c r="ME25" s="339" t="s">
        <v>2894</v>
      </c>
      <c r="MF25" s="339">
        <v>8</v>
      </c>
    </row>
    <row r="26" spans="2:344" ht="42" thickBot="1" x14ac:dyDescent="0.35">
      <c r="B26" s="339">
        <v>6</v>
      </c>
      <c r="C26" s="339" t="s">
        <v>1262</v>
      </c>
      <c r="D26" s="339">
        <v>26</v>
      </c>
      <c r="E26" s="339">
        <v>11</v>
      </c>
      <c r="F26" s="339">
        <v>1</v>
      </c>
      <c r="G26" s="339"/>
      <c r="H26" s="339">
        <v>3</v>
      </c>
      <c r="I26" s="339">
        <v>11</v>
      </c>
      <c r="J26" s="339" t="s">
        <v>1329</v>
      </c>
      <c r="K26" s="351">
        <v>38</v>
      </c>
      <c r="L26" s="339">
        <v>20</v>
      </c>
      <c r="M26" s="339" t="s">
        <v>1330</v>
      </c>
      <c r="N26" s="339">
        <v>21</v>
      </c>
      <c r="O26" s="339" t="s">
        <v>1331</v>
      </c>
      <c r="P26" s="339">
        <v>0</v>
      </c>
      <c r="Q26" s="342"/>
      <c r="S26" s="339">
        <v>6</v>
      </c>
      <c r="T26" s="339" t="s">
        <v>1293</v>
      </c>
      <c r="U26" s="339">
        <v>26</v>
      </c>
      <c r="V26" s="339">
        <v>7</v>
      </c>
      <c r="W26" s="339">
        <v>6</v>
      </c>
      <c r="X26" s="339">
        <v>1</v>
      </c>
      <c r="Y26" s="339">
        <v>12</v>
      </c>
      <c r="Z26" s="339" t="s">
        <v>1449</v>
      </c>
      <c r="AA26" s="351">
        <v>34</v>
      </c>
      <c r="AB26" s="339">
        <v>13</v>
      </c>
      <c r="AC26" s="367">
        <v>27729</v>
      </c>
      <c r="AD26" s="339">
        <v>16</v>
      </c>
      <c r="AE26" s="339" t="s">
        <v>1450</v>
      </c>
      <c r="AF26" s="339">
        <v>0</v>
      </c>
      <c r="AI26" s="339">
        <v>6</v>
      </c>
      <c r="AJ26" s="339" t="s">
        <v>1290</v>
      </c>
      <c r="AK26" s="339">
        <v>26</v>
      </c>
      <c r="AL26" s="339">
        <v>9</v>
      </c>
      <c r="AM26" s="339">
        <v>1</v>
      </c>
      <c r="AN26" s="339">
        <v>4</v>
      </c>
      <c r="AO26" s="339">
        <v>12</v>
      </c>
      <c r="AP26" s="339" t="s">
        <v>1537</v>
      </c>
      <c r="AQ26" s="351">
        <v>33</v>
      </c>
      <c r="AR26" s="339">
        <v>16</v>
      </c>
      <c r="AS26" s="339" t="s">
        <v>1538</v>
      </c>
      <c r="AT26" s="339">
        <v>23</v>
      </c>
      <c r="AU26" s="339" t="s">
        <v>1539</v>
      </c>
      <c r="AV26" s="339">
        <v>1</v>
      </c>
      <c r="AY26" s="339">
        <v>6</v>
      </c>
      <c r="AZ26" s="339" t="s">
        <v>1274</v>
      </c>
      <c r="BA26" s="339">
        <v>26</v>
      </c>
      <c r="BB26" s="339">
        <v>8</v>
      </c>
      <c r="BC26" s="339">
        <v>3</v>
      </c>
      <c r="BD26" s="339">
        <v>3</v>
      </c>
      <c r="BE26" s="339">
        <v>12</v>
      </c>
      <c r="BF26" s="339" t="s">
        <v>1335</v>
      </c>
      <c r="BG26" s="351">
        <v>33</v>
      </c>
      <c r="BH26" s="339">
        <v>10</v>
      </c>
      <c r="BI26" s="366">
        <v>43780</v>
      </c>
      <c r="BJ26" s="339">
        <v>22</v>
      </c>
      <c r="BK26" s="339" t="s">
        <v>1651</v>
      </c>
      <c r="BL26" s="339">
        <v>6</v>
      </c>
      <c r="BO26" s="339">
        <v>6</v>
      </c>
      <c r="BP26" s="339" t="s">
        <v>1293</v>
      </c>
      <c r="BQ26" s="339">
        <v>26</v>
      </c>
      <c r="BR26" s="339">
        <v>7</v>
      </c>
      <c r="BS26" s="339">
        <v>4</v>
      </c>
      <c r="BT26" s="339">
        <v>2</v>
      </c>
      <c r="BU26" s="339">
        <v>13</v>
      </c>
      <c r="BV26" s="339" t="s">
        <v>1451</v>
      </c>
      <c r="BW26" s="351">
        <v>31</v>
      </c>
      <c r="BX26" s="339">
        <v>25</v>
      </c>
      <c r="BY26" s="339" t="s">
        <v>1558</v>
      </c>
      <c r="BZ26" s="339">
        <v>30</v>
      </c>
      <c r="CA26" s="339" t="s">
        <v>1739</v>
      </c>
      <c r="CB26" s="339">
        <v>2</v>
      </c>
      <c r="CE26" s="339">
        <v>6</v>
      </c>
      <c r="CF26" s="339" t="s">
        <v>1278</v>
      </c>
      <c r="CG26" s="339">
        <v>26</v>
      </c>
      <c r="CH26" s="339">
        <v>10</v>
      </c>
      <c r="CI26" s="339">
        <v>2</v>
      </c>
      <c r="CJ26" s="339">
        <v>2</v>
      </c>
      <c r="CK26" s="339">
        <v>12</v>
      </c>
      <c r="CL26" s="339" t="s">
        <v>1829</v>
      </c>
      <c r="CM26" s="351">
        <v>36</v>
      </c>
      <c r="CN26" s="339">
        <v>14</v>
      </c>
      <c r="CO26" s="339" t="s">
        <v>1830</v>
      </c>
      <c r="CP26" s="339">
        <v>18</v>
      </c>
      <c r="CQ26" s="339" t="s">
        <v>1831</v>
      </c>
      <c r="CR26" s="339">
        <v>4</v>
      </c>
      <c r="CU26" s="339">
        <v>6</v>
      </c>
      <c r="CV26" s="339" t="s">
        <v>1895</v>
      </c>
      <c r="CW26" s="339">
        <v>26</v>
      </c>
      <c r="CX26" s="339">
        <v>6</v>
      </c>
      <c r="CY26" s="339">
        <v>6</v>
      </c>
      <c r="CZ26" s="339">
        <v>2</v>
      </c>
      <c r="DA26" s="339">
        <v>12</v>
      </c>
      <c r="DB26" s="339" t="s">
        <v>1924</v>
      </c>
      <c r="DC26" s="351">
        <v>32</v>
      </c>
      <c r="DD26" s="339">
        <v>14</v>
      </c>
      <c r="DE26" s="339" t="s">
        <v>1309</v>
      </c>
      <c r="DF26" s="339">
        <v>27</v>
      </c>
      <c r="DG26" s="339" t="s">
        <v>1925</v>
      </c>
      <c r="DH26" s="339">
        <v>0</v>
      </c>
      <c r="DK26" s="339">
        <v>6</v>
      </c>
      <c r="DL26" s="339" t="s">
        <v>1262</v>
      </c>
      <c r="DM26" s="339">
        <v>26</v>
      </c>
      <c r="DN26" s="339">
        <v>9</v>
      </c>
      <c r="DO26" s="339">
        <v>2</v>
      </c>
      <c r="DP26" s="339">
        <v>3</v>
      </c>
      <c r="DQ26" s="339">
        <v>12</v>
      </c>
      <c r="DR26" s="339" t="s">
        <v>2019</v>
      </c>
      <c r="DS26" s="351">
        <v>34</v>
      </c>
      <c r="DT26" s="339">
        <v>15</v>
      </c>
      <c r="DU26" s="339" t="s">
        <v>2020</v>
      </c>
      <c r="DV26" s="339">
        <v>23</v>
      </c>
      <c r="DW26" s="339" t="s">
        <v>2021</v>
      </c>
      <c r="DX26" s="339">
        <v>2</v>
      </c>
      <c r="EA26" s="339">
        <v>6</v>
      </c>
      <c r="EB26" s="339" t="s">
        <v>1978</v>
      </c>
      <c r="EC26" s="339">
        <v>26</v>
      </c>
      <c r="ED26" s="339">
        <v>10</v>
      </c>
      <c r="EE26" s="339">
        <v>4</v>
      </c>
      <c r="EF26" s="339">
        <v>1</v>
      </c>
      <c r="EG26" s="339">
        <v>11</v>
      </c>
      <c r="EH26" s="339" t="s">
        <v>2102</v>
      </c>
      <c r="EI26" s="351">
        <v>34</v>
      </c>
      <c r="EJ26" s="339">
        <v>21</v>
      </c>
      <c r="EK26" s="339" t="s">
        <v>2103</v>
      </c>
      <c r="EL26" s="339">
        <v>25</v>
      </c>
      <c r="EM26" s="339" t="s">
        <v>1555</v>
      </c>
      <c r="EN26" s="339">
        <v>3</v>
      </c>
      <c r="EQ26" s="339">
        <v>6</v>
      </c>
      <c r="ER26" s="339" t="s">
        <v>1591</v>
      </c>
      <c r="ES26" s="339">
        <v>26</v>
      </c>
      <c r="ET26" s="339">
        <v>10</v>
      </c>
      <c r="EU26" s="339">
        <v>3</v>
      </c>
      <c r="EV26" s="339">
        <v>1</v>
      </c>
      <c r="EW26" s="339">
        <v>12</v>
      </c>
      <c r="EX26" s="339" t="s">
        <v>2180</v>
      </c>
      <c r="EY26" s="351">
        <v>37</v>
      </c>
      <c r="EZ26" s="339">
        <v>24</v>
      </c>
      <c r="FA26" s="366">
        <v>43606</v>
      </c>
      <c r="FB26" s="339">
        <v>26</v>
      </c>
      <c r="FC26" s="339" t="s">
        <v>2181</v>
      </c>
      <c r="FD26" s="339">
        <v>4</v>
      </c>
      <c r="FG26" s="339">
        <v>6</v>
      </c>
      <c r="FH26" s="339" t="s">
        <v>1286</v>
      </c>
      <c r="FI26" s="339">
        <v>26</v>
      </c>
      <c r="FJ26" s="339">
        <v>6</v>
      </c>
      <c r="FK26" s="339">
        <v>5</v>
      </c>
      <c r="FL26" s="339">
        <v>3</v>
      </c>
      <c r="FM26" s="339">
        <v>12</v>
      </c>
      <c r="FN26" s="339" t="s">
        <v>2267</v>
      </c>
      <c r="FO26" s="351">
        <v>31</v>
      </c>
      <c r="FP26" s="339">
        <v>16</v>
      </c>
      <c r="FQ26" s="367">
        <v>44531</v>
      </c>
      <c r="FR26" s="339">
        <v>35</v>
      </c>
      <c r="FS26" s="339" t="s">
        <v>2268</v>
      </c>
      <c r="FT26" s="339">
        <v>2</v>
      </c>
      <c r="FW26" s="339">
        <v>6</v>
      </c>
      <c r="FX26" s="339" t="s">
        <v>1266</v>
      </c>
      <c r="FY26" s="339">
        <v>26</v>
      </c>
      <c r="FZ26" s="339">
        <v>7</v>
      </c>
      <c r="GA26" s="339">
        <v>4</v>
      </c>
      <c r="GB26" s="339">
        <v>2</v>
      </c>
      <c r="GC26" s="339">
        <v>13</v>
      </c>
      <c r="GD26" s="339" t="s">
        <v>2353</v>
      </c>
      <c r="GE26" s="351">
        <v>31</v>
      </c>
      <c r="GF26" s="339">
        <v>17</v>
      </c>
      <c r="GG26" s="367">
        <v>36130</v>
      </c>
      <c r="GH26" s="339">
        <v>25</v>
      </c>
      <c r="GI26" s="339" t="s">
        <v>1405</v>
      </c>
      <c r="GJ26" s="339">
        <v>1</v>
      </c>
      <c r="GM26" s="339">
        <v>6</v>
      </c>
      <c r="GN26" s="339" t="s">
        <v>1297</v>
      </c>
      <c r="GO26" s="339">
        <v>26</v>
      </c>
      <c r="GP26" s="339">
        <v>7</v>
      </c>
      <c r="GQ26" s="339">
        <v>2</v>
      </c>
      <c r="GR26" s="339">
        <v>4</v>
      </c>
      <c r="GS26" s="339">
        <v>13</v>
      </c>
      <c r="GT26" s="339" t="s">
        <v>2432</v>
      </c>
      <c r="GU26" s="351">
        <v>29</v>
      </c>
      <c r="GV26" s="339">
        <v>29</v>
      </c>
      <c r="GW26" s="366">
        <v>43483</v>
      </c>
      <c r="GX26" s="339">
        <v>39</v>
      </c>
      <c r="GY26" s="339" t="s">
        <v>1912</v>
      </c>
      <c r="GZ26" s="339">
        <v>5</v>
      </c>
      <c r="HC26" s="339">
        <v>6</v>
      </c>
      <c r="HD26" s="339" t="s">
        <v>1297</v>
      </c>
      <c r="HE26" s="339">
        <v>26</v>
      </c>
      <c r="HF26" s="339">
        <v>7</v>
      </c>
      <c r="HG26" s="339">
        <v>4</v>
      </c>
      <c r="HH26" s="339">
        <v>1</v>
      </c>
      <c r="HI26" s="339">
        <v>1</v>
      </c>
      <c r="HJ26" s="339">
        <v>13</v>
      </c>
      <c r="HK26" s="339" t="s">
        <v>2512</v>
      </c>
      <c r="HL26" s="351">
        <v>31</v>
      </c>
      <c r="HM26" s="339">
        <v>16</v>
      </c>
      <c r="HN26" s="366">
        <v>43782</v>
      </c>
      <c r="HO26" s="339">
        <v>17</v>
      </c>
      <c r="HP26" s="339" t="s">
        <v>1853</v>
      </c>
      <c r="HQ26" s="339">
        <v>4</v>
      </c>
      <c r="HT26" s="339">
        <v>6</v>
      </c>
      <c r="HU26" s="339" t="s">
        <v>2412</v>
      </c>
      <c r="HV26" s="339">
        <v>26</v>
      </c>
      <c r="HW26" s="339">
        <v>11</v>
      </c>
      <c r="HX26" s="339">
        <v>1</v>
      </c>
      <c r="HY26" s="339">
        <v>1</v>
      </c>
      <c r="HZ26" s="339">
        <v>0</v>
      </c>
      <c r="IA26" s="339">
        <v>13</v>
      </c>
      <c r="IB26" s="339" t="s">
        <v>2578</v>
      </c>
      <c r="IC26" s="351">
        <v>36</v>
      </c>
      <c r="ID26" s="339">
        <v>14</v>
      </c>
      <c r="IE26" s="339" t="s">
        <v>2579</v>
      </c>
      <c r="IF26" s="339">
        <v>15</v>
      </c>
      <c r="IG26" s="339" t="s">
        <v>2580</v>
      </c>
      <c r="IH26" s="339">
        <v>3</v>
      </c>
      <c r="IK26" s="339">
        <v>6</v>
      </c>
      <c r="IL26" s="339" t="s">
        <v>1286</v>
      </c>
      <c r="IM26" s="339">
        <v>26</v>
      </c>
      <c r="IN26" s="339">
        <v>5</v>
      </c>
      <c r="IO26" s="339">
        <v>3</v>
      </c>
      <c r="IP26" s="339">
        <v>5</v>
      </c>
      <c r="IQ26" s="339">
        <v>2</v>
      </c>
      <c r="IR26" s="339">
        <v>11</v>
      </c>
      <c r="IS26" s="339" t="s">
        <v>2650</v>
      </c>
      <c r="IT26" s="351">
        <v>28</v>
      </c>
      <c r="IU26" s="339">
        <v>8</v>
      </c>
      <c r="IV26" s="339" t="s">
        <v>2651</v>
      </c>
      <c r="IW26" s="339">
        <v>26</v>
      </c>
      <c r="IX26" s="339" t="s">
        <v>2652</v>
      </c>
      <c r="IY26" s="339">
        <v>4</v>
      </c>
      <c r="JB26" s="339">
        <v>6</v>
      </c>
      <c r="JC26" s="339" t="s">
        <v>1286</v>
      </c>
      <c r="JD26" s="339">
        <v>26</v>
      </c>
      <c r="JE26" s="339">
        <v>6</v>
      </c>
      <c r="JF26" s="339">
        <v>2</v>
      </c>
      <c r="JG26" s="339">
        <v>6</v>
      </c>
      <c r="JH26" s="339">
        <v>1</v>
      </c>
      <c r="JI26" s="339">
        <v>11</v>
      </c>
      <c r="JJ26" s="339" t="s">
        <v>2724</v>
      </c>
      <c r="JK26" s="351">
        <v>29</v>
      </c>
      <c r="JL26" s="339">
        <v>18</v>
      </c>
      <c r="JM26" s="339" t="s">
        <v>2725</v>
      </c>
      <c r="JN26" s="339">
        <v>23</v>
      </c>
      <c r="JO26" s="339" t="s">
        <v>2586</v>
      </c>
      <c r="JP26" s="339">
        <v>5</v>
      </c>
      <c r="JS26" s="339">
        <v>6</v>
      </c>
      <c r="JT26" s="339" t="s">
        <v>1311</v>
      </c>
      <c r="JU26" s="339">
        <v>26</v>
      </c>
      <c r="JV26" s="339">
        <v>11</v>
      </c>
      <c r="JW26" s="339">
        <v>1</v>
      </c>
      <c r="JX26" s="339">
        <v>1</v>
      </c>
      <c r="JY26" s="339">
        <v>0</v>
      </c>
      <c r="JZ26" s="339">
        <v>13</v>
      </c>
      <c r="KA26" s="339" t="s">
        <v>1453</v>
      </c>
      <c r="KB26" s="351">
        <v>36</v>
      </c>
      <c r="KC26" s="339">
        <v>0</v>
      </c>
      <c r="KD26" s="339" t="s">
        <v>78</v>
      </c>
      <c r="KE26" s="339">
        <v>0</v>
      </c>
      <c r="KF26" s="339" t="s">
        <v>2757</v>
      </c>
      <c r="KG26" s="339">
        <v>0</v>
      </c>
      <c r="KJ26" s="339">
        <v>6</v>
      </c>
      <c r="KK26" s="339" t="s">
        <v>1311</v>
      </c>
      <c r="KL26" s="339">
        <v>26</v>
      </c>
      <c r="KM26" s="339">
        <v>7</v>
      </c>
      <c r="KN26" s="339">
        <v>0</v>
      </c>
      <c r="KO26" s="339">
        <v>6</v>
      </c>
      <c r="KP26" s="339">
        <v>2</v>
      </c>
      <c r="KQ26" s="339">
        <v>11</v>
      </c>
      <c r="KR26" s="339" t="s">
        <v>2810</v>
      </c>
      <c r="KS26" s="351">
        <v>29</v>
      </c>
      <c r="KT26" s="339">
        <v>0</v>
      </c>
      <c r="KU26" s="339" t="s">
        <v>78</v>
      </c>
      <c r="KV26" s="339">
        <v>0</v>
      </c>
      <c r="KW26" s="339" t="s">
        <v>2757</v>
      </c>
      <c r="KX26" s="339">
        <v>0</v>
      </c>
      <c r="LA26" s="339">
        <v>6</v>
      </c>
      <c r="LB26" s="339" t="s">
        <v>2412</v>
      </c>
      <c r="LC26" s="339">
        <v>26</v>
      </c>
      <c r="LD26" s="339">
        <v>6</v>
      </c>
      <c r="LE26" s="339">
        <v>0</v>
      </c>
      <c r="LF26" s="339">
        <v>5</v>
      </c>
      <c r="LG26" s="339">
        <v>0</v>
      </c>
      <c r="LH26" s="339">
        <v>15</v>
      </c>
      <c r="LI26" s="339" t="s">
        <v>2845</v>
      </c>
      <c r="LJ26" s="351">
        <v>17</v>
      </c>
      <c r="LK26" s="339">
        <v>0</v>
      </c>
      <c r="LL26" s="339" t="s">
        <v>78</v>
      </c>
      <c r="LM26" s="339">
        <v>0</v>
      </c>
      <c r="LN26" s="339" t="s">
        <v>2757</v>
      </c>
      <c r="LO26" s="339">
        <v>0</v>
      </c>
      <c r="LR26" s="339">
        <v>6</v>
      </c>
      <c r="LS26" s="339" t="s">
        <v>2706</v>
      </c>
      <c r="LT26" s="339">
        <v>26</v>
      </c>
      <c r="LU26" s="339">
        <v>8</v>
      </c>
      <c r="LV26" s="339">
        <v>0</v>
      </c>
      <c r="LW26" s="339">
        <v>6</v>
      </c>
      <c r="LX26" s="339">
        <v>0</v>
      </c>
      <c r="LY26" s="339">
        <v>12</v>
      </c>
      <c r="LZ26" s="339" t="s">
        <v>2261</v>
      </c>
      <c r="MA26" s="351">
        <v>22</v>
      </c>
      <c r="MB26" s="339">
        <v>21</v>
      </c>
      <c r="MC26" s="339" t="s">
        <v>2895</v>
      </c>
      <c r="MD26" s="339">
        <v>21</v>
      </c>
      <c r="ME26" s="339" t="s">
        <v>1861</v>
      </c>
      <c r="MF26" s="339">
        <v>1</v>
      </c>
    </row>
    <row r="27" spans="2:344" ht="42" thickBot="1" x14ac:dyDescent="0.35">
      <c r="B27" s="339">
        <v>7</v>
      </c>
      <c r="C27" s="339" t="s">
        <v>1274</v>
      </c>
      <c r="D27" s="339">
        <v>26</v>
      </c>
      <c r="E27" s="339">
        <v>8</v>
      </c>
      <c r="F27" s="339">
        <v>4</v>
      </c>
      <c r="G27" s="339"/>
      <c r="H27" s="339">
        <v>4</v>
      </c>
      <c r="I27" s="339">
        <v>10</v>
      </c>
      <c r="J27" s="339" t="s">
        <v>1332</v>
      </c>
      <c r="K27" s="351">
        <v>36</v>
      </c>
      <c r="L27" s="339">
        <v>15</v>
      </c>
      <c r="M27" s="339" t="s">
        <v>1333</v>
      </c>
      <c r="N27" s="339">
        <v>22</v>
      </c>
      <c r="O27" s="339" t="s">
        <v>1334</v>
      </c>
      <c r="P27" s="339">
        <v>5</v>
      </c>
      <c r="Q27" s="342"/>
      <c r="S27" s="339">
        <v>7</v>
      </c>
      <c r="T27" s="339" t="s">
        <v>1297</v>
      </c>
      <c r="U27" s="339">
        <v>26</v>
      </c>
      <c r="V27" s="339">
        <v>8</v>
      </c>
      <c r="W27" s="339">
        <v>1</v>
      </c>
      <c r="X27" s="339">
        <v>4</v>
      </c>
      <c r="Y27" s="339">
        <v>13</v>
      </c>
      <c r="Z27" s="339" t="s">
        <v>1451</v>
      </c>
      <c r="AA27" s="351">
        <v>30</v>
      </c>
      <c r="AB27" s="339">
        <v>15</v>
      </c>
      <c r="AC27" s="339" t="s">
        <v>1452</v>
      </c>
      <c r="AD27" s="339">
        <v>20</v>
      </c>
      <c r="AE27" s="339" t="s">
        <v>1399</v>
      </c>
      <c r="AF27" s="339">
        <v>5</v>
      </c>
      <c r="AI27" s="339">
        <v>7</v>
      </c>
      <c r="AJ27" s="339" t="s">
        <v>1270</v>
      </c>
      <c r="AK27" s="339">
        <v>26</v>
      </c>
      <c r="AL27" s="339">
        <v>8</v>
      </c>
      <c r="AM27" s="339">
        <v>3</v>
      </c>
      <c r="AN27" s="339">
        <v>2</v>
      </c>
      <c r="AO27" s="339">
        <v>13</v>
      </c>
      <c r="AP27" s="339" t="s">
        <v>1540</v>
      </c>
      <c r="AQ27" s="351">
        <v>32</v>
      </c>
      <c r="AR27" s="339">
        <v>17</v>
      </c>
      <c r="AS27" s="339" t="s">
        <v>1541</v>
      </c>
      <c r="AT27" s="339">
        <v>21</v>
      </c>
      <c r="AU27" s="339" t="s">
        <v>1542</v>
      </c>
      <c r="AV27" s="339">
        <v>1</v>
      </c>
      <c r="AY27" s="339">
        <v>7</v>
      </c>
      <c r="AZ27" s="339" t="s">
        <v>1290</v>
      </c>
      <c r="BA27" s="339">
        <v>26</v>
      </c>
      <c r="BB27" s="339">
        <v>6</v>
      </c>
      <c r="BC27" s="339">
        <v>3</v>
      </c>
      <c r="BD27" s="339">
        <v>5</v>
      </c>
      <c r="BE27" s="339">
        <v>12</v>
      </c>
      <c r="BF27" s="339" t="s">
        <v>1652</v>
      </c>
      <c r="BG27" s="351">
        <v>29</v>
      </c>
      <c r="BH27" s="339">
        <v>19</v>
      </c>
      <c r="BI27" s="339" t="s">
        <v>1653</v>
      </c>
      <c r="BJ27" s="339">
        <v>29</v>
      </c>
      <c r="BK27" s="339" t="s">
        <v>1654</v>
      </c>
      <c r="BL27" s="339">
        <v>5</v>
      </c>
      <c r="BO27" s="339">
        <v>7</v>
      </c>
      <c r="BP27" s="339" t="s">
        <v>1270</v>
      </c>
      <c r="BQ27" s="339">
        <v>26</v>
      </c>
      <c r="BR27" s="339">
        <v>7</v>
      </c>
      <c r="BS27" s="339">
        <v>4</v>
      </c>
      <c r="BT27" s="339">
        <v>0</v>
      </c>
      <c r="BU27" s="339">
        <v>15</v>
      </c>
      <c r="BV27" s="339" t="s">
        <v>1740</v>
      </c>
      <c r="BW27" s="351">
        <v>29</v>
      </c>
      <c r="BX27" s="339">
        <v>15</v>
      </c>
      <c r="BY27" s="367">
        <v>34973</v>
      </c>
      <c r="BZ27" s="339">
        <v>15</v>
      </c>
      <c r="CA27" s="339" t="s">
        <v>1741</v>
      </c>
      <c r="CB27" s="339">
        <v>3</v>
      </c>
      <c r="CE27" s="339">
        <v>7</v>
      </c>
      <c r="CF27" s="339" t="s">
        <v>1270</v>
      </c>
      <c r="CG27" s="339">
        <v>26</v>
      </c>
      <c r="CH27" s="339">
        <v>10</v>
      </c>
      <c r="CI27" s="339">
        <v>2</v>
      </c>
      <c r="CJ27" s="339">
        <v>1</v>
      </c>
      <c r="CK27" s="339">
        <v>13</v>
      </c>
      <c r="CL27" s="339" t="s">
        <v>1832</v>
      </c>
      <c r="CM27" s="351">
        <v>35</v>
      </c>
      <c r="CN27" s="339">
        <v>11</v>
      </c>
      <c r="CO27" s="366">
        <v>43720</v>
      </c>
      <c r="CP27" s="339">
        <v>25</v>
      </c>
      <c r="CQ27" s="339" t="s">
        <v>1833</v>
      </c>
      <c r="CR27" s="339">
        <v>1</v>
      </c>
      <c r="CU27" s="339">
        <v>7</v>
      </c>
      <c r="CV27" s="339" t="s">
        <v>1266</v>
      </c>
      <c r="CW27" s="339">
        <v>26</v>
      </c>
      <c r="CX27" s="339">
        <v>7</v>
      </c>
      <c r="CY27" s="339">
        <v>3</v>
      </c>
      <c r="CZ27" s="339">
        <v>3</v>
      </c>
      <c r="DA27" s="339">
        <v>13</v>
      </c>
      <c r="DB27" s="339" t="s">
        <v>1926</v>
      </c>
      <c r="DC27" s="351">
        <v>30</v>
      </c>
      <c r="DD27" s="339">
        <v>25</v>
      </c>
      <c r="DE27" s="339" t="s">
        <v>1927</v>
      </c>
      <c r="DF27" s="339">
        <v>19</v>
      </c>
      <c r="DG27" s="339" t="s">
        <v>1928</v>
      </c>
      <c r="DH27" s="339">
        <v>3</v>
      </c>
      <c r="DK27" s="339">
        <v>7</v>
      </c>
      <c r="DL27" s="339" t="s">
        <v>1895</v>
      </c>
      <c r="DM27" s="339">
        <v>26</v>
      </c>
      <c r="DN27" s="339">
        <v>8</v>
      </c>
      <c r="DO27" s="339">
        <v>2</v>
      </c>
      <c r="DP27" s="339">
        <v>3</v>
      </c>
      <c r="DQ27" s="339">
        <v>13</v>
      </c>
      <c r="DR27" s="339" t="s">
        <v>2022</v>
      </c>
      <c r="DS27" s="351">
        <v>31</v>
      </c>
      <c r="DT27" s="339">
        <v>12</v>
      </c>
      <c r="DU27" s="339" t="s">
        <v>2023</v>
      </c>
      <c r="DV27" s="339">
        <v>15</v>
      </c>
      <c r="DW27" s="339" t="s">
        <v>1688</v>
      </c>
      <c r="DX27" s="339">
        <v>2</v>
      </c>
      <c r="EA27" s="339">
        <v>7</v>
      </c>
      <c r="EB27" s="339" t="s">
        <v>1591</v>
      </c>
      <c r="EC27" s="339">
        <v>26</v>
      </c>
      <c r="ED27" s="339">
        <v>7</v>
      </c>
      <c r="EE27" s="339">
        <v>5</v>
      </c>
      <c r="EF27" s="339">
        <v>1</v>
      </c>
      <c r="EG27" s="339">
        <v>13</v>
      </c>
      <c r="EH27" s="339" t="s">
        <v>2104</v>
      </c>
      <c r="EI27" s="351">
        <v>32</v>
      </c>
      <c r="EJ27" s="339">
        <v>18</v>
      </c>
      <c r="EK27" s="339" t="s">
        <v>1371</v>
      </c>
      <c r="EL27" s="339">
        <v>29</v>
      </c>
      <c r="EM27" s="339" t="s">
        <v>2105</v>
      </c>
      <c r="EN27" s="339">
        <v>3</v>
      </c>
      <c r="EQ27" s="339">
        <v>7</v>
      </c>
      <c r="ER27" s="339" t="s">
        <v>1266</v>
      </c>
      <c r="ES27" s="339">
        <v>26</v>
      </c>
      <c r="ET27" s="339">
        <v>9</v>
      </c>
      <c r="EU27" s="339">
        <v>3</v>
      </c>
      <c r="EV27" s="339">
        <v>3</v>
      </c>
      <c r="EW27" s="339">
        <v>11</v>
      </c>
      <c r="EX27" s="339" t="s">
        <v>2182</v>
      </c>
      <c r="EY27" s="351">
        <v>36</v>
      </c>
      <c r="EZ27" s="339">
        <v>22</v>
      </c>
      <c r="FA27" s="339" t="s">
        <v>1452</v>
      </c>
      <c r="FB27" s="339">
        <v>23</v>
      </c>
      <c r="FC27" s="339" t="s">
        <v>2183</v>
      </c>
      <c r="FD27" s="339">
        <v>0</v>
      </c>
      <c r="FG27" s="339">
        <v>7</v>
      </c>
      <c r="FH27" s="339" t="s">
        <v>2224</v>
      </c>
      <c r="FI27" s="339">
        <v>26</v>
      </c>
      <c r="FJ27" s="339">
        <v>7</v>
      </c>
      <c r="FK27" s="339">
        <v>3</v>
      </c>
      <c r="FL27" s="339">
        <v>3</v>
      </c>
      <c r="FM27" s="339">
        <v>13</v>
      </c>
      <c r="FN27" s="339" t="s">
        <v>2269</v>
      </c>
      <c r="FO27" s="351">
        <v>30</v>
      </c>
      <c r="FP27" s="339">
        <v>24</v>
      </c>
      <c r="FQ27" s="366">
        <v>43513</v>
      </c>
      <c r="FR27" s="339">
        <v>24</v>
      </c>
      <c r="FS27" s="339" t="s">
        <v>2193</v>
      </c>
      <c r="FT27" s="339">
        <v>3</v>
      </c>
      <c r="FW27" s="339">
        <v>7</v>
      </c>
      <c r="FX27" s="339" t="s">
        <v>2169</v>
      </c>
      <c r="FY27" s="339">
        <v>26</v>
      </c>
      <c r="FZ27" s="339">
        <v>5</v>
      </c>
      <c r="GA27" s="339">
        <v>5</v>
      </c>
      <c r="GB27" s="339">
        <v>4</v>
      </c>
      <c r="GC27" s="339">
        <v>12</v>
      </c>
      <c r="GD27" s="339" t="s">
        <v>2354</v>
      </c>
      <c r="GE27" s="351">
        <v>29</v>
      </c>
      <c r="GF27" s="339">
        <v>20</v>
      </c>
      <c r="GG27" s="339" t="s">
        <v>2207</v>
      </c>
      <c r="GH27" s="339">
        <v>33</v>
      </c>
      <c r="GI27" s="339" t="s">
        <v>2355</v>
      </c>
      <c r="GJ27" s="339">
        <v>3</v>
      </c>
      <c r="GM27" s="339">
        <v>7</v>
      </c>
      <c r="GN27" s="339" t="s">
        <v>1266</v>
      </c>
      <c r="GO27" s="339">
        <v>26</v>
      </c>
      <c r="GP27" s="339">
        <v>7</v>
      </c>
      <c r="GQ27" s="339">
        <v>1</v>
      </c>
      <c r="GR27" s="339">
        <v>5</v>
      </c>
      <c r="GS27" s="339">
        <v>13</v>
      </c>
      <c r="GT27" s="339" t="s">
        <v>2433</v>
      </c>
      <c r="GU27" s="351">
        <v>28</v>
      </c>
      <c r="GV27" s="339">
        <v>21</v>
      </c>
      <c r="GW27" s="339" t="s">
        <v>2434</v>
      </c>
      <c r="GX27" s="339">
        <v>39</v>
      </c>
      <c r="GY27" s="339" t="s">
        <v>2435</v>
      </c>
      <c r="GZ27" s="339">
        <v>6</v>
      </c>
      <c r="HC27" s="339">
        <v>7</v>
      </c>
      <c r="HD27" s="339" t="s">
        <v>1293</v>
      </c>
      <c r="HE27" s="339">
        <v>26</v>
      </c>
      <c r="HF27" s="339">
        <v>8</v>
      </c>
      <c r="HG27" s="339">
        <v>1</v>
      </c>
      <c r="HH27" s="339">
        <v>4</v>
      </c>
      <c r="HI27" s="339">
        <v>1</v>
      </c>
      <c r="HJ27" s="339">
        <v>12</v>
      </c>
      <c r="HK27" s="339" t="s">
        <v>2513</v>
      </c>
      <c r="HL27" s="351">
        <v>31</v>
      </c>
      <c r="HM27" s="339">
        <v>14</v>
      </c>
      <c r="HN27" s="367">
        <v>14185</v>
      </c>
      <c r="HO27" s="339">
        <v>18</v>
      </c>
      <c r="HP27" s="339" t="s">
        <v>2514</v>
      </c>
      <c r="HQ27" s="339">
        <v>6</v>
      </c>
      <c r="HT27" s="339">
        <v>7</v>
      </c>
      <c r="HU27" s="339" t="s">
        <v>2236</v>
      </c>
      <c r="HV27" s="339">
        <v>26</v>
      </c>
      <c r="HW27" s="339">
        <v>9</v>
      </c>
      <c r="HX27" s="339">
        <v>1</v>
      </c>
      <c r="HY27" s="339">
        <v>4</v>
      </c>
      <c r="HZ27" s="339">
        <v>2</v>
      </c>
      <c r="IA27" s="339">
        <v>10</v>
      </c>
      <c r="IB27" s="339" t="s">
        <v>2581</v>
      </c>
      <c r="IC27" s="351">
        <v>35</v>
      </c>
      <c r="ID27" s="339">
        <v>12</v>
      </c>
      <c r="IE27" s="366">
        <v>43780</v>
      </c>
      <c r="IF27" s="339">
        <v>28</v>
      </c>
      <c r="IG27" s="339" t="s">
        <v>2582</v>
      </c>
      <c r="IH27" s="339">
        <v>0</v>
      </c>
      <c r="IK27" s="339">
        <v>7</v>
      </c>
      <c r="IL27" s="339" t="s">
        <v>1266</v>
      </c>
      <c r="IM27" s="339">
        <v>26</v>
      </c>
      <c r="IN27" s="339">
        <v>6</v>
      </c>
      <c r="IO27" s="339">
        <v>1</v>
      </c>
      <c r="IP27" s="339">
        <v>2</v>
      </c>
      <c r="IQ27" s="339">
        <v>0</v>
      </c>
      <c r="IR27" s="339">
        <v>17</v>
      </c>
      <c r="IS27" s="339" t="s">
        <v>2653</v>
      </c>
      <c r="IT27" s="351">
        <v>22</v>
      </c>
      <c r="IU27" s="339">
        <v>19</v>
      </c>
      <c r="IV27" s="339" t="s">
        <v>2654</v>
      </c>
      <c r="IW27" s="339">
        <v>41</v>
      </c>
      <c r="IX27" s="339" t="s">
        <v>2655</v>
      </c>
      <c r="IY27" s="339">
        <v>6</v>
      </c>
      <c r="JB27" s="339">
        <v>7</v>
      </c>
      <c r="JC27" s="339" t="s">
        <v>2249</v>
      </c>
      <c r="JD27" s="339">
        <v>26</v>
      </c>
      <c r="JE27" s="339">
        <v>7</v>
      </c>
      <c r="JF27" s="339">
        <v>2</v>
      </c>
      <c r="JG27" s="339">
        <v>1</v>
      </c>
      <c r="JH27" s="339">
        <v>3</v>
      </c>
      <c r="JI27" s="339">
        <v>13</v>
      </c>
      <c r="JJ27" s="339" t="s">
        <v>1537</v>
      </c>
      <c r="JK27" s="351">
        <v>29</v>
      </c>
      <c r="JL27" s="339">
        <v>11</v>
      </c>
      <c r="JM27" s="367">
        <v>30621</v>
      </c>
      <c r="JN27" s="339">
        <v>22</v>
      </c>
      <c r="JO27" s="339" t="s">
        <v>2726</v>
      </c>
      <c r="JP27" s="339">
        <v>5</v>
      </c>
      <c r="JS27" s="339">
        <v>7</v>
      </c>
      <c r="JT27" s="339" t="s">
        <v>1591</v>
      </c>
      <c r="JU27" s="339">
        <v>26</v>
      </c>
      <c r="JV27" s="339">
        <v>7</v>
      </c>
      <c r="JW27" s="339">
        <v>2</v>
      </c>
      <c r="JX27" s="339">
        <v>4</v>
      </c>
      <c r="JY27" s="339">
        <v>5</v>
      </c>
      <c r="JZ27" s="339">
        <v>8</v>
      </c>
      <c r="KA27" s="339" t="s">
        <v>2094</v>
      </c>
      <c r="KB27" s="351">
        <v>34</v>
      </c>
      <c r="KC27" s="339">
        <v>0</v>
      </c>
      <c r="KD27" s="339" t="s">
        <v>78</v>
      </c>
      <c r="KE27" s="339">
        <v>0</v>
      </c>
      <c r="KF27" s="339" t="s">
        <v>2757</v>
      </c>
      <c r="KG27" s="339">
        <v>0</v>
      </c>
      <c r="KJ27" s="339">
        <v>7</v>
      </c>
      <c r="KK27" s="339" t="s">
        <v>2490</v>
      </c>
      <c r="KL27" s="339">
        <v>26</v>
      </c>
      <c r="KM27" s="339">
        <v>8</v>
      </c>
      <c r="KN27" s="339">
        <v>0</v>
      </c>
      <c r="KO27" s="339">
        <v>2</v>
      </c>
      <c r="KP27" s="339">
        <v>2</v>
      </c>
      <c r="KQ27" s="339">
        <v>14</v>
      </c>
      <c r="KR27" s="339" t="s">
        <v>2811</v>
      </c>
      <c r="KS27" s="351">
        <v>28</v>
      </c>
      <c r="KT27" s="339">
        <v>0</v>
      </c>
      <c r="KU27" s="339" t="s">
        <v>78</v>
      </c>
      <c r="KV27" s="339">
        <v>0</v>
      </c>
      <c r="KW27" s="339" t="s">
        <v>2757</v>
      </c>
      <c r="KX27" s="339">
        <v>0</v>
      </c>
      <c r="LA27" s="339">
        <v>7</v>
      </c>
      <c r="LB27" s="339" t="s">
        <v>1266</v>
      </c>
      <c r="LC27" s="339">
        <v>26</v>
      </c>
      <c r="LD27" s="339">
        <v>7</v>
      </c>
      <c r="LE27" s="339">
        <v>0</v>
      </c>
      <c r="LF27" s="339">
        <v>3</v>
      </c>
      <c r="LG27" s="339">
        <v>0</v>
      </c>
      <c r="LH27" s="339">
        <v>16</v>
      </c>
      <c r="LI27" s="339" t="s">
        <v>2846</v>
      </c>
      <c r="LJ27" s="351">
        <v>17</v>
      </c>
      <c r="LK27" s="339">
        <v>2</v>
      </c>
      <c r="LL27" s="367">
        <v>41306</v>
      </c>
      <c r="LM27" s="339">
        <v>0</v>
      </c>
      <c r="LN27" s="339" t="s">
        <v>2757</v>
      </c>
      <c r="LO27" s="339">
        <v>0</v>
      </c>
      <c r="LR27" s="339">
        <v>7</v>
      </c>
      <c r="LS27" s="339" t="s">
        <v>1286</v>
      </c>
      <c r="LT27" s="339">
        <v>26</v>
      </c>
      <c r="LU27" s="339">
        <v>8</v>
      </c>
      <c r="LV27" s="339">
        <v>0</v>
      </c>
      <c r="LW27" s="339">
        <v>5</v>
      </c>
      <c r="LX27" s="339">
        <v>0</v>
      </c>
      <c r="LY27" s="339">
        <v>13</v>
      </c>
      <c r="LZ27" s="339" t="s">
        <v>2896</v>
      </c>
      <c r="MA27" s="351">
        <v>21</v>
      </c>
      <c r="MB27" s="339">
        <v>23</v>
      </c>
      <c r="MC27" s="339" t="s">
        <v>2897</v>
      </c>
      <c r="MD27" s="339">
        <v>22</v>
      </c>
      <c r="ME27" s="339" t="s">
        <v>2507</v>
      </c>
      <c r="MF27" s="339">
        <v>2</v>
      </c>
    </row>
    <row r="28" spans="2:344" ht="55.8" thickBot="1" x14ac:dyDescent="0.35">
      <c r="B28" s="339">
        <v>8</v>
      </c>
      <c r="C28" s="339" t="s">
        <v>1282</v>
      </c>
      <c r="D28" s="339">
        <v>26</v>
      </c>
      <c r="E28" s="339">
        <v>10</v>
      </c>
      <c r="F28" s="339">
        <v>1</v>
      </c>
      <c r="G28" s="339"/>
      <c r="H28" s="339">
        <v>4</v>
      </c>
      <c r="I28" s="339">
        <v>11</v>
      </c>
      <c r="J28" s="339" t="s">
        <v>1335</v>
      </c>
      <c r="K28" s="351">
        <v>36</v>
      </c>
      <c r="L28" s="339">
        <v>14</v>
      </c>
      <c r="M28" s="339" t="s">
        <v>1336</v>
      </c>
      <c r="N28" s="339">
        <v>23</v>
      </c>
      <c r="O28" s="339" t="s">
        <v>1337</v>
      </c>
      <c r="P28" s="339">
        <v>3</v>
      </c>
      <c r="Q28" s="342"/>
      <c r="S28" s="339">
        <v>8</v>
      </c>
      <c r="T28" s="339" t="s">
        <v>1311</v>
      </c>
      <c r="U28" s="339">
        <v>26</v>
      </c>
      <c r="V28" s="339">
        <v>6</v>
      </c>
      <c r="W28" s="339">
        <v>4</v>
      </c>
      <c r="X28" s="339">
        <v>4</v>
      </c>
      <c r="Y28" s="339">
        <v>12</v>
      </c>
      <c r="Z28" s="339" t="s">
        <v>1453</v>
      </c>
      <c r="AA28" s="351">
        <v>30</v>
      </c>
      <c r="AB28" s="339">
        <v>12</v>
      </c>
      <c r="AC28" s="339" t="s">
        <v>1400</v>
      </c>
      <c r="AD28" s="339">
        <v>22</v>
      </c>
      <c r="AE28" s="339" t="s">
        <v>1313</v>
      </c>
      <c r="AF28" s="339">
        <v>2</v>
      </c>
      <c r="AI28" s="339">
        <v>8</v>
      </c>
      <c r="AJ28" s="339" t="s">
        <v>1307</v>
      </c>
      <c r="AK28" s="339">
        <v>26</v>
      </c>
      <c r="AL28" s="339">
        <v>8</v>
      </c>
      <c r="AM28" s="339">
        <v>1</v>
      </c>
      <c r="AN28" s="339">
        <v>5</v>
      </c>
      <c r="AO28" s="339">
        <v>12</v>
      </c>
      <c r="AP28" s="339" t="s">
        <v>1543</v>
      </c>
      <c r="AQ28" s="351">
        <v>31</v>
      </c>
      <c r="AR28" s="339">
        <v>19</v>
      </c>
      <c r="AS28" s="339" t="s">
        <v>1544</v>
      </c>
      <c r="AT28" s="339">
        <v>24</v>
      </c>
      <c r="AU28" s="339" t="s">
        <v>1310</v>
      </c>
      <c r="AV28" s="339">
        <v>3</v>
      </c>
      <c r="AY28" s="339">
        <v>8</v>
      </c>
      <c r="AZ28" s="339" t="s">
        <v>1286</v>
      </c>
      <c r="BA28" s="339">
        <v>26</v>
      </c>
      <c r="BB28" s="339">
        <v>7</v>
      </c>
      <c r="BC28" s="339">
        <v>2</v>
      </c>
      <c r="BD28" s="339">
        <v>3</v>
      </c>
      <c r="BE28" s="339">
        <v>14</v>
      </c>
      <c r="BF28" s="339" t="s">
        <v>1655</v>
      </c>
      <c r="BG28" s="351">
        <v>28</v>
      </c>
      <c r="BH28" s="339">
        <v>19</v>
      </c>
      <c r="BI28" s="339" t="s">
        <v>1656</v>
      </c>
      <c r="BJ28" s="339">
        <v>26</v>
      </c>
      <c r="BK28" s="339" t="s">
        <v>1657</v>
      </c>
      <c r="BL28" s="339">
        <v>5</v>
      </c>
      <c r="BO28" s="339">
        <v>8</v>
      </c>
      <c r="BP28" s="339" t="s">
        <v>1274</v>
      </c>
      <c r="BQ28" s="339">
        <v>26</v>
      </c>
      <c r="BR28" s="339">
        <v>9</v>
      </c>
      <c r="BS28" s="339">
        <v>1</v>
      </c>
      <c r="BT28" s="339">
        <v>0</v>
      </c>
      <c r="BU28" s="339">
        <v>16</v>
      </c>
      <c r="BV28" s="339" t="s">
        <v>1742</v>
      </c>
      <c r="BW28" s="351">
        <v>29</v>
      </c>
      <c r="BX28" s="339">
        <v>19</v>
      </c>
      <c r="BY28" s="339" t="s">
        <v>1743</v>
      </c>
      <c r="BZ28" s="339">
        <v>19</v>
      </c>
      <c r="CA28" s="339" t="s">
        <v>1744</v>
      </c>
      <c r="CB28" s="339">
        <v>0</v>
      </c>
      <c r="CE28" s="339">
        <v>8</v>
      </c>
      <c r="CF28" s="339" t="s">
        <v>1311</v>
      </c>
      <c r="CG28" s="339">
        <v>26</v>
      </c>
      <c r="CH28" s="339">
        <v>8</v>
      </c>
      <c r="CI28" s="339">
        <v>2</v>
      </c>
      <c r="CJ28" s="339">
        <v>6</v>
      </c>
      <c r="CK28" s="339">
        <v>10</v>
      </c>
      <c r="CL28" s="339" t="s">
        <v>1834</v>
      </c>
      <c r="CM28" s="351">
        <v>34</v>
      </c>
      <c r="CN28" s="339">
        <v>16</v>
      </c>
      <c r="CO28" s="367">
        <v>11658</v>
      </c>
      <c r="CP28" s="339">
        <v>16</v>
      </c>
      <c r="CQ28" s="339" t="s">
        <v>1835</v>
      </c>
      <c r="CR28" s="339">
        <v>3</v>
      </c>
      <c r="CU28" s="339">
        <v>8</v>
      </c>
      <c r="CV28" s="339" t="s">
        <v>1262</v>
      </c>
      <c r="CW28" s="339">
        <v>26</v>
      </c>
      <c r="CX28" s="339">
        <v>6</v>
      </c>
      <c r="CY28" s="339">
        <v>1</v>
      </c>
      <c r="CZ28" s="339">
        <v>9</v>
      </c>
      <c r="DA28" s="339">
        <v>10</v>
      </c>
      <c r="DB28" s="339" t="s">
        <v>1929</v>
      </c>
      <c r="DC28" s="351">
        <v>29</v>
      </c>
      <c r="DD28" s="339">
        <v>22</v>
      </c>
      <c r="DE28" s="339" t="s">
        <v>1930</v>
      </c>
      <c r="DF28" s="339">
        <v>26</v>
      </c>
      <c r="DG28" s="339" t="s">
        <v>1826</v>
      </c>
      <c r="DH28" s="339">
        <v>3</v>
      </c>
      <c r="DK28" s="339">
        <v>8</v>
      </c>
      <c r="DL28" s="339" t="s">
        <v>1293</v>
      </c>
      <c r="DM28" s="339">
        <v>26</v>
      </c>
      <c r="DN28" s="339">
        <v>5</v>
      </c>
      <c r="DO28" s="339">
        <v>5</v>
      </c>
      <c r="DP28" s="339">
        <v>6</v>
      </c>
      <c r="DQ28" s="339">
        <v>10</v>
      </c>
      <c r="DR28" s="339" t="s">
        <v>2024</v>
      </c>
      <c r="DS28" s="351">
        <v>31</v>
      </c>
      <c r="DT28" s="339">
        <v>11</v>
      </c>
      <c r="DU28" s="367">
        <v>17777</v>
      </c>
      <c r="DV28" s="339">
        <v>21</v>
      </c>
      <c r="DW28" s="339" t="s">
        <v>1277</v>
      </c>
      <c r="DX28" s="339">
        <v>2</v>
      </c>
      <c r="EA28" s="339">
        <v>8</v>
      </c>
      <c r="EB28" s="339" t="s">
        <v>1278</v>
      </c>
      <c r="EC28" s="339">
        <v>26</v>
      </c>
      <c r="ED28" s="339">
        <v>7</v>
      </c>
      <c r="EE28" s="339">
        <v>4</v>
      </c>
      <c r="EF28" s="339">
        <v>0</v>
      </c>
      <c r="EG28" s="339">
        <v>15</v>
      </c>
      <c r="EH28" s="339" t="s">
        <v>1329</v>
      </c>
      <c r="EI28" s="351">
        <v>29</v>
      </c>
      <c r="EJ28" s="339">
        <v>17</v>
      </c>
      <c r="EK28" s="339" t="s">
        <v>1847</v>
      </c>
      <c r="EL28" s="339">
        <v>26</v>
      </c>
      <c r="EM28" s="339" t="s">
        <v>2085</v>
      </c>
      <c r="EN28" s="339">
        <v>2</v>
      </c>
      <c r="EQ28" s="339">
        <v>8</v>
      </c>
      <c r="ER28" s="339" t="s">
        <v>1303</v>
      </c>
      <c r="ES28" s="339">
        <v>26</v>
      </c>
      <c r="ET28" s="339">
        <v>9</v>
      </c>
      <c r="EU28" s="339">
        <v>1</v>
      </c>
      <c r="EV28" s="339">
        <v>4</v>
      </c>
      <c r="EW28" s="339">
        <v>12</v>
      </c>
      <c r="EX28" s="339" t="s">
        <v>1689</v>
      </c>
      <c r="EY28" s="351">
        <v>33</v>
      </c>
      <c r="EZ28" s="339">
        <v>21</v>
      </c>
      <c r="FA28" s="339" t="s">
        <v>1564</v>
      </c>
      <c r="FB28" s="339">
        <v>25</v>
      </c>
      <c r="FC28" s="339" t="s">
        <v>1594</v>
      </c>
      <c r="FD28" s="339">
        <v>4</v>
      </c>
      <c r="FG28" s="339">
        <v>8</v>
      </c>
      <c r="FH28" s="339" t="s">
        <v>1290</v>
      </c>
      <c r="FI28" s="339">
        <v>26</v>
      </c>
      <c r="FJ28" s="339">
        <v>8</v>
      </c>
      <c r="FK28" s="339">
        <v>1</v>
      </c>
      <c r="FL28" s="339">
        <v>2</v>
      </c>
      <c r="FM28" s="339">
        <v>15</v>
      </c>
      <c r="FN28" s="339" t="s">
        <v>1451</v>
      </c>
      <c r="FO28" s="351">
        <v>28</v>
      </c>
      <c r="FP28" s="339">
        <v>16</v>
      </c>
      <c r="FQ28" s="339" t="s">
        <v>2270</v>
      </c>
      <c r="FR28" s="339">
        <v>31</v>
      </c>
      <c r="FS28" s="339" t="s">
        <v>2271</v>
      </c>
      <c r="FT28" s="339">
        <v>4</v>
      </c>
      <c r="FW28" s="339">
        <v>8</v>
      </c>
      <c r="FX28" s="339" t="s">
        <v>2236</v>
      </c>
      <c r="FY28" s="339">
        <v>26</v>
      </c>
      <c r="FZ28" s="339">
        <v>5</v>
      </c>
      <c r="GA28" s="339">
        <v>4</v>
      </c>
      <c r="GB28" s="339">
        <v>3</v>
      </c>
      <c r="GC28" s="339">
        <v>14</v>
      </c>
      <c r="GD28" s="339" t="s">
        <v>2356</v>
      </c>
      <c r="GE28" s="351">
        <v>26</v>
      </c>
      <c r="GF28" s="339">
        <v>17</v>
      </c>
      <c r="GG28" s="366">
        <v>43566</v>
      </c>
      <c r="GH28" s="339">
        <v>29</v>
      </c>
      <c r="GI28" s="339" t="s">
        <v>2357</v>
      </c>
      <c r="GJ28" s="339">
        <v>4</v>
      </c>
      <c r="GM28" s="339">
        <v>8</v>
      </c>
      <c r="GN28" s="339" t="s">
        <v>2412</v>
      </c>
      <c r="GO28" s="339">
        <v>26</v>
      </c>
      <c r="GP28" s="339">
        <v>6</v>
      </c>
      <c r="GQ28" s="339">
        <v>3</v>
      </c>
      <c r="GR28" s="339">
        <v>4</v>
      </c>
      <c r="GS28" s="339">
        <v>13</v>
      </c>
      <c r="GT28" s="339" t="s">
        <v>1929</v>
      </c>
      <c r="GU28" s="351">
        <v>28</v>
      </c>
      <c r="GV28" s="339">
        <v>26</v>
      </c>
      <c r="GW28" s="339" t="s">
        <v>1766</v>
      </c>
      <c r="GX28" s="339">
        <v>36</v>
      </c>
      <c r="GY28" s="339" t="s">
        <v>2436</v>
      </c>
      <c r="GZ28" s="339">
        <v>4</v>
      </c>
      <c r="HC28" s="339">
        <v>8</v>
      </c>
      <c r="HD28" s="339" t="s">
        <v>2490</v>
      </c>
      <c r="HE28" s="339">
        <v>26</v>
      </c>
      <c r="HF28" s="339">
        <v>7</v>
      </c>
      <c r="HG28" s="339">
        <v>3</v>
      </c>
      <c r="HH28" s="339">
        <v>4</v>
      </c>
      <c r="HI28" s="339">
        <v>0</v>
      </c>
      <c r="HJ28" s="339">
        <v>12</v>
      </c>
      <c r="HK28" s="339" t="s">
        <v>2515</v>
      </c>
      <c r="HL28" s="351">
        <v>31</v>
      </c>
      <c r="HM28" s="339">
        <v>21</v>
      </c>
      <c r="HN28" s="366">
        <v>43540</v>
      </c>
      <c r="HO28" s="339">
        <v>23</v>
      </c>
      <c r="HP28" s="339" t="s">
        <v>2516</v>
      </c>
      <c r="HQ28" s="339">
        <v>1</v>
      </c>
      <c r="HT28" s="339">
        <v>8</v>
      </c>
      <c r="HU28" s="339" t="s">
        <v>1262</v>
      </c>
      <c r="HV28" s="339">
        <v>26</v>
      </c>
      <c r="HW28" s="339">
        <v>9</v>
      </c>
      <c r="HX28" s="339">
        <v>2</v>
      </c>
      <c r="HY28" s="339">
        <v>2</v>
      </c>
      <c r="HZ28" s="339">
        <v>0</v>
      </c>
      <c r="IA28" s="339">
        <v>13</v>
      </c>
      <c r="IB28" s="339" t="s">
        <v>2583</v>
      </c>
      <c r="IC28" s="351">
        <v>33</v>
      </c>
      <c r="ID28" s="339">
        <v>12</v>
      </c>
      <c r="IE28" s="366">
        <v>43476</v>
      </c>
      <c r="IF28" s="339">
        <v>29</v>
      </c>
      <c r="IG28" s="339" t="s">
        <v>2584</v>
      </c>
      <c r="IH28" s="339">
        <v>9</v>
      </c>
      <c r="IK28" s="339">
        <v>8</v>
      </c>
      <c r="IL28" s="339" t="s">
        <v>1262</v>
      </c>
      <c r="IM28" s="339">
        <v>26</v>
      </c>
      <c r="IN28" s="339">
        <v>5</v>
      </c>
      <c r="IO28" s="339">
        <v>0</v>
      </c>
      <c r="IP28" s="339">
        <v>4</v>
      </c>
      <c r="IQ28" s="339">
        <v>3</v>
      </c>
      <c r="IR28" s="339">
        <v>14</v>
      </c>
      <c r="IS28" s="339" t="s">
        <v>2656</v>
      </c>
      <c r="IT28" s="351">
        <v>22</v>
      </c>
      <c r="IU28" s="339">
        <v>16</v>
      </c>
      <c r="IV28" s="339" t="s">
        <v>2657</v>
      </c>
      <c r="IW28" s="339">
        <v>31</v>
      </c>
      <c r="IX28" s="339" t="s">
        <v>2658</v>
      </c>
      <c r="IY28" s="339">
        <v>2</v>
      </c>
      <c r="JB28" s="339">
        <v>8</v>
      </c>
      <c r="JC28" s="339" t="s">
        <v>1262</v>
      </c>
      <c r="JD28" s="339">
        <v>26</v>
      </c>
      <c r="JE28" s="339">
        <v>6</v>
      </c>
      <c r="JF28" s="339">
        <v>3</v>
      </c>
      <c r="JG28" s="339">
        <v>1</v>
      </c>
      <c r="JH28" s="339">
        <v>3</v>
      </c>
      <c r="JI28" s="339">
        <v>13</v>
      </c>
      <c r="JJ28" s="339" t="s">
        <v>2727</v>
      </c>
      <c r="JK28" s="351">
        <v>28</v>
      </c>
      <c r="JL28" s="339">
        <v>28</v>
      </c>
      <c r="JM28" s="339" t="s">
        <v>1580</v>
      </c>
      <c r="JN28" s="339">
        <v>25</v>
      </c>
      <c r="JO28" s="339" t="s">
        <v>2175</v>
      </c>
      <c r="JP28" s="339">
        <v>1</v>
      </c>
      <c r="JS28" s="339">
        <v>8</v>
      </c>
      <c r="JT28" s="339" t="s">
        <v>2249</v>
      </c>
      <c r="JU28" s="339">
        <v>26</v>
      </c>
      <c r="JV28" s="339">
        <v>6</v>
      </c>
      <c r="JW28" s="339">
        <v>3</v>
      </c>
      <c r="JX28" s="339">
        <v>2</v>
      </c>
      <c r="JY28" s="339">
        <v>2</v>
      </c>
      <c r="JZ28" s="339">
        <v>13</v>
      </c>
      <c r="KA28" s="339" t="s">
        <v>2776</v>
      </c>
      <c r="KB28" s="351">
        <v>28</v>
      </c>
      <c r="KC28" s="339">
        <v>0</v>
      </c>
      <c r="KD28" s="339" t="s">
        <v>78</v>
      </c>
      <c r="KE28" s="339">
        <v>0</v>
      </c>
      <c r="KF28" s="339" t="s">
        <v>2757</v>
      </c>
      <c r="KG28" s="339">
        <v>0</v>
      </c>
      <c r="KJ28" s="339">
        <v>8</v>
      </c>
      <c r="KK28" s="339" t="s">
        <v>1591</v>
      </c>
      <c r="KL28" s="339">
        <v>26</v>
      </c>
      <c r="KM28" s="339">
        <v>7</v>
      </c>
      <c r="KN28" s="339">
        <v>1</v>
      </c>
      <c r="KO28" s="339">
        <v>3</v>
      </c>
      <c r="KP28" s="339">
        <v>1</v>
      </c>
      <c r="KQ28" s="339">
        <v>14</v>
      </c>
      <c r="KR28" s="339" t="s">
        <v>2812</v>
      </c>
      <c r="KS28" s="351">
        <v>27</v>
      </c>
      <c r="KT28" s="339">
        <v>0</v>
      </c>
      <c r="KU28" s="339" t="s">
        <v>78</v>
      </c>
      <c r="KV28" s="339">
        <v>0</v>
      </c>
      <c r="KW28" s="339" t="s">
        <v>2757</v>
      </c>
      <c r="KX28" s="339">
        <v>0</v>
      </c>
      <c r="LA28" s="339">
        <v>8</v>
      </c>
      <c r="LB28" s="339" t="s">
        <v>2490</v>
      </c>
      <c r="LC28" s="339">
        <v>26</v>
      </c>
      <c r="LD28" s="339">
        <v>6</v>
      </c>
      <c r="LE28" s="339">
        <v>0</v>
      </c>
      <c r="LF28" s="339">
        <v>4</v>
      </c>
      <c r="LG28" s="339">
        <v>0</v>
      </c>
      <c r="LH28" s="339">
        <v>16</v>
      </c>
      <c r="LI28" s="339" t="s">
        <v>2847</v>
      </c>
      <c r="LJ28" s="351">
        <v>16</v>
      </c>
      <c r="LK28" s="339">
        <v>0</v>
      </c>
      <c r="LL28" s="339" t="s">
        <v>78</v>
      </c>
      <c r="LM28" s="339">
        <v>0</v>
      </c>
      <c r="LN28" s="339" t="s">
        <v>2757</v>
      </c>
      <c r="LO28" s="339">
        <v>0</v>
      </c>
      <c r="LR28" s="339">
        <v>8</v>
      </c>
      <c r="LS28" s="339" t="s">
        <v>1311</v>
      </c>
      <c r="LT28" s="339">
        <v>26</v>
      </c>
      <c r="LU28" s="339">
        <v>6</v>
      </c>
      <c r="LV28" s="339">
        <v>0</v>
      </c>
      <c r="LW28" s="339">
        <v>8</v>
      </c>
      <c r="LX28" s="339">
        <v>0</v>
      </c>
      <c r="LY28" s="339">
        <v>12</v>
      </c>
      <c r="LZ28" s="339" t="s">
        <v>2898</v>
      </c>
      <c r="MA28" s="351">
        <v>20</v>
      </c>
      <c r="MB28" s="339">
        <v>13</v>
      </c>
      <c r="MC28" s="367">
        <v>30256</v>
      </c>
      <c r="MD28" s="339">
        <v>16</v>
      </c>
      <c r="ME28" s="339" t="s">
        <v>2556</v>
      </c>
      <c r="MF28" s="339">
        <v>4</v>
      </c>
    </row>
    <row r="29" spans="2:344" ht="55.8" thickBot="1" x14ac:dyDescent="0.35">
      <c r="B29" s="339">
        <v>9</v>
      </c>
      <c r="C29" s="339" t="s">
        <v>80</v>
      </c>
      <c r="D29" s="339">
        <v>26</v>
      </c>
      <c r="E29" s="339">
        <v>8</v>
      </c>
      <c r="F29" s="339">
        <v>4</v>
      </c>
      <c r="G29" s="339"/>
      <c r="H29" s="339">
        <v>0</v>
      </c>
      <c r="I29" s="339">
        <v>14</v>
      </c>
      <c r="J29" s="339" t="s">
        <v>1126</v>
      </c>
      <c r="K29" s="351">
        <v>32</v>
      </c>
      <c r="L29" s="339">
        <v>13</v>
      </c>
      <c r="M29" s="339" t="s">
        <v>1338</v>
      </c>
      <c r="N29" s="339">
        <v>24</v>
      </c>
      <c r="O29" s="339" t="s">
        <v>1310</v>
      </c>
      <c r="P29" s="339">
        <v>5</v>
      </c>
      <c r="Q29" s="342"/>
      <c r="S29" s="339">
        <v>9</v>
      </c>
      <c r="T29" s="339" t="s">
        <v>1282</v>
      </c>
      <c r="U29" s="339">
        <v>26</v>
      </c>
      <c r="V29" s="339">
        <v>3</v>
      </c>
      <c r="W29" s="339">
        <v>8</v>
      </c>
      <c r="X29" s="339">
        <v>4</v>
      </c>
      <c r="Y29" s="339">
        <v>11</v>
      </c>
      <c r="Z29" s="339" t="s">
        <v>1454</v>
      </c>
      <c r="AA29" s="351">
        <v>29</v>
      </c>
      <c r="AB29" s="339">
        <v>9</v>
      </c>
      <c r="AC29" s="367">
        <v>45962</v>
      </c>
      <c r="AD29" s="339">
        <v>18</v>
      </c>
      <c r="AE29" s="339" t="s">
        <v>1455</v>
      </c>
      <c r="AF29" s="339">
        <v>4</v>
      </c>
      <c r="AI29" s="339">
        <v>9</v>
      </c>
      <c r="AJ29" s="339" t="s">
        <v>1282</v>
      </c>
      <c r="AK29" s="339">
        <v>26</v>
      </c>
      <c r="AL29" s="339">
        <v>6</v>
      </c>
      <c r="AM29" s="339">
        <v>4</v>
      </c>
      <c r="AN29" s="339">
        <v>4</v>
      </c>
      <c r="AO29" s="339">
        <v>12</v>
      </c>
      <c r="AP29" s="339" t="s">
        <v>1545</v>
      </c>
      <c r="AQ29" s="351">
        <v>30</v>
      </c>
      <c r="AR29" s="339">
        <v>14</v>
      </c>
      <c r="AS29" s="339" t="s">
        <v>1478</v>
      </c>
      <c r="AT29" s="339">
        <v>21</v>
      </c>
      <c r="AU29" s="339" t="s">
        <v>1546</v>
      </c>
      <c r="AV29" s="339">
        <v>2</v>
      </c>
      <c r="AY29" s="339">
        <v>9</v>
      </c>
      <c r="AZ29" s="339" t="s">
        <v>1266</v>
      </c>
      <c r="BA29" s="339">
        <v>26</v>
      </c>
      <c r="BB29" s="339">
        <v>6</v>
      </c>
      <c r="BC29" s="339">
        <v>2</v>
      </c>
      <c r="BD29" s="339">
        <v>3</v>
      </c>
      <c r="BE29" s="339">
        <v>15</v>
      </c>
      <c r="BF29" s="339" t="s">
        <v>1658</v>
      </c>
      <c r="BG29" s="351">
        <v>25</v>
      </c>
      <c r="BH29" s="339">
        <v>13</v>
      </c>
      <c r="BI29" s="339" t="s">
        <v>1338</v>
      </c>
      <c r="BJ29" s="339">
        <v>19</v>
      </c>
      <c r="BK29" s="339" t="s">
        <v>1659</v>
      </c>
      <c r="BL29" s="339">
        <v>3</v>
      </c>
      <c r="BO29" s="339">
        <v>9</v>
      </c>
      <c r="BP29" s="339" t="s">
        <v>1311</v>
      </c>
      <c r="BQ29" s="339">
        <v>26</v>
      </c>
      <c r="BR29" s="339">
        <v>9</v>
      </c>
      <c r="BS29" s="339">
        <v>0</v>
      </c>
      <c r="BT29" s="339">
        <v>2</v>
      </c>
      <c r="BU29" s="339">
        <v>15</v>
      </c>
      <c r="BV29" s="339" t="s">
        <v>1745</v>
      </c>
      <c r="BW29" s="351">
        <v>29</v>
      </c>
      <c r="BX29" s="339">
        <v>19</v>
      </c>
      <c r="BY29" s="339" t="s">
        <v>1746</v>
      </c>
      <c r="BZ29" s="339">
        <v>25</v>
      </c>
      <c r="CA29" s="339" t="s">
        <v>1747</v>
      </c>
      <c r="CB29" s="339">
        <v>1</v>
      </c>
      <c r="CE29" s="339">
        <v>9</v>
      </c>
      <c r="CF29" s="339" t="s">
        <v>1262</v>
      </c>
      <c r="CG29" s="339">
        <v>26</v>
      </c>
      <c r="CH29" s="339">
        <v>6</v>
      </c>
      <c r="CI29" s="339">
        <v>3</v>
      </c>
      <c r="CJ29" s="339">
        <v>2</v>
      </c>
      <c r="CK29" s="339">
        <v>15</v>
      </c>
      <c r="CL29" s="339" t="s">
        <v>1836</v>
      </c>
      <c r="CM29" s="351">
        <v>26</v>
      </c>
      <c r="CN29" s="339">
        <v>18</v>
      </c>
      <c r="CO29" s="339" t="s">
        <v>1682</v>
      </c>
      <c r="CP29" s="339">
        <v>35</v>
      </c>
      <c r="CQ29" s="339" t="s">
        <v>1837</v>
      </c>
      <c r="CR29" s="339">
        <v>3</v>
      </c>
      <c r="CU29" s="339">
        <v>9</v>
      </c>
      <c r="CV29" s="339" t="s">
        <v>332</v>
      </c>
      <c r="CW29" s="339">
        <v>26</v>
      </c>
      <c r="CX29" s="339">
        <v>8</v>
      </c>
      <c r="CY29" s="339">
        <v>0</v>
      </c>
      <c r="CZ29" s="339">
        <v>3</v>
      </c>
      <c r="DA29" s="339">
        <v>15</v>
      </c>
      <c r="DB29" s="339" t="s">
        <v>1931</v>
      </c>
      <c r="DC29" s="351">
        <v>27</v>
      </c>
      <c r="DD29" s="339">
        <v>16</v>
      </c>
      <c r="DE29" s="339" t="s">
        <v>1932</v>
      </c>
      <c r="DF29" s="339">
        <v>28</v>
      </c>
      <c r="DG29" s="339" t="s">
        <v>1933</v>
      </c>
      <c r="DH29" s="339">
        <v>2</v>
      </c>
      <c r="DK29" s="339">
        <v>9</v>
      </c>
      <c r="DL29" s="339" t="s">
        <v>1278</v>
      </c>
      <c r="DM29" s="339">
        <v>26</v>
      </c>
      <c r="DN29" s="339">
        <v>6</v>
      </c>
      <c r="DO29" s="339">
        <v>3</v>
      </c>
      <c r="DP29" s="339">
        <v>3</v>
      </c>
      <c r="DQ29" s="339">
        <v>14</v>
      </c>
      <c r="DR29" s="339" t="s">
        <v>2025</v>
      </c>
      <c r="DS29" s="351">
        <v>27</v>
      </c>
      <c r="DT29" s="339">
        <v>9</v>
      </c>
      <c r="DU29" s="367">
        <v>43344</v>
      </c>
      <c r="DV29" s="339">
        <v>25</v>
      </c>
      <c r="DW29" s="339" t="s">
        <v>2026</v>
      </c>
      <c r="DX29" s="339">
        <v>6</v>
      </c>
      <c r="EA29" s="339">
        <v>9</v>
      </c>
      <c r="EB29" s="339" t="s">
        <v>1286</v>
      </c>
      <c r="EC29" s="339">
        <v>26</v>
      </c>
      <c r="ED29" s="339">
        <v>8</v>
      </c>
      <c r="EE29" s="339">
        <v>2</v>
      </c>
      <c r="EF29" s="339">
        <v>1</v>
      </c>
      <c r="EG29" s="339">
        <v>15</v>
      </c>
      <c r="EH29" s="339" t="s">
        <v>1583</v>
      </c>
      <c r="EI29" s="351">
        <v>29</v>
      </c>
      <c r="EJ29" s="339">
        <v>19</v>
      </c>
      <c r="EK29" s="339" t="s">
        <v>1900</v>
      </c>
      <c r="EL29" s="339">
        <v>27</v>
      </c>
      <c r="EM29" s="339" t="s">
        <v>2106</v>
      </c>
      <c r="EN29" s="339">
        <v>2</v>
      </c>
      <c r="EQ29" s="339">
        <v>9</v>
      </c>
      <c r="ER29" s="339" t="s">
        <v>2078</v>
      </c>
      <c r="ES29" s="339">
        <v>26</v>
      </c>
      <c r="ET29" s="339">
        <v>9</v>
      </c>
      <c r="EU29" s="339">
        <v>2</v>
      </c>
      <c r="EV29" s="339">
        <v>2</v>
      </c>
      <c r="EW29" s="339">
        <v>13</v>
      </c>
      <c r="EX29" s="339" t="s">
        <v>2184</v>
      </c>
      <c r="EY29" s="351">
        <v>33</v>
      </c>
      <c r="EZ29" s="339">
        <v>26</v>
      </c>
      <c r="FA29" s="339" t="s">
        <v>2185</v>
      </c>
      <c r="FB29" s="339">
        <v>28</v>
      </c>
      <c r="FC29" s="339" t="s">
        <v>1936</v>
      </c>
      <c r="FD29" s="339">
        <v>6</v>
      </c>
      <c r="FG29" s="339">
        <v>9</v>
      </c>
      <c r="FH29" s="339" t="s">
        <v>1895</v>
      </c>
      <c r="FI29" s="339">
        <v>26</v>
      </c>
      <c r="FJ29" s="339">
        <v>7</v>
      </c>
      <c r="FK29" s="339">
        <v>2</v>
      </c>
      <c r="FL29" s="339">
        <v>3</v>
      </c>
      <c r="FM29" s="339">
        <v>14</v>
      </c>
      <c r="FN29" s="339" t="s">
        <v>2272</v>
      </c>
      <c r="FO29" s="351">
        <v>28</v>
      </c>
      <c r="FP29" s="339">
        <v>16</v>
      </c>
      <c r="FQ29" s="339" t="s">
        <v>215</v>
      </c>
      <c r="FR29" s="339">
        <v>29</v>
      </c>
      <c r="FS29" s="339" t="s">
        <v>1709</v>
      </c>
      <c r="FT29" s="339">
        <v>7</v>
      </c>
      <c r="FW29" s="339">
        <v>9</v>
      </c>
      <c r="FX29" s="339" t="s">
        <v>2227</v>
      </c>
      <c r="FY29" s="339">
        <v>26</v>
      </c>
      <c r="FZ29" s="339">
        <v>5</v>
      </c>
      <c r="GA29" s="339">
        <v>2</v>
      </c>
      <c r="GB29" s="339">
        <v>4</v>
      </c>
      <c r="GC29" s="339">
        <v>15</v>
      </c>
      <c r="GD29" s="339" t="s">
        <v>1783</v>
      </c>
      <c r="GE29" s="351">
        <v>23</v>
      </c>
      <c r="GF29" s="339">
        <v>17</v>
      </c>
      <c r="GG29" s="367">
        <v>45261</v>
      </c>
      <c r="GH29" s="339">
        <v>39</v>
      </c>
      <c r="GI29" s="339" t="s">
        <v>2358</v>
      </c>
      <c r="GJ29" s="339">
        <v>5</v>
      </c>
      <c r="GM29" s="339">
        <v>9</v>
      </c>
      <c r="GN29" s="339" t="s">
        <v>2402</v>
      </c>
      <c r="GO29" s="339">
        <v>26</v>
      </c>
      <c r="GP29" s="339">
        <v>6</v>
      </c>
      <c r="GQ29" s="339">
        <v>3</v>
      </c>
      <c r="GR29" s="339">
        <v>2</v>
      </c>
      <c r="GS29" s="339">
        <v>15</v>
      </c>
      <c r="GT29" s="339" t="s">
        <v>2437</v>
      </c>
      <c r="GU29" s="351">
        <v>26</v>
      </c>
      <c r="GV29" s="339">
        <v>24</v>
      </c>
      <c r="GW29" s="366">
        <v>43785</v>
      </c>
      <c r="GX29" s="339">
        <v>34</v>
      </c>
      <c r="GY29" s="339" t="s">
        <v>1953</v>
      </c>
      <c r="GZ29" s="339">
        <v>7</v>
      </c>
      <c r="HC29" s="339">
        <v>9</v>
      </c>
      <c r="HD29" s="339" t="s">
        <v>2236</v>
      </c>
      <c r="HE29" s="339">
        <v>26</v>
      </c>
      <c r="HF29" s="339">
        <v>7</v>
      </c>
      <c r="HG29" s="339">
        <v>1</v>
      </c>
      <c r="HH29" s="339">
        <v>3</v>
      </c>
      <c r="HI29" s="339">
        <v>1</v>
      </c>
      <c r="HJ29" s="339">
        <v>14</v>
      </c>
      <c r="HK29" s="339" t="s">
        <v>2517</v>
      </c>
      <c r="HL29" s="351">
        <v>27</v>
      </c>
      <c r="HM29" s="339">
        <v>12</v>
      </c>
      <c r="HN29" s="367">
        <v>29860</v>
      </c>
      <c r="HO29" s="339">
        <v>32</v>
      </c>
      <c r="HP29" s="339" t="s">
        <v>2205</v>
      </c>
      <c r="HQ29" s="339">
        <v>1</v>
      </c>
      <c r="HT29" s="339">
        <v>9</v>
      </c>
      <c r="HU29" s="339" t="s">
        <v>1286</v>
      </c>
      <c r="HV29" s="339">
        <v>26</v>
      </c>
      <c r="HW29" s="339">
        <v>8</v>
      </c>
      <c r="HX29" s="339">
        <v>1</v>
      </c>
      <c r="HY29" s="339">
        <v>4</v>
      </c>
      <c r="HZ29" s="339">
        <v>1</v>
      </c>
      <c r="IA29" s="339">
        <v>12</v>
      </c>
      <c r="IB29" s="339" t="s">
        <v>2585</v>
      </c>
      <c r="IC29" s="351">
        <v>31</v>
      </c>
      <c r="ID29" s="339">
        <v>9</v>
      </c>
      <c r="IE29" s="367">
        <v>43344</v>
      </c>
      <c r="IF29" s="339">
        <v>23</v>
      </c>
      <c r="IG29" s="339" t="s">
        <v>2586</v>
      </c>
      <c r="IH29" s="339">
        <v>4</v>
      </c>
      <c r="IK29" s="339">
        <v>9</v>
      </c>
      <c r="IL29" s="339" t="s">
        <v>2236</v>
      </c>
      <c r="IM29" s="339">
        <v>26</v>
      </c>
      <c r="IN29" s="339">
        <v>5</v>
      </c>
      <c r="IO29" s="339">
        <v>1</v>
      </c>
      <c r="IP29" s="339">
        <v>3</v>
      </c>
      <c r="IQ29" s="339">
        <v>1</v>
      </c>
      <c r="IR29" s="339">
        <v>16</v>
      </c>
      <c r="IS29" s="339" t="s">
        <v>2659</v>
      </c>
      <c r="IT29" s="351">
        <v>21</v>
      </c>
      <c r="IU29" s="339">
        <v>15</v>
      </c>
      <c r="IV29" s="366">
        <v>43568</v>
      </c>
      <c r="IW29" s="339">
        <v>23</v>
      </c>
      <c r="IX29" s="339" t="s">
        <v>1487</v>
      </c>
      <c r="IY29" s="339">
        <v>1</v>
      </c>
      <c r="JB29" s="339">
        <v>9</v>
      </c>
      <c r="JC29" s="339" t="s">
        <v>1266</v>
      </c>
      <c r="JD29" s="339">
        <v>26</v>
      </c>
      <c r="JE29" s="339">
        <v>6</v>
      </c>
      <c r="JF29" s="339">
        <v>1</v>
      </c>
      <c r="JG29" s="339">
        <v>3</v>
      </c>
      <c r="JH29" s="339">
        <v>2</v>
      </c>
      <c r="JI29" s="339">
        <v>14</v>
      </c>
      <c r="JJ29" s="339" t="s">
        <v>2134</v>
      </c>
      <c r="JK29" s="351">
        <v>25</v>
      </c>
      <c r="JL29" s="339">
        <v>19</v>
      </c>
      <c r="JM29" s="339" t="s">
        <v>217</v>
      </c>
      <c r="JN29" s="339">
        <v>24</v>
      </c>
      <c r="JO29" s="339" t="s">
        <v>1956</v>
      </c>
      <c r="JP29" s="339">
        <v>8</v>
      </c>
      <c r="JS29" s="339">
        <v>9</v>
      </c>
      <c r="JT29" s="339" t="s">
        <v>1303</v>
      </c>
      <c r="JU29" s="339">
        <v>26</v>
      </c>
      <c r="JV29" s="339">
        <v>6</v>
      </c>
      <c r="JW29" s="339">
        <v>3</v>
      </c>
      <c r="JX29" s="339">
        <v>2</v>
      </c>
      <c r="JY29" s="339">
        <v>1</v>
      </c>
      <c r="JZ29" s="339">
        <v>14</v>
      </c>
      <c r="KA29" s="339" t="s">
        <v>2777</v>
      </c>
      <c r="KB29" s="351">
        <v>27</v>
      </c>
      <c r="KC29" s="339">
        <v>0</v>
      </c>
      <c r="KD29" s="339" t="s">
        <v>78</v>
      </c>
      <c r="KE29" s="339">
        <v>0</v>
      </c>
      <c r="KF29" s="339" t="s">
        <v>2757</v>
      </c>
      <c r="KG29" s="339">
        <v>0</v>
      </c>
      <c r="KJ29" s="339">
        <v>9</v>
      </c>
      <c r="KK29" s="339" t="s">
        <v>1293</v>
      </c>
      <c r="KL29" s="339">
        <v>26</v>
      </c>
      <c r="KM29" s="339">
        <v>4</v>
      </c>
      <c r="KN29" s="339">
        <v>2</v>
      </c>
      <c r="KO29" s="339">
        <v>5</v>
      </c>
      <c r="KP29" s="339">
        <v>2</v>
      </c>
      <c r="KQ29" s="339">
        <v>13</v>
      </c>
      <c r="KR29" s="339" t="s">
        <v>2813</v>
      </c>
      <c r="KS29" s="351">
        <v>23</v>
      </c>
      <c r="KT29" s="339">
        <v>0</v>
      </c>
      <c r="KU29" s="339" t="s">
        <v>78</v>
      </c>
      <c r="KV29" s="339">
        <v>0</v>
      </c>
      <c r="KW29" s="339" t="s">
        <v>2757</v>
      </c>
      <c r="KX29" s="339">
        <v>0</v>
      </c>
      <c r="LA29" s="339">
        <v>9</v>
      </c>
      <c r="LB29" s="339" t="s">
        <v>1303</v>
      </c>
      <c r="LC29" s="339">
        <v>26</v>
      </c>
      <c r="LD29" s="339">
        <v>5</v>
      </c>
      <c r="LE29" s="339">
        <v>0</v>
      </c>
      <c r="LF29" s="339">
        <v>5</v>
      </c>
      <c r="LG29" s="339">
        <v>0</v>
      </c>
      <c r="LH29" s="339">
        <v>16</v>
      </c>
      <c r="LI29" s="339" t="s">
        <v>2848</v>
      </c>
      <c r="LJ29" s="351">
        <v>15</v>
      </c>
      <c r="LK29" s="339">
        <v>0</v>
      </c>
      <c r="LL29" s="339" t="s">
        <v>78</v>
      </c>
      <c r="LM29" s="339">
        <v>0</v>
      </c>
      <c r="LN29" s="339" t="s">
        <v>2757</v>
      </c>
      <c r="LO29" s="339">
        <v>0</v>
      </c>
      <c r="LR29" s="339">
        <v>9</v>
      </c>
      <c r="LS29" s="339" t="s">
        <v>2883</v>
      </c>
      <c r="LT29" s="339">
        <v>26</v>
      </c>
      <c r="LU29" s="339">
        <v>8</v>
      </c>
      <c r="LV29" s="339">
        <v>0</v>
      </c>
      <c r="LW29" s="339">
        <v>3</v>
      </c>
      <c r="LX29" s="339">
        <v>0</v>
      </c>
      <c r="LY29" s="339">
        <v>15</v>
      </c>
      <c r="LZ29" s="339" t="s">
        <v>2899</v>
      </c>
      <c r="MA29" s="351">
        <v>19</v>
      </c>
      <c r="MB29" s="339">
        <v>9</v>
      </c>
      <c r="MC29" s="367">
        <v>25508</v>
      </c>
      <c r="MD29" s="339">
        <v>27</v>
      </c>
      <c r="ME29" s="339" t="s">
        <v>1667</v>
      </c>
      <c r="MF29" s="339">
        <v>5</v>
      </c>
    </row>
    <row r="30" spans="2:344" ht="69.599999999999994" thickBot="1" x14ac:dyDescent="0.35">
      <c r="B30" s="339">
        <v>10</v>
      </c>
      <c r="C30" s="339" t="s">
        <v>1293</v>
      </c>
      <c r="D30" s="339">
        <v>26</v>
      </c>
      <c r="E30" s="339">
        <v>8</v>
      </c>
      <c r="F30" s="339">
        <v>2</v>
      </c>
      <c r="G30" s="339"/>
      <c r="H30" s="339">
        <v>2</v>
      </c>
      <c r="I30" s="339">
        <v>14</v>
      </c>
      <c r="J30" s="339" t="s">
        <v>1339</v>
      </c>
      <c r="K30" s="351">
        <v>30</v>
      </c>
      <c r="L30" s="339">
        <v>15</v>
      </c>
      <c r="M30" s="339" t="s">
        <v>1340</v>
      </c>
      <c r="N30" s="339">
        <v>26</v>
      </c>
      <c r="O30" s="339" t="s">
        <v>1341</v>
      </c>
      <c r="P30" s="339">
        <v>6</v>
      </c>
      <c r="Q30" s="342"/>
      <c r="S30" s="339">
        <v>10</v>
      </c>
      <c r="T30" s="339" t="s">
        <v>1307</v>
      </c>
      <c r="U30" s="339">
        <v>26</v>
      </c>
      <c r="V30" s="339">
        <v>6</v>
      </c>
      <c r="W30" s="339">
        <v>3</v>
      </c>
      <c r="X30" s="339">
        <v>4</v>
      </c>
      <c r="Y30" s="339">
        <v>13</v>
      </c>
      <c r="Z30" s="339" t="s">
        <v>1456</v>
      </c>
      <c r="AA30" s="351">
        <v>28</v>
      </c>
      <c r="AB30" s="339">
        <v>13</v>
      </c>
      <c r="AC30" s="339" t="s">
        <v>1333</v>
      </c>
      <c r="AD30" s="339">
        <v>27</v>
      </c>
      <c r="AE30" s="339" t="s">
        <v>1457</v>
      </c>
      <c r="AF30" s="339">
        <v>3</v>
      </c>
      <c r="AI30" s="339">
        <v>10</v>
      </c>
      <c r="AJ30" s="339" t="s">
        <v>1286</v>
      </c>
      <c r="AK30" s="339">
        <v>26</v>
      </c>
      <c r="AL30" s="339">
        <v>7</v>
      </c>
      <c r="AM30" s="339">
        <v>3</v>
      </c>
      <c r="AN30" s="339">
        <v>3</v>
      </c>
      <c r="AO30" s="339">
        <v>13</v>
      </c>
      <c r="AP30" s="339" t="s">
        <v>1547</v>
      </c>
      <c r="AQ30" s="351">
        <v>30</v>
      </c>
      <c r="AR30" s="339">
        <v>11</v>
      </c>
      <c r="AS30" s="367">
        <v>28764</v>
      </c>
      <c r="AT30" s="339">
        <v>22</v>
      </c>
      <c r="AU30" s="339" t="s">
        <v>1548</v>
      </c>
      <c r="AV30" s="339">
        <v>3</v>
      </c>
      <c r="AY30" s="339">
        <v>10</v>
      </c>
      <c r="AZ30" s="339" t="s">
        <v>1303</v>
      </c>
      <c r="BA30" s="339">
        <v>26</v>
      </c>
      <c r="BB30" s="339">
        <v>6</v>
      </c>
      <c r="BC30" s="339">
        <v>3</v>
      </c>
      <c r="BD30" s="339">
        <v>1</v>
      </c>
      <c r="BE30" s="339">
        <v>16</v>
      </c>
      <c r="BF30" s="339" t="s">
        <v>1660</v>
      </c>
      <c r="BG30" s="351">
        <v>25</v>
      </c>
      <c r="BH30" s="339">
        <v>17</v>
      </c>
      <c r="BI30" s="339" t="s">
        <v>1662</v>
      </c>
      <c r="BJ30" s="339">
        <v>26</v>
      </c>
      <c r="BK30" s="339" t="s">
        <v>1663</v>
      </c>
      <c r="BL30" s="339">
        <v>2</v>
      </c>
      <c r="BO30" s="339">
        <v>10</v>
      </c>
      <c r="BP30" s="339" t="s">
        <v>1262</v>
      </c>
      <c r="BQ30" s="339">
        <v>26</v>
      </c>
      <c r="BR30" s="339">
        <v>4</v>
      </c>
      <c r="BS30" s="339">
        <v>5</v>
      </c>
      <c r="BT30" s="339">
        <v>2</v>
      </c>
      <c r="BU30" s="339">
        <v>15</v>
      </c>
      <c r="BV30" s="339" t="s">
        <v>1748</v>
      </c>
      <c r="BW30" s="351">
        <v>24</v>
      </c>
      <c r="BX30" s="339">
        <v>12</v>
      </c>
      <c r="BY30" s="367">
        <v>35278</v>
      </c>
      <c r="BZ30" s="339">
        <v>29</v>
      </c>
      <c r="CA30" s="339" t="s">
        <v>1709</v>
      </c>
      <c r="CB30" s="339">
        <v>4</v>
      </c>
      <c r="CE30" s="339">
        <v>10</v>
      </c>
      <c r="CF30" s="339" t="s">
        <v>1303</v>
      </c>
      <c r="CG30" s="339">
        <v>26</v>
      </c>
      <c r="CH30" s="339">
        <v>7</v>
      </c>
      <c r="CI30" s="339">
        <v>1</v>
      </c>
      <c r="CJ30" s="339">
        <v>3</v>
      </c>
      <c r="CK30" s="339">
        <v>15</v>
      </c>
      <c r="CL30" s="339" t="s">
        <v>1838</v>
      </c>
      <c r="CM30" s="351">
        <v>26</v>
      </c>
      <c r="CN30" s="339">
        <v>14</v>
      </c>
      <c r="CO30" s="339" t="s">
        <v>1839</v>
      </c>
      <c r="CP30" s="339">
        <v>25</v>
      </c>
      <c r="CQ30" s="339" t="s">
        <v>1840</v>
      </c>
      <c r="CR30" s="339">
        <v>3</v>
      </c>
      <c r="CU30" s="339">
        <v>10</v>
      </c>
      <c r="CV30" s="339" t="s">
        <v>1286</v>
      </c>
      <c r="CW30" s="339">
        <v>26</v>
      </c>
      <c r="CX30" s="339">
        <v>7</v>
      </c>
      <c r="CY30" s="339">
        <v>1</v>
      </c>
      <c r="CZ30" s="339">
        <v>3</v>
      </c>
      <c r="DA30" s="339">
        <v>15</v>
      </c>
      <c r="DB30" s="339" t="s">
        <v>1934</v>
      </c>
      <c r="DC30" s="351">
        <v>26</v>
      </c>
      <c r="DD30" s="339">
        <v>16</v>
      </c>
      <c r="DE30" s="339" t="s">
        <v>1935</v>
      </c>
      <c r="DF30" s="339">
        <v>20</v>
      </c>
      <c r="DG30" s="339" t="s">
        <v>1936</v>
      </c>
      <c r="DH30" s="339">
        <v>1</v>
      </c>
      <c r="DK30" s="339">
        <v>10</v>
      </c>
      <c r="DL30" s="339" t="s">
        <v>1286</v>
      </c>
      <c r="DM30" s="339">
        <v>26</v>
      </c>
      <c r="DN30" s="339">
        <v>5</v>
      </c>
      <c r="DO30" s="339">
        <v>4</v>
      </c>
      <c r="DP30" s="339">
        <v>2</v>
      </c>
      <c r="DQ30" s="339">
        <v>15</v>
      </c>
      <c r="DR30" s="339" t="s">
        <v>2027</v>
      </c>
      <c r="DS30" s="351">
        <v>25</v>
      </c>
      <c r="DT30" s="339">
        <v>17</v>
      </c>
      <c r="DU30" s="366">
        <v>43571</v>
      </c>
      <c r="DV30" s="339">
        <v>25</v>
      </c>
      <c r="DW30" s="339" t="s">
        <v>2028</v>
      </c>
      <c r="DX30" s="339">
        <v>1</v>
      </c>
      <c r="EA30" s="339">
        <v>10</v>
      </c>
      <c r="EB30" s="339" t="s">
        <v>1895</v>
      </c>
      <c r="EC30" s="339">
        <v>26</v>
      </c>
      <c r="ED30" s="339">
        <v>7</v>
      </c>
      <c r="EE30" s="339">
        <v>2</v>
      </c>
      <c r="EF30" s="339">
        <v>2</v>
      </c>
      <c r="EG30" s="339">
        <v>15</v>
      </c>
      <c r="EH30" s="339" t="s">
        <v>2107</v>
      </c>
      <c r="EI30" s="351">
        <v>27</v>
      </c>
      <c r="EJ30" s="339">
        <v>17</v>
      </c>
      <c r="EK30" s="339" t="s">
        <v>1376</v>
      </c>
      <c r="EL30" s="339">
        <v>23</v>
      </c>
      <c r="EM30" s="339" t="s">
        <v>1778</v>
      </c>
      <c r="EN30" s="339">
        <v>2</v>
      </c>
      <c r="EQ30" s="339">
        <v>10</v>
      </c>
      <c r="ER30" s="339" t="s">
        <v>1262</v>
      </c>
      <c r="ES30" s="339">
        <v>26</v>
      </c>
      <c r="ET30" s="339">
        <v>8</v>
      </c>
      <c r="EU30" s="339">
        <v>2</v>
      </c>
      <c r="EV30" s="339">
        <v>3</v>
      </c>
      <c r="EW30" s="339">
        <v>13</v>
      </c>
      <c r="EX30" s="339" t="s">
        <v>2186</v>
      </c>
      <c r="EY30" s="351">
        <v>31</v>
      </c>
      <c r="EZ30" s="339">
        <v>28</v>
      </c>
      <c r="FA30" s="339" t="s">
        <v>1606</v>
      </c>
      <c r="FB30" s="339">
        <v>27</v>
      </c>
      <c r="FC30" s="339" t="s">
        <v>2187</v>
      </c>
      <c r="FD30" s="339">
        <v>8</v>
      </c>
      <c r="FG30" s="339">
        <v>10</v>
      </c>
      <c r="FH30" s="339" t="s">
        <v>1262</v>
      </c>
      <c r="FI30" s="339">
        <v>26</v>
      </c>
      <c r="FJ30" s="339">
        <v>6</v>
      </c>
      <c r="FK30" s="339">
        <v>1</v>
      </c>
      <c r="FL30" s="339">
        <v>4</v>
      </c>
      <c r="FM30" s="339">
        <v>15</v>
      </c>
      <c r="FN30" s="339" t="s">
        <v>2273</v>
      </c>
      <c r="FO30" s="351">
        <v>24</v>
      </c>
      <c r="FP30" s="339">
        <v>13</v>
      </c>
      <c r="FQ30" s="367">
        <v>44501</v>
      </c>
      <c r="FR30" s="339">
        <v>31</v>
      </c>
      <c r="FS30" s="339" t="s">
        <v>2274</v>
      </c>
      <c r="FT30" s="339">
        <v>5</v>
      </c>
      <c r="FW30" s="339">
        <v>10</v>
      </c>
      <c r="FX30" s="339" t="s">
        <v>2249</v>
      </c>
      <c r="FY30" s="339">
        <v>26</v>
      </c>
      <c r="FZ30" s="339">
        <v>3</v>
      </c>
      <c r="GA30" s="339">
        <v>5</v>
      </c>
      <c r="GB30" s="339">
        <v>4</v>
      </c>
      <c r="GC30" s="339">
        <v>14</v>
      </c>
      <c r="GD30" s="339" t="s">
        <v>2359</v>
      </c>
      <c r="GE30" s="351">
        <v>23</v>
      </c>
      <c r="GF30" s="339">
        <v>18</v>
      </c>
      <c r="GG30" s="366">
        <v>43662</v>
      </c>
      <c r="GH30" s="339">
        <v>35</v>
      </c>
      <c r="GI30" s="339" t="s">
        <v>2144</v>
      </c>
      <c r="GJ30" s="339">
        <v>3</v>
      </c>
      <c r="GM30" s="339">
        <v>10</v>
      </c>
      <c r="GN30" s="339" t="s">
        <v>2249</v>
      </c>
      <c r="GO30" s="339">
        <v>26</v>
      </c>
      <c r="GP30" s="339">
        <v>8</v>
      </c>
      <c r="GQ30" s="339">
        <v>0</v>
      </c>
      <c r="GR30" s="339">
        <v>1</v>
      </c>
      <c r="GS30" s="339">
        <v>17</v>
      </c>
      <c r="GT30" s="339" t="s">
        <v>2438</v>
      </c>
      <c r="GU30" s="351">
        <v>25</v>
      </c>
      <c r="GV30" s="339">
        <v>8</v>
      </c>
      <c r="GW30" s="366">
        <v>43622</v>
      </c>
      <c r="GX30" s="339">
        <v>25</v>
      </c>
      <c r="GY30" s="339" t="s">
        <v>2439</v>
      </c>
      <c r="GZ30" s="339">
        <v>2</v>
      </c>
      <c r="HC30" s="339">
        <v>10</v>
      </c>
      <c r="HD30" s="339" t="s">
        <v>1266</v>
      </c>
      <c r="HE30" s="339">
        <v>26</v>
      </c>
      <c r="HF30" s="339">
        <v>7</v>
      </c>
      <c r="HG30" s="339">
        <v>1</v>
      </c>
      <c r="HH30" s="339">
        <v>2</v>
      </c>
      <c r="HI30" s="339">
        <v>1</v>
      </c>
      <c r="HJ30" s="339">
        <v>15</v>
      </c>
      <c r="HK30" s="339" t="s">
        <v>2518</v>
      </c>
      <c r="HL30" s="351">
        <v>26</v>
      </c>
      <c r="HM30" s="339">
        <v>21</v>
      </c>
      <c r="HN30" s="339" t="s">
        <v>2519</v>
      </c>
      <c r="HO30" s="339">
        <v>30</v>
      </c>
      <c r="HP30" s="339" t="s">
        <v>1739</v>
      </c>
      <c r="HQ30" s="339">
        <v>4</v>
      </c>
      <c r="HT30" s="339">
        <v>10</v>
      </c>
      <c r="HU30" s="339" t="s">
        <v>2249</v>
      </c>
      <c r="HV30" s="339">
        <v>26</v>
      </c>
      <c r="HW30" s="339">
        <v>7</v>
      </c>
      <c r="HX30" s="339">
        <v>1</v>
      </c>
      <c r="HY30" s="339">
        <v>2</v>
      </c>
      <c r="HZ30" s="339">
        <v>3</v>
      </c>
      <c r="IA30" s="339">
        <v>13</v>
      </c>
      <c r="IB30" s="339" t="s">
        <v>1344</v>
      </c>
      <c r="IC30" s="351">
        <v>28</v>
      </c>
      <c r="ID30" s="339">
        <v>15</v>
      </c>
      <c r="IE30" s="339" t="s">
        <v>215</v>
      </c>
      <c r="IF30" s="339">
        <v>21</v>
      </c>
      <c r="IG30" s="339" t="s">
        <v>2587</v>
      </c>
      <c r="IH30" s="339">
        <v>7</v>
      </c>
      <c r="IK30" s="339">
        <v>10</v>
      </c>
      <c r="IL30" s="339" t="s">
        <v>2412</v>
      </c>
      <c r="IM30" s="339">
        <v>26</v>
      </c>
      <c r="IN30" s="339">
        <v>4</v>
      </c>
      <c r="IO30" s="339">
        <v>1</v>
      </c>
      <c r="IP30" s="339">
        <v>5</v>
      </c>
      <c r="IQ30" s="339">
        <v>1</v>
      </c>
      <c r="IR30" s="339">
        <v>15</v>
      </c>
      <c r="IS30" s="339" t="s">
        <v>2660</v>
      </c>
      <c r="IT30" s="351">
        <v>20</v>
      </c>
      <c r="IU30" s="339">
        <v>9</v>
      </c>
      <c r="IV30" s="367">
        <v>43344</v>
      </c>
      <c r="IW30" s="339">
        <v>22</v>
      </c>
      <c r="IX30" s="339" t="s">
        <v>2661</v>
      </c>
      <c r="IY30" s="339">
        <v>1</v>
      </c>
      <c r="JB30" s="339">
        <v>10</v>
      </c>
      <c r="JC30" s="339" t="s">
        <v>2412</v>
      </c>
      <c r="JD30" s="339">
        <v>26</v>
      </c>
      <c r="JE30" s="339">
        <v>7</v>
      </c>
      <c r="JF30" s="339">
        <v>0</v>
      </c>
      <c r="JG30" s="339">
        <v>1</v>
      </c>
      <c r="JH30" s="339">
        <v>3</v>
      </c>
      <c r="JI30" s="339">
        <v>15</v>
      </c>
      <c r="JJ30" s="339" t="s">
        <v>2728</v>
      </c>
      <c r="JK30" s="351">
        <v>25</v>
      </c>
      <c r="JL30" s="339">
        <v>23</v>
      </c>
      <c r="JM30" s="339" t="s">
        <v>2729</v>
      </c>
      <c r="JN30" s="339">
        <v>29</v>
      </c>
      <c r="JO30" s="339" t="s">
        <v>1807</v>
      </c>
      <c r="JP30" s="339">
        <v>1</v>
      </c>
      <c r="JS30" s="339">
        <v>10</v>
      </c>
      <c r="JT30" s="339" t="s">
        <v>2715</v>
      </c>
      <c r="JU30" s="339">
        <v>26</v>
      </c>
      <c r="JV30" s="339">
        <v>6</v>
      </c>
      <c r="JW30" s="339">
        <v>1</v>
      </c>
      <c r="JX30" s="339">
        <v>0</v>
      </c>
      <c r="JY30" s="339">
        <v>2</v>
      </c>
      <c r="JZ30" s="339">
        <v>17</v>
      </c>
      <c r="KA30" s="339" t="s">
        <v>2778</v>
      </c>
      <c r="KB30" s="351">
        <v>22</v>
      </c>
      <c r="KC30" s="339">
        <v>0</v>
      </c>
      <c r="KD30" s="339" t="s">
        <v>78</v>
      </c>
      <c r="KE30" s="339">
        <v>0</v>
      </c>
      <c r="KF30" s="339" t="s">
        <v>2757</v>
      </c>
      <c r="KG30" s="339">
        <v>0</v>
      </c>
      <c r="KJ30" s="339">
        <v>10</v>
      </c>
      <c r="KK30" s="339" t="s">
        <v>2089</v>
      </c>
      <c r="KL30" s="339">
        <v>26</v>
      </c>
      <c r="KM30" s="339">
        <v>6</v>
      </c>
      <c r="KN30" s="339">
        <v>1</v>
      </c>
      <c r="KO30" s="339">
        <v>1</v>
      </c>
      <c r="KP30" s="339">
        <v>2</v>
      </c>
      <c r="KQ30" s="339">
        <v>16</v>
      </c>
      <c r="KR30" s="339" t="s">
        <v>2814</v>
      </c>
      <c r="KS30" s="351">
        <v>23</v>
      </c>
      <c r="KT30" s="339">
        <v>0</v>
      </c>
      <c r="KU30" s="339" t="s">
        <v>78</v>
      </c>
      <c r="KV30" s="339">
        <v>0</v>
      </c>
      <c r="KW30" s="339" t="s">
        <v>2757</v>
      </c>
      <c r="KX30" s="339">
        <v>0</v>
      </c>
      <c r="LA30" s="339">
        <v>10</v>
      </c>
      <c r="LB30" s="339" t="s">
        <v>1311</v>
      </c>
      <c r="LC30" s="339">
        <v>26</v>
      </c>
      <c r="LD30" s="339">
        <v>6</v>
      </c>
      <c r="LE30" s="339">
        <v>0</v>
      </c>
      <c r="LF30" s="339">
        <v>3</v>
      </c>
      <c r="LG30" s="339">
        <v>0</v>
      </c>
      <c r="LH30" s="339">
        <v>17</v>
      </c>
      <c r="LI30" s="339" t="s">
        <v>1380</v>
      </c>
      <c r="LJ30" s="351">
        <v>15</v>
      </c>
      <c r="LK30" s="339">
        <v>0</v>
      </c>
      <c r="LL30" s="339" t="s">
        <v>78</v>
      </c>
      <c r="LM30" s="339">
        <v>0</v>
      </c>
      <c r="LN30" s="339" t="s">
        <v>2757</v>
      </c>
      <c r="LO30" s="339">
        <v>0</v>
      </c>
      <c r="LR30" s="339">
        <v>10</v>
      </c>
      <c r="LS30" s="339" t="s">
        <v>1591</v>
      </c>
      <c r="LT30" s="339">
        <v>26</v>
      </c>
      <c r="LU30" s="339">
        <v>6</v>
      </c>
      <c r="LV30" s="339">
        <v>0</v>
      </c>
      <c r="LW30" s="339">
        <v>4</v>
      </c>
      <c r="LX30" s="339">
        <v>0</v>
      </c>
      <c r="LY30" s="339">
        <v>16</v>
      </c>
      <c r="LZ30" s="339" t="s">
        <v>2275</v>
      </c>
      <c r="MA30" s="351">
        <v>16</v>
      </c>
      <c r="MB30" s="339">
        <v>10</v>
      </c>
      <c r="MC30" s="367">
        <v>28065</v>
      </c>
      <c r="MD30" s="339">
        <v>24</v>
      </c>
      <c r="ME30" s="339" t="s">
        <v>1888</v>
      </c>
      <c r="MF30" s="339">
        <v>0</v>
      </c>
    </row>
    <row r="31" spans="2:344" ht="55.8" thickBot="1" x14ac:dyDescent="0.35">
      <c r="B31" s="339">
        <v>11</v>
      </c>
      <c r="C31" s="339" t="s">
        <v>1286</v>
      </c>
      <c r="D31" s="339">
        <v>26</v>
      </c>
      <c r="E31" s="339">
        <v>7</v>
      </c>
      <c r="F31" s="339">
        <v>1</v>
      </c>
      <c r="G31" s="339"/>
      <c r="H31" s="339">
        <v>0</v>
      </c>
      <c r="I31" s="339">
        <v>18</v>
      </c>
      <c r="J31" s="339" t="s">
        <v>1342</v>
      </c>
      <c r="K31" s="351">
        <v>23</v>
      </c>
      <c r="L31" s="339">
        <v>10</v>
      </c>
      <c r="M31" s="367">
        <v>29465</v>
      </c>
      <c r="N31" s="339">
        <v>19</v>
      </c>
      <c r="O31" s="339" t="s">
        <v>1343</v>
      </c>
      <c r="P31" s="339">
        <v>2</v>
      </c>
      <c r="Q31" s="342"/>
      <c r="S31" s="339">
        <v>11</v>
      </c>
      <c r="T31" s="339" t="s">
        <v>1290</v>
      </c>
      <c r="U31" s="339">
        <v>26</v>
      </c>
      <c r="V31" s="339">
        <v>7</v>
      </c>
      <c r="W31" s="339">
        <v>1</v>
      </c>
      <c r="X31" s="339">
        <v>4</v>
      </c>
      <c r="Y31" s="339">
        <v>14</v>
      </c>
      <c r="Z31" s="339" t="s">
        <v>1458</v>
      </c>
      <c r="AA31" s="351">
        <v>27</v>
      </c>
      <c r="AB31" s="339">
        <v>18</v>
      </c>
      <c r="AC31" s="339" t="s">
        <v>1459</v>
      </c>
      <c r="AD31" s="339">
        <v>27</v>
      </c>
      <c r="AE31" s="339" t="s">
        <v>1460</v>
      </c>
      <c r="AF31" s="339">
        <v>3</v>
      </c>
      <c r="AI31" s="339">
        <v>11</v>
      </c>
      <c r="AJ31" s="339" t="s">
        <v>1278</v>
      </c>
      <c r="AK31" s="339">
        <v>26</v>
      </c>
      <c r="AL31" s="339">
        <v>6</v>
      </c>
      <c r="AM31" s="339">
        <v>2</v>
      </c>
      <c r="AN31" s="339">
        <v>7</v>
      </c>
      <c r="AO31" s="339">
        <v>11</v>
      </c>
      <c r="AP31" s="339" t="s">
        <v>1549</v>
      </c>
      <c r="AQ31" s="351">
        <v>29</v>
      </c>
      <c r="AR31" s="339">
        <v>16</v>
      </c>
      <c r="AS31" s="339" t="s">
        <v>1550</v>
      </c>
      <c r="AT31" s="339">
        <v>22</v>
      </c>
      <c r="AU31" s="339" t="s">
        <v>1313</v>
      </c>
      <c r="AV31" s="339">
        <v>2</v>
      </c>
      <c r="AY31" s="339">
        <v>11</v>
      </c>
      <c r="AZ31" s="339" t="s">
        <v>1311</v>
      </c>
      <c r="BA31" s="339">
        <v>26</v>
      </c>
      <c r="BB31" s="339">
        <v>7</v>
      </c>
      <c r="BC31" s="339">
        <v>0</v>
      </c>
      <c r="BD31" s="339">
        <v>3</v>
      </c>
      <c r="BE31" s="339">
        <v>16</v>
      </c>
      <c r="BF31" s="339" t="s">
        <v>1664</v>
      </c>
      <c r="BG31" s="351">
        <v>24</v>
      </c>
      <c r="BH31" s="339">
        <v>18</v>
      </c>
      <c r="BI31" s="339" t="s">
        <v>1489</v>
      </c>
      <c r="BJ31" s="339">
        <v>19</v>
      </c>
      <c r="BK31" s="339" t="s">
        <v>1665</v>
      </c>
      <c r="BL31" s="339">
        <v>1</v>
      </c>
      <c r="BO31" s="339">
        <v>11</v>
      </c>
      <c r="BP31" s="339" t="s">
        <v>1286</v>
      </c>
      <c r="BQ31" s="339">
        <v>26</v>
      </c>
      <c r="BR31" s="339">
        <v>5</v>
      </c>
      <c r="BS31" s="339">
        <v>2</v>
      </c>
      <c r="BT31" s="339">
        <v>3</v>
      </c>
      <c r="BU31" s="339">
        <v>16</v>
      </c>
      <c r="BV31" s="339" t="s">
        <v>1749</v>
      </c>
      <c r="BW31" s="351">
        <v>22</v>
      </c>
      <c r="BX31" s="339">
        <v>21</v>
      </c>
      <c r="BY31" s="339" t="s">
        <v>1301</v>
      </c>
      <c r="BZ31" s="339">
        <v>26</v>
      </c>
      <c r="CA31" s="339" t="s">
        <v>1750</v>
      </c>
      <c r="CB31" s="339">
        <v>0</v>
      </c>
      <c r="CE31" s="339">
        <v>11</v>
      </c>
      <c r="CF31" s="339" t="s">
        <v>1591</v>
      </c>
      <c r="CG31" s="339">
        <v>26</v>
      </c>
      <c r="CH31" s="339">
        <v>6</v>
      </c>
      <c r="CI31" s="339">
        <v>1</v>
      </c>
      <c r="CJ31" s="339">
        <v>5</v>
      </c>
      <c r="CK31" s="339">
        <v>14</v>
      </c>
      <c r="CL31" s="339" t="s">
        <v>1841</v>
      </c>
      <c r="CM31" s="351">
        <v>25</v>
      </c>
      <c r="CN31" s="339">
        <v>11</v>
      </c>
      <c r="CO31" s="367">
        <v>23712</v>
      </c>
      <c r="CP31" s="339">
        <v>20</v>
      </c>
      <c r="CQ31" s="339" t="s">
        <v>1717</v>
      </c>
      <c r="CR31" s="339">
        <v>0</v>
      </c>
      <c r="CU31" s="339">
        <v>11</v>
      </c>
      <c r="CV31" s="339" t="s">
        <v>1311</v>
      </c>
      <c r="CW31" s="339">
        <v>26</v>
      </c>
      <c r="CX31" s="339">
        <v>7</v>
      </c>
      <c r="CY31" s="339">
        <v>1</v>
      </c>
      <c r="CZ31" s="339">
        <v>3</v>
      </c>
      <c r="DA31" s="339">
        <v>15</v>
      </c>
      <c r="DB31" s="339" t="s">
        <v>1655</v>
      </c>
      <c r="DC31" s="351">
        <v>26</v>
      </c>
      <c r="DD31" s="339">
        <v>14</v>
      </c>
      <c r="DE31" s="367">
        <v>17838</v>
      </c>
      <c r="DF31" s="339">
        <v>32</v>
      </c>
      <c r="DG31" s="339" t="s">
        <v>1603</v>
      </c>
      <c r="DH31" s="339">
        <v>2</v>
      </c>
      <c r="DK31" s="339">
        <v>11</v>
      </c>
      <c r="DL31" s="339" t="s">
        <v>332</v>
      </c>
      <c r="DM31" s="339">
        <v>26</v>
      </c>
      <c r="DN31" s="339">
        <v>5</v>
      </c>
      <c r="DO31" s="339">
        <v>3</v>
      </c>
      <c r="DP31" s="339">
        <v>4</v>
      </c>
      <c r="DQ31" s="339">
        <v>14</v>
      </c>
      <c r="DR31" s="339" t="s">
        <v>2029</v>
      </c>
      <c r="DS31" s="351">
        <v>25</v>
      </c>
      <c r="DT31" s="339">
        <v>14</v>
      </c>
      <c r="DU31" s="366">
        <v>43690</v>
      </c>
      <c r="DV31" s="339">
        <v>19</v>
      </c>
      <c r="DW31" s="339" t="s">
        <v>2030</v>
      </c>
      <c r="DX31" s="339">
        <v>2</v>
      </c>
      <c r="EA31" s="339">
        <v>11</v>
      </c>
      <c r="EB31" s="339" t="s">
        <v>2078</v>
      </c>
      <c r="EC31" s="339">
        <v>26</v>
      </c>
      <c r="ED31" s="339">
        <v>6</v>
      </c>
      <c r="EE31" s="339">
        <v>2</v>
      </c>
      <c r="EF31" s="339">
        <v>3</v>
      </c>
      <c r="EG31" s="339">
        <v>15</v>
      </c>
      <c r="EH31" s="339" t="s">
        <v>2108</v>
      </c>
      <c r="EI31" s="351">
        <v>25</v>
      </c>
      <c r="EJ31" s="339">
        <v>18</v>
      </c>
      <c r="EK31" s="366">
        <v>43662</v>
      </c>
      <c r="EL31" s="339">
        <v>34</v>
      </c>
      <c r="EM31" s="339" t="s">
        <v>2109</v>
      </c>
      <c r="EN31" s="339">
        <v>4</v>
      </c>
      <c r="EQ31" s="339">
        <v>11</v>
      </c>
      <c r="ER31" s="339" t="s">
        <v>1290</v>
      </c>
      <c r="ES31" s="339">
        <v>26</v>
      </c>
      <c r="ET31" s="339">
        <v>4</v>
      </c>
      <c r="EU31" s="339">
        <v>5</v>
      </c>
      <c r="EV31" s="339">
        <v>3</v>
      </c>
      <c r="EW31" s="339">
        <v>14</v>
      </c>
      <c r="EX31" s="339" t="s">
        <v>2188</v>
      </c>
      <c r="EY31" s="351">
        <v>25</v>
      </c>
      <c r="EZ31" s="339">
        <v>15</v>
      </c>
      <c r="FA31" s="366">
        <v>43568</v>
      </c>
      <c r="FB31" s="339">
        <v>28</v>
      </c>
      <c r="FC31" s="339" t="s">
        <v>2187</v>
      </c>
      <c r="FD31" s="339">
        <v>2</v>
      </c>
      <c r="FG31" s="339">
        <v>11</v>
      </c>
      <c r="FH31" s="339" t="s">
        <v>1293</v>
      </c>
      <c r="FI31" s="339">
        <v>26</v>
      </c>
      <c r="FJ31" s="339">
        <v>4</v>
      </c>
      <c r="FK31" s="339">
        <v>5</v>
      </c>
      <c r="FL31" s="339">
        <v>2</v>
      </c>
      <c r="FM31" s="339">
        <v>15</v>
      </c>
      <c r="FN31" s="339" t="s">
        <v>2275</v>
      </c>
      <c r="FO31" s="351">
        <v>24</v>
      </c>
      <c r="FP31" s="339">
        <v>13</v>
      </c>
      <c r="FQ31" s="367">
        <v>31291</v>
      </c>
      <c r="FR31" s="339">
        <v>31</v>
      </c>
      <c r="FS31" s="339" t="s">
        <v>2276</v>
      </c>
      <c r="FT31" s="339">
        <v>3</v>
      </c>
      <c r="FW31" s="339">
        <v>11</v>
      </c>
      <c r="FX31" s="339" t="s">
        <v>1286</v>
      </c>
      <c r="FY31" s="339">
        <v>26</v>
      </c>
      <c r="FZ31" s="339">
        <v>6</v>
      </c>
      <c r="GA31" s="339">
        <v>0</v>
      </c>
      <c r="GB31" s="339">
        <v>4</v>
      </c>
      <c r="GC31" s="339">
        <v>16</v>
      </c>
      <c r="GD31" s="339" t="s">
        <v>1942</v>
      </c>
      <c r="GE31" s="351">
        <v>22</v>
      </c>
      <c r="GF31" s="339">
        <v>13</v>
      </c>
      <c r="GG31" s="367">
        <v>18142</v>
      </c>
      <c r="GH31" s="339">
        <v>34</v>
      </c>
      <c r="GI31" s="339" t="s">
        <v>2360</v>
      </c>
      <c r="GJ31" s="339">
        <v>6</v>
      </c>
      <c r="GM31" s="339">
        <v>11</v>
      </c>
      <c r="GN31" s="339" t="s">
        <v>1895</v>
      </c>
      <c r="GO31" s="339">
        <v>26</v>
      </c>
      <c r="GP31" s="339">
        <v>5</v>
      </c>
      <c r="GQ31" s="339">
        <v>4</v>
      </c>
      <c r="GR31" s="339">
        <v>1</v>
      </c>
      <c r="GS31" s="339">
        <v>16</v>
      </c>
      <c r="GT31" s="339" t="s">
        <v>2440</v>
      </c>
      <c r="GU31" s="351">
        <v>24</v>
      </c>
      <c r="GV31" s="339">
        <v>22</v>
      </c>
      <c r="GW31" s="339" t="s">
        <v>215</v>
      </c>
      <c r="GX31" s="339">
        <v>36</v>
      </c>
      <c r="GY31" s="339" t="s">
        <v>2441</v>
      </c>
      <c r="GZ31" s="339">
        <v>4</v>
      </c>
      <c r="HC31" s="339">
        <v>11</v>
      </c>
      <c r="HD31" s="339" t="s">
        <v>1303</v>
      </c>
      <c r="HE31" s="339">
        <v>26</v>
      </c>
      <c r="HF31" s="339">
        <v>5</v>
      </c>
      <c r="HG31" s="339">
        <v>2</v>
      </c>
      <c r="HH31" s="339">
        <v>5</v>
      </c>
      <c r="HI31" s="339">
        <v>0</v>
      </c>
      <c r="HJ31" s="339">
        <v>14</v>
      </c>
      <c r="HK31" s="339" t="s">
        <v>2279</v>
      </c>
      <c r="HL31" s="351">
        <v>24</v>
      </c>
      <c r="HM31" s="339">
        <v>8</v>
      </c>
      <c r="HN31" s="367">
        <v>32264</v>
      </c>
      <c r="HO31" s="339">
        <v>31</v>
      </c>
      <c r="HP31" s="339" t="s">
        <v>2396</v>
      </c>
      <c r="HQ31" s="339">
        <v>3</v>
      </c>
      <c r="HT31" s="339">
        <v>11</v>
      </c>
      <c r="HU31" s="339" t="s">
        <v>1303</v>
      </c>
      <c r="HV31" s="339">
        <v>26</v>
      </c>
      <c r="HW31" s="339">
        <v>8</v>
      </c>
      <c r="HX31" s="339">
        <v>1</v>
      </c>
      <c r="HY31" s="339">
        <v>2</v>
      </c>
      <c r="HZ31" s="339">
        <v>0</v>
      </c>
      <c r="IA31" s="339">
        <v>15</v>
      </c>
      <c r="IB31" s="339" t="s">
        <v>2588</v>
      </c>
      <c r="IC31" s="351">
        <v>28</v>
      </c>
      <c r="ID31" s="339">
        <v>17</v>
      </c>
      <c r="IE31" s="366">
        <v>43571</v>
      </c>
      <c r="IF31" s="339">
        <v>21</v>
      </c>
      <c r="IG31" s="339" t="s">
        <v>1331</v>
      </c>
      <c r="IH31" s="339">
        <v>2</v>
      </c>
      <c r="IK31" s="339">
        <v>11</v>
      </c>
      <c r="IL31" s="339" t="s">
        <v>2418</v>
      </c>
      <c r="IM31" s="339">
        <v>26</v>
      </c>
      <c r="IN31" s="339">
        <v>3</v>
      </c>
      <c r="IO31" s="339">
        <v>4</v>
      </c>
      <c r="IP31" s="339">
        <v>3</v>
      </c>
      <c r="IQ31" s="339">
        <v>0</v>
      </c>
      <c r="IR31" s="339">
        <v>16</v>
      </c>
      <c r="IS31" s="339" t="s">
        <v>2662</v>
      </c>
      <c r="IT31" s="351">
        <v>20</v>
      </c>
      <c r="IU31" s="339">
        <v>20</v>
      </c>
      <c r="IV31" s="339" t="s">
        <v>2663</v>
      </c>
      <c r="IW31" s="339">
        <v>22</v>
      </c>
      <c r="IX31" s="339" t="s">
        <v>1771</v>
      </c>
      <c r="IY31" s="339">
        <v>3</v>
      </c>
      <c r="JB31" s="339">
        <v>11</v>
      </c>
      <c r="JC31" s="339" t="s">
        <v>1303</v>
      </c>
      <c r="JD31" s="339">
        <v>26</v>
      </c>
      <c r="JE31" s="339">
        <v>7</v>
      </c>
      <c r="JF31" s="339">
        <v>1</v>
      </c>
      <c r="JG31" s="339">
        <v>0</v>
      </c>
      <c r="JH31" s="339">
        <v>1</v>
      </c>
      <c r="JI31" s="339">
        <v>17</v>
      </c>
      <c r="JJ31" s="339" t="s">
        <v>2730</v>
      </c>
      <c r="JK31" s="351">
        <v>24</v>
      </c>
      <c r="JL31" s="339">
        <v>7</v>
      </c>
      <c r="JM31" s="367">
        <v>12267</v>
      </c>
      <c r="JN31" s="339">
        <v>35</v>
      </c>
      <c r="JO31" s="339" t="s">
        <v>2731</v>
      </c>
      <c r="JP31" s="339">
        <v>3</v>
      </c>
      <c r="JS31" s="339">
        <v>11</v>
      </c>
      <c r="JT31" s="339" t="s">
        <v>2490</v>
      </c>
      <c r="JU31" s="339">
        <v>26</v>
      </c>
      <c r="JV31" s="339">
        <v>4</v>
      </c>
      <c r="JW31" s="339">
        <v>1</v>
      </c>
      <c r="JX31" s="339">
        <v>3</v>
      </c>
      <c r="JY31" s="339">
        <v>3</v>
      </c>
      <c r="JZ31" s="339">
        <v>15</v>
      </c>
      <c r="KA31" s="339" t="s">
        <v>2779</v>
      </c>
      <c r="KB31" s="351">
        <v>20</v>
      </c>
      <c r="KC31" s="339">
        <v>0</v>
      </c>
      <c r="KD31" s="339" t="s">
        <v>78</v>
      </c>
      <c r="KE31" s="339">
        <v>0</v>
      </c>
      <c r="KF31" s="339" t="s">
        <v>2757</v>
      </c>
      <c r="KG31" s="339">
        <v>0</v>
      </c>
      <c r="KJ31" s="339">
        <v>11</v>
      </c>
      <c r="KK31" s="339" t="s">
        <v>2706</v>
      </c>
      <c r="KL31" s="339">
        <v>26</v>
      </c>
      <c r="KM31" s="339">
        <v>4</v>
      </c>
      <c r="KN31" s="339">
        <v>2</v>
      </c>
      <c r="KO31" s="339">
        <v>3</v>
      </c>
      <c r="KP31" s="339">
        <v>1</v>
      </c>
      <c r="KQ31" s="339">
        <v>16</v>
      </c>
      <c r="KR31" s="339" t="s">
        <v>2815</v>
      </c>
      <c r="KS31" s="351">
        <v>20</v>
      </c>
      <c r="KT31" s="339">
        <v>0</v>
      </c>
      <c r="KU31" s="339" t="s">
        <v>78</v>
      </c>
      <c r="KV31" s="339">
        <v>0</v>
      </c>
      <c r="KW31" s="339" t="s">
        <v>2757</v>
      </c>
      <c r="KX31" s="339">
        <v>0</v>
      </c>
      <c r="LA31" s="339">
        <v>11</v>
      </c>
      <c r="LB31" s="339" t="s">
        <v>1591</v>
      </c>
      <c r="LC31" s="339">
        <v>26</v>
      </c>
      <c r="LD31" s="339">
        <v>3</v>
      </c>
      <c r="LE31" s="339">
        <v>0</v>
      </c>
      <c r="LF31" s="339">
        <v>9</v>
      </c>
      <c r="LG31" s="339">
        <v>0</v>
      </c>
      <c r="LH31" s="339">
        <v>14</v>
      </c>
      <c r="LI31" s="339" t="s">
        <v>2849</v>
      </c>
      <c r="LJ31" s="351">
        <v>15</v>
      </c>
      <c r="LK31" s="339">
        <v>0</v>
      </c>
      <c r="LL31" s="339" t="s">
        <v>78</v>
      </c>
      <c r="LM31" s="339">
        <v>0</v>
      </c>
      <c r="LN31" s="339" t="s">
        <v>2757</v>
      </c>
      <c r="LO31" s="339">
        <v>0</v>
      </c>
      <c r="LR31" s="339">
        <v>11</v>
      </c>
      <c r="LS31" s="339" t="s">
        <v>1303</v>
      </c>
      <c r="LT31" s="339">
        <v>26</v>
      </c>
      <c r="LU31" s="339">
        <v>6</v>
      </c>
      <c r="LV31" s="339">
        <v>0</v>
      </c>
      <c r="LW31" s="339">
        <v>4</v>
      </c>
      <c r="LX31" s="339">
        <v>0</v>
      </c>
      <c r="LY31" s="339">
        <v>16</v>
      </c>
      <c r="LZ31" s="339" t="s">
        <v>2900</v>
      </c>
      <c r="MA31" s="351">
        <v>16</v>
      </c>
      <c r="MB31" s="339">
        <v>15</v>
      </c>
      <c r="MC31" s="339" t="s">
        <v>1442</v>
      </c>
      <c r="MD31" s="339">
        <v>28</v>
      </c>
      <c r="ME31" s="339" t="s">
        <v>1933</v>
      </c>
      <c r="MF31" s="339">
        <v>4</v>
      </c>
    </row>
    <row r="32" spans="2:344" ht="69.599999999999994" thickBot="1" x14ac:dyDescent="0.35">
      <c r="B32" s="339">
        <v>12</v>
      </c>
      <c r="C32" s="339" t="s">
        <v>1303</v>
      </c>
      <c r="D32" s="339">
        <v>26</v>
      </c>
      <c r="E32" s="339">
        <v>4</v>
      </c>
      <c r="F32" s="339">
        <v>2</v>
      </c>
      <c r="G32" s="339"/>
      <c r="H32" s="339">
        <v>4</v>
      </c>
      <c r="I32" s="339">
        <v>16</v>
      </c>
      <c r="J32" s="339" t="s">
        <v>1344</v>
      </c>
      <c r="K32" s="351">
        <v>20</v>
      </c>
      <c r="L32" s="339">
        <v>14</v>
      </c>
      <c r="M32" s="367">
        <v>47088</v>
      </c>
      <c r="N32" s="339">
        <v>22</v>
      </c>
      <c r="O32" s="339" t="s">
        <v>1345</v>
      </c>
      <c r="P32" s="339">
        <v>1</v>
      </c>
      <c r="Q32" s="342"/>
      <c r="S32" s="339">
        <v>12</v>
      </c>
      <c r="T32" s="339" t="s">
        <v>80</v>
      </c>
      <c r="U32" s="339">
        <v>26</v>
      </c>
      <c r="V32" s="339">
        <v>5</v>
      </c>
      <c r="W32" s="339">
        <v>2</v>
      </c>
      <c r="X32" s="339">
        <v>1</v>
      </c>
      <c r="Y32" s="339">
        <v>18</v>
      </c>
      <c r="Z32" s="339" t="s">
        <v>806</v>
      </c>
      <c r="AA32" s="351">
        <v>20</v>
      </c>
      <c r="AB32" s="339">
        <v>16</v>
      </c>
      <c r="AC32" s="339" t="s">
        <v>217</v>
      </c>
      <c r="AD32" s="339">
        <v>31</v>
      </c>
      <c r="AE32" s="339" t="s">
        <v>1341</v>
      </c>
      <c r="AF32" s="339">
        <v>2</v>
      </c>
      <c r="AI32" s="339">
        <v>12</v>
      </c>
      <c r="AJ32" s="339" t="s">
        <v>1293</v>
      </c>
      <c r="AK32" s="339">
        <v>26</v>
      </c>
      <c r="AL32" s="339">
        <v>7</v>
      </c>
      <c r="AM32" s="339">
        <v>1</v>
      </c>
      <c r="AN32" s="339">
        <v>3</v>
      </c>
      <c r="AO32" s="339">
        <v>15</v>
      </c>
      <c r="AP32" s="339" t="s">
        <v>1551</v>
      </c>
      <c r="AQ32" s="351">
        <v>26</v>
      </c>
      <c r="AR32" s="339">
        <v>12</v>
      </c>
      <c r="AS32" s="367">
        <v>13850</v>
      </c>
      <c r="AT32" s="339">
        <v>28</v>
      </c>
      <c r="AU32" s="339" t="s">
        <v>1552</v>
      </c>
      <c r="AV32" s="339">
        <v>4</v>
      </c>
      <c r="AY32" s="339">
        <v>12</v>
      </c>
      <c r="AZ32" s="339" t="s">
        <v>1307</v>
      </c>
      <c r="BA32" s="339">
        <v>26</v>
      </c>
      <c r="BB32" s="339">
        <v>5</v>
      </c>
      <c r="BC32" s="339">
        <v>1</v>
      </c>
      <c r="BD32" s="339">
        <v>5</v>
      </c>
      <c r="BE32" s="339">
        <v>15</v>
      </c>
      <c r="BF32" s="339" t="s">
        <v>1666</v>
      </c>
      <c r="BG32" s="351">
        <v>22</v>
      </c>
      <c r="BH32" s="339">
        <v>16</v>
      </c>
      <c r="BI32" s="339" t="s">
        <v>1288</v>
      </c>
      <c r="BJ32" s="339">
        <v>27</v>
      </c>
      <c r="BK32" s="339" t="s">
        <v>1667</v>
      </c>
      <c r="BL32" s="339">
        <v>1</v>
      </c>
      <c r="BO32" s="339">
        <v>12</v>
      </c>
      <c r="BP32" s="339" t="s">
        <v>1282</v>
      </c>
      <c r="BQ32" s="339">
        <v>26</v>
      </c>
      <c r="BR32" s="339">
        <v>5</v>
      </c>
      <c r="BS32" s="339">
        <v>2</v>
      </c>
      <c r="BT32" s="339">
        <v>1</v>
      </c>
      <c r="BU32" s="339">
        <v>18</v>
      </c>
      <c r="BV32" s="339" t="s">
        <v>1751</v>
      </c>
      <c r="BW32" s="351">
        <v>20</v>
      </c>
      <c r="BX32" s="339">
        <v>17</v>
      </c>
      <c r="BY32" s="366">
        <v>43599</v>
      </c>
      <c r="BZ32" s="339">
        <v>32</v>
      </c>
      <c r="CA32" s="339" t="s">
        <v>1310</v>
      </c>
      <c r="CB32" s="339">
        <v>1</v>
      </c>
      <c r="CE32" s="339">
        <v>12</v>
      </c>
      <c r="CF32" s="339" t="s">
        <v>332</v>
      </c>
      <c r="CG32" s="339">
        <v>26</v>
      </c>
      <c r="CH32" s="339">
        <v>5</v>
      </c>
      <c r="CI32" s="339">
        <v>2</v>
      </c>
      <c r="CJ32" s="339">
        <v>2</v>
      </c>
      <c r="CK32" s="339">
        <v>17</v>
      </c>
      <c r="CL32" s="339" t="s">
        <v>1842</v>
      </c>
      <c r="CM32" s="351">
        <v>21</v>
      </c>
      <c r="CN32" s="339">
        <v>17</v>
      </c>
      <c r="CO32" s="339" t="s">
        <v>1495</v>
      </c>
      <c r="CP32" s="339">
        <v>26</v>
      </c>
      <c r="CQ32" s="339" t="s">
        <v>1843</v>
      </c>
      <c r="CR32" s="339">
        <v>1</v>
      </c>
      <c r="CU32" s="339">
        <v>12</v>
      </c>
      <c r="CV32" s="339" t="s">
        <v>1278</v>
      </c>
      <c r="CW32" s="339">
        <v>26</v>
      </c>
      <c r="CX32" s="339">
        <v>5</v>
      </c>
      <c r="CY32" s="339">
        <v>2</v>
      </c>
      <c r="CZ32" s="339">
        <v>4</v>
      </c>
      <c r="DA32" s="339">
        <v>15</v>
      </c>
      <c r="DB32" s="339" t="s">
        <v>1937</v>
      </c>
      <c r="DC32" s="351">
        <v>23</v>
      </c>
      <c r="DD32" s="339">
        <v>17</v>
      </c>
      <c r="DE32" s="339" t="s">
        <v>1938</v>
      </c>
      <c r="DF32" s="339">
        <v>32</v>
      </c>
      <c r="DG32" s="339" t="s">
        <v>1939</v>
      </c>
      <c r="DH32" s="339">
        <v>4</v>
      </c>
      <c r="DK32" s="339">
        <v>12</v>
      </c>
      <c r="DL32" s="339" t="s">
        <v>1290</v>
      </c>
      <c r="DM32" s="339">
        <v>26</v>
      </c>
      <c r="DN32" s="339">
        <v>5</v>
      </c>
      <c r="DO32" s="339">
        <v>2</v>
      </c>
      <c r="DP32" s="339">
        <v>2</v>
      </c>
      <c r="DQ32" s="339">
        <v>17</v>
      </c>
      <c r="DR32" s="339" t="s">
        <v>2031</v>
      </c>
      <c r="DS32" s="351">
        <v>21</v>
      </c>
      <c r="DT32" s="339">
        <v>17</v>
      </c>
      <c r="DU32" s="339" t="s">
        <v>1938</v>
      </c>
      <c r="DV32" s="339">
        <v>28</v>
      </c>
      <c r="DW32" s="339" t="s">
        <v>2032</v>
      </c>
      <c r="DX32" s="339">
        <v>1</v>
      </c>
      <c r="EA32" s="339">
        <v>12</v>
      </c>
      <c r="EB32" s="339" t="s">
        <v>1297</v>
      </c>
      <c r="EC32" s="339">
        <v>26</v>
      </c>
      <c r="ED32" s="339">
        <v>4</v>
      </c>
      <c r="EE32" s="339">
        <v>1</v>
      </c>
      <c r="EF32" s="339">
        <v>1</v>
      </c>
      <c r="EG32" s="339">
        <v>20</v>
      </c>
      <c r="EH32" s="339" t="s">
        <v>2110</v>
      </c>
      <c r="EI32" s="351">
        <v>15</v>
      </c>
      <c r="EJ32" s="339">
        <v>16</v>
      </c>
      <c r="EK32" s="339" t="s">
        <v>2111</v>
      </c>
      <c r="EL32" s="339">
        <v>28</v>
      </c>
      <c r="EM32" s="339" t="s">
        <v>1552</v>
      </c>
      <c r="EN32" s="339">
        <v>2</v>
      </c>
      <c r="EQ32" s="339">
        <v>12</v>
      </c>
      <c r="ER32" s="339" t="s">
        <v>1895</v>
      </c>
      <c r="ES32" s="339">
        <v>26</v>
      </c>
      <c r="ET32" s="339">
        <v>4</v>
      </c>
      <c r="EU32" s="339">
        <v>3</v>
      </c>
      <c r="EV32" s="339">
        <v>5</v>
      </c>
      <c r="EW32" s="339">
        <v>14</v>
      </c>
      <c r="EX32" s="339" t="s">
        <v>2189</v>
      </c>
      <c r="EY32" s="351">
        <v>23</v>
      </c>
      <c r="EZ32" s="339">
        <v>14</v>
      </c>
      <c r="FA32" s="367">
        <v>18598</v>
      </c>
      <c r="FB32" s="339">
        <v>31</v>
      </c>
      <c r="FC32" s="339" t="s">
        <v>2190</v>
      </c>
      <c r="FD32" s="339">
        <v>3</v>
      </c>
      <c r="FG32" s="339">
        <v>12</v>
      </c>
      <c r="FH32" s="339" t="s">
        <v>1266</v>
      </c>
      <c r="FI32" s="339">
        <v>26</v>
      </c>
      <c r="FJ32" s="339">
        <v>3</v>
      </c>
      <c r="FK32" s="339">
        <v>5</v>
      </c>
      <c r="FL32" s="339">
        <v>4</v>
      </c>
      <c r="FM32" s="339">
        <v>14</v>
      </c>
      <c r="FN32" s="339" t="s">
        <v>2277</v>
      </c>
      <c r="FO32" s="351">
        <v>23</v>
      </c>
      <c r="FP32" s="339">
        <v>28</v>
      </c>
      <c r="FQ32" s="339" t="s">
        <v>1609</v>
      </c>
      <c r="FR32" s="339">
        <v>34</v>
      </c>
      <c r="FS32" s="339" t="s">
        <v>2278</v>
      </c>
      <c r="FT32" s="339">
        <v>0</v>
      </c>
      <c r="FW32" s="339">
        <v>12</v>
      </c>
      <c r="FX32" s="339" t="s">
        <v>1293</v>
      </c>
      <c r="FY32" s="339">
        <v>26</v>
      </c>
      <c r="FZ32" s="339">
        <v>6</v>
      </c>
      <c r="GA32" s="339">
        <v>0</v>
      </c>
      <c r="GB32" s="339">
        <v>2</v>
      </c>
      <c r="GC32" s="339">
        <v>18</v>
      </c>
      <c r="GD32" s="339" t="s">
        <v>2361</v>
      </c>
      <c r="GE32" s="351">
        <v>20</v>
      </c>
      <c r="GF32" s="339">
        <v>24</v>
      </c>
      <c r="GG32" s="339" t="s">
        <v>1369</v>
      </c>
      <c r="GH32" s="339">
        <v>36</v>
      </c>
      <c r="GI32" s="339" t="s">
        <v>1310</v>
      </c>
      <c r="GJ32" s="339">
        <v>4</v>
      </c>
      <c r="GM32" s="339">
        <v>12</v>
      </c>
      <c r="GN32" s="339" t="s">
        <v>1286</v>
      </c>
      <c r="GO32" s="339">
        <v>26</v>
      </c>
      <c r="GP32" s="339">
        <v>7</v>
      </c>
      <c r="GQ32" s="339">
        <v>0</v>
      </c>
      <c r="GR32" s="339">
        <v>3</v>
      </c>
      <c r="GS32" s="339">
        <v>16</v>
      </c>
      <c r="GT32" s="339" t="s">
        <v>2442</v>
      </c>
      <c r="GU32" s="351">
        <v>24</v>
      </c>
      <c r="GV32" s="339">
        <v>17</v>
      </c>
      <c r="GW32" s="367">
        <v>15281</v>
      </c>
      <c r="GX32" s="339">
        <v>32</v>
      </c>
      <c r="GY32" s="339" t="s">
        <v>2393</v>
      </c>
      <c r="GZ32" s="339">
        <v>5</v>
      </c>
      <c r="HC32" s="339">
        <v>12</v>
      </c>
      <c r="HD32" s="339" t="s">
        <v>2412</v>
      </c>
      <c r="HE32" s="339">
        <v>26</v>
      </c>
      <c r="HF32" s="339">
        <v>5</v>
      </c>
      <c r="HG32" s="339">
        <v>0</v>
      </c>
      <c r="HH32" s="339">
        <v>2</v>
      </c>
      <c r="HI32" s="339">
        <v>2</v>
      </c>
      <c r="HJ32" s="339">
        <v>17</v>
      </c>
      <c r="HK32" s="339" t="s">
        <v>2520</v>
      </c>
      <c r="HL32" s="351">
        <v>19</v>
      </c>
      <c r="HM32" s="339">
        <v>13</v>
      </c>
      <c r="HN32" s="367">
        <v>30256</v>
      </c>
      <c r="HO32" s="339">
        <v>22</v>
      </c>
      <c r="HP32" s="339" t="s">
        <v>2521</v>
      </c>
      <c r="HQ32" s="339">
        <v>1</v>
      </c>
      <c r="HT32" s="339">
        <v>12</v>
      </c>
      <c r="HU32" s="339" t="s">
        <v>1266</v>
      </c>
      <c r="HV32" s="339">
        <v>26</v>
      </c>
      <c r="HW32" s="339">
        <v>4</v>
      </c>
      <c r="HX32" s="339">
        <v>0</v>
      </c>
      <c r="HY32" s="339">
        <v>1</v>
      </c>
      <c r="HZ32" s="339">
        <v>4</v>
      </c>
      <c r="IA32" s="339">
        <v>17</v>
      </c>
      <c r="IB32" s="339" t="s">
        <v>2589</v>
      </c>
      <c r="IC32" s="351">
        <v>17</v>
      </c>
      <c r="ID32" s="339">
        <v>7</v>
      </c>
      <c r="IE32" s="367">
        <v>41852</v>
      </c>
      <c r="IF32" s="339">
        <v>23</v>
      </c>
      <c r="IG32" s="339" t="s">
        <v>2590</v>
      </c>
      <c r="IH32" s="339">
        <v>3</v>
      </c>
      <c r="IK32" s="339">
        <v>12</v>
      </c>
      <c r="IL32" s="339" t="s">
        <v>2402</v>
      </c>
      <c r="IM32" s="339">
        <v>26</v>
      </c>
      <c r="IN32" s="339">
        <v>3</v>
      </c>
      <c r="IO32" s="339">
        <v>3</v>
      </c>
      <c r="IP32" s="339">
        <v>3</v>
      </c>
      <c r="IQ32" s="339">
        <v>1</v>
      </c>
      <c r="IR32" s="339">
        <v>16</v>
      </c>
      <c r="IS32" s="339" t="s">
        <v>2664</v>
      </c>
      <c r="IT32" s="351">
        <v>19</v>
      </c>
      <c r="IU32" s="339">
        <v>11</v>
      </c>
      <c r="IV32" s="367">
        <v>17107</v>
      </c>
      <c r="IW32" s="339">
        <v>32</v>
      </c>
      <c r="IX32" s="339" t="s">
        <v>2665</v>
      </c>
      <c r="IY32" s="339">
        <v>5</v>
      </c>
      <c r="JB32" s="339">
        <v>12</v>
      </c>
      <c r="JC32" s="339" t="s">
        <v>2706</v>
      </c>
      <c r="JD32" s="339">
        <v>26</v>
      </c>
      <c r="JE32" s="339">
        <v>3</v>
      </c>
      <c r="JF32" s="339">
        <v>2</v>
      </c>
      <c r="JG32" s="339">
        <v>3</v>
      </c>
      <c r="JH32" s="339">
        <v>1</v>
      </c>
      <c r="JI32" s="339">
        <v>17</v>
      </c>
      <c r="JJ32" s="339" t="s">
        <v>2732</v>
      </c>
      <c r="JK32" s="351">
        <v>17</v>
      </c>
      <c r="JL32" s="339">
        <v>13</v>
      </c>
      <c r="JM32" s="366">
        <v>43507</v>
      </c>
      <c r="JN32" s="339">
        <v>28</v>
      </c>
      <c r="JO32" s="339" t="s">
        <v>2733</v>
      </c>
      <c r="JP32" s="339">
        <v>1</v>
      </c>
      <c r="JS32" s="339">
        <v>12</v>
      </c>
      <c r="JT32" s="339" t="s">
        <v>2418</v>
      </c>
      <c r="JU32" s="339">
        <v>26</v>
      </c>
      <c r="JV32" s="339">
        <v>3</v>
      </c>
      <c r="JW32" s="339">
        <v>2</v>
      </c>
      <c r="JX32" s="339">
        <v>4</v>
      </c>
      <c r="JY32" s="339">
        <v>1</v>
      </c>
      <c r="JZ32" s="339">
        <v>16</v>
      </c>
      <c r="KA32" s="339" t="s">
        <v>2780</v>
      </c>
      <c r="KB32" s="351">
        <v>18</v>
      </c>
      <c r="KC32" s="339">
        <v>0</v>
      </c>
      <c r="KD32" s="339" t="s">
        <v>78</v>
      </c>
      <c r="KE32" s="339">
        <v>0</v>
      </c>
      <c r="KF32" s="339" t="s">
        <v>2757</v>
      </c>
      <c r="KG32" s="339">
        <v>0</v>
      </c>
      <c r="KJ32" s="339">
        <v>12</v>
      </c>
      <c r="KK32" s="339" t="s">
        <v>1266</v>
      </c>
      <c r="KL32" s="339">
        <v>26</v>
      </c>
      <c r="KM32" s="339">
        <v>5</v>
      </c>
      <c r="KN32" s="339">
        <v>1</v>
      </c>
      <c r="KO32" s="339">
        <v>1</v>
      </c>
      <c r="KP32" s="339">
        <v>1</v>
      </c>
      <c r="KQ32" s="339">
        <v>18</v>
      </c>
      <c r="KR32" s="339" t="s">
        <v>2816</v>
      </c>
      <c r="KS32" s="351">
        <v>19</v>
      </c>
      <c r="KT32" s="339">
        <v>0</v>
      </c>
      <c r="KU32" s="339" t="s">
        <v>78</v>
      </c>
      <c r="KV32" s="339">
        <v>0</v>
      </c>
      <c r="KW32" s="339" t="s">
        <v>2757</v>
      </c>
      <c r="KX32" s="339">
        <v>0</v>
      </c>
      <c r="LA32" s="339">
        <v>12</v>
      </c>
      <c r="LB32" s="339" t="s">
        <v>2715</v>
      </c>
      <c r="LC32" s="339">
        <v>26</v>
      </c>
      <c r="LD32" s="339">
        <v>4</v>
      </c>
      <c r="LE32" s="339">
        <v>0</v>
      </c>
      <c r="LF32" s="339">
        <v>6</v>
      </c>
      <c r="LG32" s="339">
        <v>0</v>
      </c>
      <c r="LH32" s="339">
        <v>16</v>
      </c>
      <c r="LI32" s="339" t="s">
        <v>2850</v>
      </c>
      <c r="LJ32" s="351">
        <v>14</v>
      </c>
      <c r="LK32" s="339">
        <v>0</v>
      </c>
      <c r="LL32" s="339" t="s">
        <v>78</v>
      </c>
      <c r="LM32" s="339">
        <v>0</v>
      </c>
      <c r="LN32" s="339" t="s">
        <v>2757</v>
      </c>
      <c r="LO32" s="339">
        <v>0</v>
      </c>
      <c r="LR32" s="339">
        <v>12</v>
      </c>
      <c r="LS32" s="339" t="s">
        <v>2412</v>
      </c>
      <c r="LT32" s="339">
        <v>26</v>
      </c>
      <c r="LU32" s="339">
        <v>4</v>
      </c>
      <c r="LV32" s="339">
        <v>0</v>
      </c>
      <c r="LW32" s="339">
        <v>6</v>
      </c>
      <c r="LX32" s="339">
        <v>0</v>
      </c>
      <c r="LY32" s="339">
        <v>16</v>
      </c>
      <c r="LZ32" s="339" t="s">
        <v>2901</v>
      </c>
      <c r="MA32" s="351">
        <v>14</v>
      </c>
      <c r="MB32" s="339">
        <v>12</v>
      </c>
      <c r="MC32" s="366">
        <v>43813</v>
      </c>
      <c r="MD32" s="339">
        <v>23</v>
      </c>
      <c r="ME32" s="339" t="s">
        <v>2649</v>
      </c>
      <c r="MF32" s="339">
        <v>2</v>
      </c>
    </row>
    <row r="33" spans="2:344" ht="69.599999999999994" thickBot="1" x14ac:dyDescent="0.35">
      <c r="B33" s="339">
        <v>13</v>
      </c>
      <c r="C33" s="339" t="s">
        <v>1307</v>
      </c>
      <c r="D33" s="339">
        <v>26</v>
      </c>
      <c r="E33" s="339">
        <v>4</v>
      </c>
      <c r="F33" s="339">
        <v>2</v>
      </c>
      <c r="G33" s="339"/>
      <c r="H33" s="339">
        <v>1</v>
      </c>
      <c r="I33" s="339">
        <v>19</v>
      </c>
      <c r="J33" s="339" t="s">
        <v>1346</v>
      </c>
      <c r="K33" s="351">
        <v>17</v>
      </c>
      <c r="L33" s="339">
        <v>9</v>
      </c>
      <c r="M33" s="367">
        <v>46997</v>
      </c>
      <c r="N33" s="339">
        <v>26</v>
      </c>
      <c r="O33" s="339" t="s">
        <v>1347</v>
      </c>
      <c r="P33" s="339">
        <v>1</v>
      </c>
      <c r="Q33" s="342"/>
      <c r="S33" s="339">
        <v>13</v>
      </c>
      <c r="T33" s="339" t="s">
        <v>1262</v>
      </c>
      <c r="U33" s="339">
        <v>26</v>
      </c>
      <c r="V33" s="339">
        <v>3</v>
      </c>
      <c r="W33" s="339">
        <v>3</v>
      </c>
      <c r="X33" s="339">
        <v>3</v>
      </c>
      <c r="Y33" s="339">
        <v>17</v>
      </c>
      <c r="Z33" s="339" t="s">
        <v>1461</v>
      </c>
      <c r="AA33" s="351">
        <v>18</v>
      </c>
      <c r="AB33" s="339">
        <v>11</v>
      </c>
      <c r="AC33" s="367">
        <v>21459</v>
      </c>
      <c r="AD33" s="339">
        <v>28</v>
      </c>
      <c r="AE33" s="339" t="s">
        <v>1462</v>
      </c>
      <c r="AF33" s="339">
        <v>0</v>
      </c>
      <c r="AI33" s="339">
        <v>13</v>
      </c>
      <c r="AJ33" s="339" t="s">
        <v>1311</v>
      </c>
      <c r="AK33" s="339">
        <v>26</v>
      </c>
      <c r="AL33" s="339">
        <v>4</v>
      </c>
      <c r="AM33" s="339">
        <v>3</v>
      </c>
      <c r="AN33" s="339">
        <v>3</v>
      </c>
      <c r="AO33" s="339">
        <v>16</v>
      </c>
      <c r="AP33" s="339" t="s">
        <v>1553</v>
      </c>
      <c r="AQ33" s="351">
        <v>21</v>
      </c>
      <c r="AR33" s="339">
        <v>13</v>
      </c>
      <c r="AS33" s="339" t="s">
        <v>1554</v>
      </c>
      <c r="AT33" s="339">
        <v>22</v>
      </c>
      <c r="AU33" s="339" t="s">
        <v>1555</v>
      </c>
      <c r="AV33" s="339">
        <v>0</v>
      </c>
      <c r="AY33" s="339">
        <v>13</v>
      </c>
      <c r="AZ33" s="339" t="s">
        <v>1278</v>
      </c>
      <c r="BA33" s="339">
        <v>26</v>
      </c>
      <c r="BB33" s="339">
        <v>6</v>
      </c>
      <c r="BC33" s="339">
        <v>2</v>
      </c>
      <c r="BD33" s="339">
        <v>0</v>
      </c>
      <c r="BE33" s="339">
        <v>18</v>
      </c>
      <c r="BF33" s="339" t="s">
        <v>1668</v>
      </c>
      <c r="BG33" s="351">
        <v>22</v>
      </c>
      <c r="BH33" s="339">
        <v>12</v>
      </c>
      <c r="BI33" s="339" t="s">
        <v>215</v>
      </c>
      <c r="BJ33" s="339">
        <v>29</v>
      </c>
      <c r="BK33" s="339" t="s">
        <v>1669</v>
      </c>
      <c r="BL33" s="339">
        <v>3</v>
      </c>
      <c r="BO33" s="339">
        <v>13</v>
      </c>
      <c r="BP33" s="339" t="s">
        <v>1591</v>
      </c>
      <c r="BQ33" s="339">
        <v>26</v>
      </c>
      <c r="BR33" s="339">
        <v>5</v>
      </c>
      <c r="BS33" s="339">
        <v>1</v>
      </c>
      <c r="BT33" s="339">
        <v>0</v>
      </c>
      <c r="BU33" s="339">
        <v>20</v>
      </c>
      <c r="BV33" s="339" t="s">
        <v>1752</v>
      </c>
      <c r="BW33" s="351">
        <v>17</v>
      </c>
      <c r="BX33" s="339">
        <v>17</v>
      </c>
      <c r="BY33" s="339" t="s">
        <v>1376</v>
      </c>
      <c r="BZ33" s="339">
        <v>30</v>
      </c>
      <c r="CA33" s="339" t="s">
        <v>1753</v>
      </c>
      <c r="CB33" s="339">
        <v>2</v>
      </c>
      <c r="CE33" s="339">
        <v>13</v>
      </c>
      <c r="CF33" s="339" t="s">
        <v>80</v>
      </c>
      <c r="CG33" s="339">
        <v>26</v>
      </c>
      <c r="CH33" s="339">
        <v>3</v>
      </c>
      <c r="CI33" s="339">
        <v>3</v>
      </c>
      <c r="CJ33" s="339">
        <v>4</v>
      </c>
      <c r="CK33" s="339">
        <v>16</v>
      </c>
      <c r="CL33" s="339" t="s">
        <v>1844</v>
      </c>
      <c r="CM33" s="351">
        <v>19</v>
      </c>
      <c r="CN33" s="339">
        <v>14</v>
      </c>
      <c r="CO33" s="367">
        <v>18598</v>
      </c>
      <c r="CP33" s="339">
        <v>18</v>
      </c>
      <c r="CQ33" s="339" t="s">
        <v>1845</v>
      </c>
      <c r="CR33" s="339">
        <v>3</v>
      </c>
      <c r="CU33" s="339">
        <v>13</v>
      </c>
      <c r="CV33" s="339" t="s">
        <v>1303</v>
      </c>
      <c r="CW33" s="339">
        <v>26</v>
      </c>
      <c r="CX33" s="339">
        <v>7</v>
      </c>
      <c r="CY33" s="339">
        <v>0</v>
      </c>
      <c r="CZ33" s="339">
        <v>2</v>
      </c>
      <c r="DA33" s="339">
        <v>17</v>
      </c>
      <c r="DB33" s="339" t="s">
        <v>1940</v>
      </c>
      <c r="DC33" s="351">
        <v>23</v>
      </c>
      <c r="DD33" s="339">
        <v>14</v>
      </c>
      <c r="DE33" s="339" t="s">
        <v>1727</v>
      </c>
      <c r="DF33" s="339">
        <v>26</v>
      </c>
      <c r="DG33" s="339" t="s">
        <v>1941</v>
      </c>
      <c r="DH33" s="339">
        <v>0</v>
      </c>
      <c r="DK33" s="339">
        <v>13</v>
      </c>
      <c r="DL33" s="339" t="s">
        <v>80</v>
      </c>
      <c r="DM33" s="339">
        <v>26</v>
      </c>
      <c r="DN33" s="339">
        <v>5</v>
      </c>
      <c r="DO33" s="339">
        <v>2</v>
      </c>
      <c r="DP33" s="339">
        <v>1</v>
      </c>
      <c r="DQ33" s="339">
        <v>18</v>
      </c>
      <c r="DR33" s="339" t="s">
        <v>2033</v>
      </c>
      <c r="DS33" s="351">
        <v>20</v>
      </c>
      <c r="DT33" s="339">
        <v>20</v>
      </c>
      <c r="DU33" s="339" t="s">
        <v>2034</v>
      </c>
      <c r="DV33" s="339">
        <v>31</v>
      </c>
      <c r="DW33" s="339" t="s">
        <v>2035</v>
      </c>
      <c r="DX33" s="339">
        <v>2</v>
      </c>
      <c r="EA33" s="339">
        <v>13</v>
      </c>
      <c r="EB33" s="339" t="s">
        <v>1290</v>
      </c>
      <c r="EC33" s="339">
        <v>26</v>
      </c>
      <c r="ED33" s="339">
        <v>6</v>
      </c>
      <c r="EE33" s="339">
        <v>2</v>
      </c>
      <c r="EF33" s="339">
        <v>1</v>
      </c>
      <c r="EG33" s="339">
        <v>17</v>
      </c>
      <c r="EH33" s="339" t="s">
        <v>2112</v>
      </c>
      <c r="EI33" s="351">
        <v>14</v>
      </c>
      <c r="EJ33" s="339">
        <v>11</v>
      </c>
      <c r="EK33" s="367">
        <v>25112</v>
      </c>
      <c r="EL33" s="339">
        <v>18</v>
      </c>
      <c r="EM33" s="339" t="s">
        <v>2113</v>
      </c>
      <c r="EN33" s="339">
        <v>1</v>
      </c>
      <c r="EQ33" s="339">
        <v>13</v>
      </c>
      <c r="ER33" s="339" t="s">
        <v>1278</v>
      </c>
      <c r="ES33" s="339">
        <v>26</v>
      </c>
      <c r="ET33" s="339">
        <v>3</v>
      </c>
      <c r="EU33" s="339">
        <v>3</v>
      </c>
      <c r="EV33" s="339">
        <v>4</v>
      </c>
      <c r="EW33" s="339">
        <v>16</v>
      </c>
      <c r="EX33" s="339" t="s">
        <v>2191</v>
      </c>
      <c r="EY33" s="351">
        <v>19</v>
      </c>
      <c r="EZ33" s="339">
        <v>18</v>
      </c>
      <c r="FA33" s="339" t="s">
        <v>2046</v>
      </c>
      <c r="FB33" s="339">
        <v>24</v>
      </c>
      <c r="FC33" s="339" t="s">
        <v>1464</v>
      </c>
      <c r="FD33" s="339">
        <v>5</v>
      </c>
      <c r="FG33" s="339">
        <v>13</v>
      </c>
      <c r="FH33" s="339" t="s">
        <v>2249</v>
      </c>
      <c r="FI33" s="339">
        <v>26</v>
      </c>
      <c r="FJ33" s="339">
        <v>5</v>
      </c>
      <c r="FK33" s="339">
        <v>2</v>
      </c>
      <c r="FL33" s="339">
        <v>3</v>
      </c>
      <c r="FM33" s="339">
        <v>16</v>
      </c>
      <c r="FN33" s="339" t="s">
        <v>2279</v>
      </c>
      <c r="FO33" s="351">
        <v>22</v>
      </c>
      <c r="FP33" s="339">
        <v>12</v>
      </c>
      <c r="FQ33" s="367">
        <v>33512</v>
      </c>
      <c r="FR33" s="339">
        <v>33</v>
      </c>
      <c r="FS33" s="339" t="s">
        <v>2280</v>
      </c>
      <c r="FT33" s="339">
        <v>3</v>
      </c>
      <c r="FW33" s="339">
        <v>13</v>
      </c>
      <c r="FX33" s="339" t="s">
        <v>2224</v>
      </c>
      <c r="FY33" s="339">
        <v>26</v>
      </c>
      <c r="FZ33" s="339">
        <v>3</v>
      </c>
      <c r="GA33" s="339">
        <v>3</v>
      </c>
      <c r="GB33" s="339">
        <v>3</v>
      </c>
      <c r="GC33" s="339">
        <v>17</v>
      </c>
      <c r="GD33" s="339" t="s">
        <v>2033</v>
      </c>
      <c r="GE33" s="351">
        <v>18</v>
      </c>
      <c r="GF33" s="339">
        <v>20</v>
      </c>
      <c r="GG33" s="339" t="s">
        <v>1562</v>
      </c>
      <c r="GH33" s="339">
        <v>37</v>
      </c>
      <c r="GI33" s="339" t="s">
        <v>2362</v>
      </c>
      <c r="GJ33" s="339">
        <v>3</v>
      </c>
      <c r="GM33" s="339">
        <v>13</v>
      </c>
      <c r="GN33" s="339" t="s">
        <v>2236</v>
      </c>
      <c r="GO33" s="339">
        <v>26</v>
      </c>
      <c r="GP33" s="339">
        <v>7</v>
      </c>
      <c r="GQ33" s="339">
        <v>1</v>
      </c>
      <c r="GR33" s="339">
        <v>0</v>
      </c>
      <c r="GS33" s="339">
        <v>18</v>
      </c>
      <c r="GT33" s="339" t="s">
        <v>2443</v>
      </c>
      <c r="GU33" s="351">
        <v>23</v>
      </c>
      <c r="GV33" s="339">
        <v>28</v>
      </c>
      <c r="GW33" s="339" t="s">
        <v>2444</v>
      </c>
      <c r="GX33" s="339">
        <v>43</v>
      </c>
      <c r="GY33" s="339" t="s">
        <v>1815</v>
      </c>
      <c r="GZ33" s="339">
        <v>4</v>
      </c>
      <c r="HC33" s="339">
        <v>13</v>
      </c>
      <c r="HD33" s="339" t="s">
        <v>2402</v>
      </c>
      <c r="HE33" s="339">
        <v>26</v>
      </c>
      <c r="HF33" s="339">
        <v>4</v>
      </c>
      <c r="HG33" s="339">
        <v>1</v>
      </c>
      <c r="HH33" s="339">
        <v>1</v>
      </c>
      <c r="HI33" s="339">
        <v>1</v>
      </c>
      <c r="HJ33" s="339">
        <v>19</v>
      </c>
      <c r="HK33" s="339" t="s">
        <v>2522</v>
      </c>
      <c r="HL33" s="351">
        <v>16</v>
      </c>
      <c r="HM33" s="339">
        <v>15</v>
      </c>
      <c r="HN33" s="367">
        <v>25082</v>
      </c>
      <c r="HO33" s="339">
        <v>39</v>
      </c>
      <c r="HP33" s="339" t="s">
        <v>2523</v>
      </c>
      <c r="HQ33" s="339">
        <v>3</v>
      </c>
      <c r="HT33" s="339">
        <v>13</v>
      </c>
      <c r="HU33" s="339" t="s">
        <v>2418</v>
      </c>
      <c r="HV33" s="339">
        <v>26</v>
      </c>
      <c r="HW33" s="339">
        <v>3</v>
      </c>
      <c r="HX33" s="339">
        <v>2</v>
      </c>
      <c r="HY33" s="339">
        <v>3</v>
      </c>
      <c r="HZ33" s="339">
        <v>1</v>
      </c>
      <c r="IA33" s="339">
        <v>17</v>
      </c>
      <c r="IB33" s="339" t="s">
        <v>2591</v>
      </c>
      <c r="IC33" s="351">
        <v>17</v>
      </c>
      <c r="ID33" s="339">
        <v>14</v>
      </c>
      <c r="IE33" s="367">
        <v>18598</v>
      </c>
      <c r="IF33" s="339">
        <v>24</v>
      </c>
      <c r="IG33" s="339" t="s">
        <v>2592</v>
      </c>
      <c r="IH33" s="339">
        <v>4</v>
      </c>
      <c r="IK33" s="339">
        <v>13</v>
      </c>
      <c r="IL33" s="339" t="s">
        <v>1303</v>
      </c>
      <c r="IM33" s="339">
        <v>26</v>
      </c>
      <c r="IN33" s="339">
        <v>4</v>
      </c>
      <c r="IO33" s="339">
        <v>1</v>
      </c>
      <c r="IP33" s="339">
        <v>4</v>
      </c>
      <c r="IQ33" s="339">
        <v>1</v>
      </c>
      <c r="IR33" s="339">
        <v>16</v>
      </c>
      <c r="IS33" s="339" t="s">
        <v>2666</v>
      </c>
      <c r="IT33" s="351">
        <v>19</v>
      </c>
      <c r="IU33" s="339">
        <v>10</v>
      </c>
      <c r="IV33" s="367">
        <v>11597</v>
      </c>
      <c r="IW33" s="339">
        <v>28</v>
      </c>
      <c r="IX33" s="339" t="s">
        <v>2667</v>
      </c>
      <c r="IY33" s="339">
        <v>1</v>
      </c>
      <c r="JB33" s="339">
        <v>13</v>
      </c>
      <c r="JC33" s="339" t="s">
        <v>1293</v>
      </c>
      <c r="JD33" s="339">
        <v>26</v>
      </c>
      <c r="JE33" s="339">
        <v>3</v>
      </c>
      <c r="JF33" s="339">
        <v>1</v>
      </c>
      <c r="JG33" s="339">
        <v>2</v>
      </c>
      <c r="JH33" s="339">
        <v>1</v>
      </c>
      <c r="JI33" s="339">
        <v>19</v>
      </c>
      <c r="JJ33" s="339" t="s">
        <v>2734</v>
      </c>
      <c r="JK33" s="351">
        <v>14</v>
      </c>
      <c r="JL33" s="339">
        <v>15</v>
      </c>
      <c r="JM33" s="339" t="s">
        <v>1602</v>
      </c>
      <c r="JN33" s="339">
        <v>23</v>
      </c>
      <c r="JO33" s="339" t="s">
        <v>1755</v>
      </c>
      <c r="JP33" s="339">
        <v>4</v>
      </c>
      <c r="JS33" s="339">
        <v>13</v>
      </c>
      <c r="JT33" s="339" t="s">
        <v>2089</v>
      </c>
      <c r="JU33" s="339">
        <v>26</v>
      </c>
      <c r="JV33" s="339">
        <v>2</v>
      </c>
      <c r="JW33" s="339">
        <v>1</v>
      </c>
      <c r="JX33" s="339">
        <v>4</v>
      </c>
      <c r="JY33" s="339">
        <v>1</v>
      </c>
      <c r="JZ33" s="339">
        <v>18</v>
      </c>
      <c r="KA33" s="339" t="s">
        <v>2781</v>
      </c>
      <c r="KB33" s="351">
        <v>13</v>
      </c>
      <c r="KC33" s="339">
        <v>0</v>
      </c>
      <c r="KD33" s="339" t="s">
        <v>78</v>
      </c>
      <c r="KE33" s="339">
        <v>0</v>
      </c>
      <c r="KF33" s="339" t="s">
        <v>2757</v>
      </c>
      <c r="KG33" s="339">
        <v>0</v>
      </c>
      <c r="KJ33" s="339">
        <v>13</v>
      </c>
      <c r="KK33" s="339" t="s">
        <v>2715</v>
      </c>
      <c r="KL33" s="339">
        <v>26</v>
      </c>
      <c r="KM33" s="339">
        <v>3</v>
      </c>
      <c r="KN33" s="339">
        <v>2</v>
      </c>
      <c r="KO33" s="339">
        <v>2</v>
      </c>
      <c r="KP33" s="339">
        <v>1</v>
      </c>
      <c r="KQ33" s="339">
        <v>18</v>
      </c>
      <c r="KR33" s="339" t="s">
        <v>2817</v>
      </c>
      <c r="KS33" s="351">
        <v>16</v>
      </c>
      <c r="KT33" s="339">
        <v>0</v>
      </c>
      <c r="KU33" s="339" t="s">
        <v>78</v>
      </c>
      <c r="KV33" s="339">
        <v>0</v>
      </c>
      <c r="KW33" s="339" t="s">
        <v>2757</v>
      </c>
      <c r="KX33" s="339">
        <v>0</v>
      </c>
      <c r="LA33" s="339">
        <v>13</v>
      </c>
      <c r="LB33" s="339" t="s">
        <v>1286</v>
      </c>
      <c r="LC33" s="339">
        <v>26</v>
      </c>
      <c r="LD33" s="339">
        <v>4</v>
      </c>
      <c r="LE33" s="339">
        <v>0</v>
      </c>
      <c r="LF33" s="339">
        <v>5</v>
      </c>
      <c r="LG33" s="339">
        <v>0</v>
      </c>
      <c r="LH33" s="339">
        <v>17</v>
      </c>
      <c r="LI33" s="339" t="s">
        <v>2851</v>
      </c>
      <c r="LJ33" s="351">
        <v>13</v>
      </c>
      <c r="LK33" s="339">
        <v>0</v>
      </c>
      <c r="LL33" s="339" t="s">
        <v>78</v>
      </c>
      <c r="LM33" s="339">
        <v>0</v>
      </c>
      <c r="LN33" s="339" t="s">
        <v>2757</v>
      </c>
      <c r="LO33" s="339">
        <v>0</v>
      </c>
      <c r="LR33" s="339">
        <v>13</v>
      </c>
      <c r="LS33" s="339" t="s">
        <v>2089</v>
      </c>
      <c r="LT33" s="339">
        <v>26</v>
      </c>
      <c r="LU33" s="339">
        <v>4</v>
      </c>
      <c r="LV33" s="339">
        <v>0</v>
      </c>
      <c r="LW33" s="339">
        <v>4</v>
      </c>
      <c r="LX33" s="339">
        <v>0</v>
      </c>
      <c r="LY33" s="339">
        <v>18</v>
      </c>
      <c r="LZ33" s="339" t="s">
        <v>2902</v>
      </c>
      <c r="MA33" s="351">
        <v>12</v>
      </c>
      <c r="MB33" s="339">
        <v>9</v>
      </c>
      <c r="MC33" s="367">
        <v>46997</v>
      </c>
      <c r="MD33" s="339">
        <v>21</v>
      </c>
      <c r="ME33" s="339" t="s">
        <v>2587</v>
      </c>
      <c r="MF33" s="339">
        <v>3</v>
      </c>
    </row>
    <row r="34" spans="2:344" ht="69.599999999999994" thickBot="1" x14ac:dyDescent="0.35">
      <c r="B34" s="339">
        <v>14</v>
      </c>
      <c r="C34" s="339" t="s">
        <v>1311</v>
      </c>
      <c r="D34" s="339">
        <v>26</v>
      </c>
      <c r="E34" s="339">
        <v>4</v>
      </c>
      <c r="F34" s="339">
        <v>1</v>
      </c>
      <c r="G34" s="339"/>
      <c r="H34" s="339">
        <v>1</v>
      </c>
      <c r="I34" s="339">
        <v>20</v>
      </c>
      <c r="J34" s="339" t="s">
        <v>1348</v>
      </c>
      <c r="K34" s="351">
        <v>15</v>
      </c>
      <c r="L34" s="339">
        <v>5</v>
      </c>
      <c r="M34" s="367">
        <v>34790</v>
      </c>
      <c r="N34" s="339">
        <v>21</v>
      </c>
      <c r="O34" s="339" t="s">
        <v>1349</v>
      </c>
      <c r="P34" s="339">
        <v>2</v>
      </c>
      <c r="Q34" s="342"/>
      <c r="S34" s="339">
        <v>14</v>
      </c>
      <c r="T34" s="339" t="s">
        <v>1386</v>
      </c>
      <c r="U34" s="339">
        <v>26</v>
      </c>
      <c r="V34" s="339">
        <v>3</v>
      </c>
      <c r="W34" s="339">
        <v>2</v>
      </c>
      <c r="X34" s="339">
        <v>5</v>
      </c>
      <c r="Y34" s="339">
        <v>16</v>
      </c>
      <c r="Z34" s="339" t="s">
        <v>1463</v>
      </c>
      <c r="AA34" s="351">
        <v>18</v>
      </c>
      <c r="AB34" s="339">
        <v>13</v>
      </c>
      <c r="AC34" s="367">
        <v>42339</v>
      </c>
      <c r="AD34" s="339">
        <v>16</v>
      </c>
      <c r="AE34" s="339" t="s">
        <v>1464</v>
      </c>
      <c r="AF34" s="339">
        <v>0</v>
      </c>
      <c r="AI34" s="339">
        <v>14</v>
      </c>
      <c r="AJ34" s="339" t="s">
        <v>1303</v>
      </c>
      <c r="AK34" s="339">
        <v>26</v>
      </c>
      <c r="AL34" s="339">
        <v>2</v>
      </c>
      <c r="AM34" s="339">
        <v>0</v>
      </c>
      <c r="AN34" s="339">
        <v>7</v>
      </c>
      <c r="AO34" s="339">
        <v>17</v>
      </c>
      <c r="AP34" s="339" t="s">
        <v>1556</v>
      </c>
      <c r="AQ34" s="351">
        <v>13</v>
      </c>
      <c r="AR34" s="339">
        <v>7</v>
      </c>
      <c r="AS34" s="367">
        <v>26816</v>
      </c>
      <c r="AT34" s="339">
        <v>23</v>
      </c>
      <c r="AU34" s="339" t="s">
        <v>1557</v>
      </c>
      <c r="AV34" s="339">
        <v>0</v>
      </c>
      <c r="AY34" s="339">
        <v>14</v>
      </c>
      <c r="AZ34" s="339" t="s">
        <v>80</v>
      </c>
      <c r="BA34" s="339">
        <v>26</v>
      </c>
      <c r="BB34" s="339">
        <v>3</v>
      </c>
      <c r="BC34" s="339">
        <v>3</v>
      </c>
      <c r="BD34" s="339">
        <v>3</v>
      </c>
      <c r="BE34" s="339">
        <v>17</v>
      </c>
      <c r="BF34" s="339" t="s">
        <v>1664</v>
      </c>
      <c r="BG34" s="351">
        <v>18</v>
      </c>
      <c r="BH34" s="339">
        <v>12</v>
      </c>
      <c r="BI34" s="367">
        <v>28065</v>
      </c>
      <c r="BJ34" s="339">
        <v>20</v>
      </c>
      <c r="BK34" s="339" t="s">
        <v>1670</v>
      </c>
      <c r="BL34" s="339">
        <v>1</v>
      </c>
      <c r="BO34" s="339">
        <v>14</v>
      </c>
      <c r="BP34" s="339" t="s">
        <v>1303</v>
      </c>
      <c r="BQ34" s="339">
        <v>26</v>
      </c>
      <c r="BR34" s="339">
        <v>2</v>
      </c>
      <c r="BS34" s="339">
        <v>1</v>
      </c>
      <c r="BT34" s="339">
        <v>7</v>
      </c>
      <c r="BU34" s="339">
        <v>16</v>
      </c>
      <c r="BV34" s="339" t="s">
        <v>1754</v>
      </c>
      <c r="BW34" s="351">
        <v>15</v>
      </c>
      <c r="BX34" s="339">
        <v>8</v>
      </c>
      <c r="BY34" s="367">
        <v>33025</v>
      </c>
      <c r="BZ34" s="339">
        <v>29</v>
      </c>
      <c r="CA34" s="339" t="s">
        <v>1755</v>
      </c>
      <c r="CB34" s="339">
        <v>0</v>
      </c>
      <c r="CE34" s="339">
        <v>14</v>
      </c>
      <c r="CF34" s="339" t="s">
        <v>1307</v>
      </c>
      <c r="CG34" s="339">
        <v>26</v>
      </c>
      <c r="CH34" s="339">
        <v>3</v>
      </c>
      <c r="CI34" s="339">
        <v>0</v>
      </c>
      <c r="CJ34" s="339">
        <v>3</v>
      </c>
      <c r="CK34" s="339">
        <v>20</v>
      </c>
      <c r="CL34" s="339" t="s">
        <v>1846</v>
      </c>
      <c r="CM34" s="351">
        <v>12</v>
      </c>
      <c r="CN34" s="339">
        <v>17</v>
      </c>
      <c r="CO34" s="339" t="s">
        <v>1847</v>
      </c>
      <c r="CP34" s="339">
        <v>29</v>
      </c>
      <c r="CQ34" s="339" t="s">
        <v>1848</v>
      </c>
      <c r="CR34" s="339">
        <v>1</v>
      </c>
      <c r="CU34" s="339">
        <v>14</v>
      </c>
      <c r="CV34" s="339" t="s">
        <v>1307</v>
      </c>
      <c r="CW34" s="339">
        <v>26</v>
      </c>
      <c r="CX34" s="339">
        <v>1</v>
      </c>
      <c r="CY34" s="339">
        <v>6</v>
      </c>
      <c r="CZ34" s="339">
        <v>3</v>
      </c>
      <c r="DA34" s="339">
        <v>16</v>
      </c>
      <c r="DB34" s="339" t="s">
        <v>1942</v>
      </c>
      <c r="DC34" s="351">
        <v>18</v>
      </c>
      <c r="DD34" s="339">
        <v>11</v>
      </c>
      <c r="DE34" s="367">
        <v>28764</v>
      </c>
      <c r="DF34" s="339">
        <v>33</v>
      </c>
      <c r="DG34" s="339" t="s">
        <v>1943</v>
      </c>
      <c r="DH34" s="339">
        <v>0</v>
      </c>
      <c r="DK34" s="339">
        <v>14</v>
      </c>
      <c r="DL34" s="339" t="s">
        <v>1303</v>
      </c>
      <c r="DM34" s="339">
        <v>26</v>
      </c>
      <c r="DN34" s="339">
        <v>4</v>
      </c>
      <c r="DO34" s="339">
        <v>2</v>
      </c>
      <c r="DP34" s="339">
        <v>4</v>
      </c>
      <c r="DQ34" s="339">
        <v>16</v>
      </c>
      <c r="DR34" s="339" t="s">
        <v>1344</v>
      </c>
      <c r="DS34" s="351">
        <v>20</v>
      </c>
      <c r="DT34" s="339">
        <v>17</v>
      </c>
      <c r="DU34" s="339" t="s">
        <v>2036</v>
      </c>
      <c r="DV34" s="339">
        <v>24</v>
      </c>
      <c r="DW34" s="339" t="s">
        <v>1717</v>
      </c>
      <c r="DX34" s="339">
        <v>2</v>
      </c>
      <c r="EA34" s="339">
        <v>14</v>
      </c>
      <c r="EB34" s="339" t="s">
        <v>2089</v>
      </c>
      <c r="EC34" s="339">
        <v>26</v>
      </c>
      <c r="ED34" s="339">
        <v>3</v>
      </c>
      <c r="EE34" s="339">
        <v>1</v>
      </c>
      <c r="EF34" s="339">
        <v>2</v>
      </c>
      <c r="EG34" s="339">
        <v>20</v>
      </c>
      <c r="EH34" s="339" t="s">
        <v>2114</v>
      </c>
      <c r="EI34" s="351">
        <v>10</v>
      </c>
      <c r="EJ34" s="339">
        <v>12</v>
      </c>
      <c r="EK34" s="367">
        <v>33848</v>
      </c>
      <c r="EL34" s="339">
        <v>29</v>
      </c>
      <c r="EM34" s="339" t="s">
        <v>2115</v>
      </c>
      <c r="EN34" s="339">
        <v>1</v>
      </c>
      <c r="EQ34" s="339">
        <v>14</v>
      </c>
      <c r="ER34" s="339" t="s">
        <v>2169</v>
      </c>
      <c r="ES34" s="339">
        <v>26</v>
      </c>
      <c r="ET34" s="339">
        <v>3</v>
      </c>
      <c r="EU34" s="339">
        <v>1</v>
      </c>
      <c r="EV34" s="339">
        <v>4</v>
      </c>
      <c r="EW34" s="339">
        <v>18</v>
      </c>
      <c r="EX34" s="339" t="s">
        <v>2192</v>
      </c>
      <c r="EY34" s="351">
        <v>15</v>
      </c>
      <c r="EZ34" s="339">
        <v>14</v>
      </c>
      <c r="FA34" s="367">
        <v>17838</v>
      </c>
      <c r="FB34" s="339">
        <v>24</v>
      </c>
      <c r="FC34" s="339" t="s">
        <v>2193</v>
      </c>
      <c r="FD34" s="339">
        <v>1</v>
      </c>
      <c r="FG34" s="339">
        <v>14</v>
      </c>
      <c r="FH34" s="339" t="s">
        <v>2169</v>
      </c>
      <c r="FI34" s="339">
        <v>26</v>
      </c>
      <c r="FJ34" s="339">
        <v>3</v>
      </c>
      <c r="FK34" s="339">
        <v>1</v>
      </c>
      <c r="FL34" s="339">
        <v>6</v>
      </c>
      <c r="FM34" s="339">
        <v>16</v>
      </c>
      <c r="FN34" s="339" t="s">
        <v>2281</v>
      </c>
      <c r="FO34" s="351">
        <v>17</v>
      </c>
      <c r="FP34" s="339">
        <v>14</v>
      </c>
      <c r="FQ34" s="367">
        <v>28065</v>
      </c>
      <c r="FR34" s="339">
        <v>27</v>
      </c>
      <c r="FS34" s="339" t="s">
        <v>1894</v>
      </c>
      <c r="FT34" s="339">
        <v>1</v>
      </c>
      <c r="FW34" s="339">
        <v>14</v>
      </c>
      <c r="FX34" s="339" t="s">
        <v>2339</v>
      </c>
      <c r="FY34" s="339">
        <v>26</v>
      </c>
      <c r="FZ34" s="339">
        <v>2</v>
      </c>
      <c r="GA34" s="339">
        <v>2</v>
      </c>
      <c r="GB34" s="339">
        <v>4</v>
      </c>
      <c r="GC34" s="339">
        <v>18</v>
      </c>
      <c r="GD34" s="339" t="s">
        <v>2363</v>
      </c>
      <c r="GE34" s="351">
        <v>14</v>
      </c>
      <c r="GF34" s="339">
        <v>24</v>
      </c>
      <c r="GG34" s="339" t="s">
        <v>2364</v>
      </c>
      <c r="GH34" s="339">
        <v>57</v>
      </c>
      <c r="GI34" s="339" t="s">
        <v>2365</v>
      </c>
      <c r="GJ34" s="339">
        <v>8</v>
      </c>
      <c r="GM34" s="339">
        <v>14</v>
      </c>
      <c r="GN34" s="339" t="s">
        <v>2418</v>
      </c>
      <c r="GO34" s="339">
        <v>26</v>
      </c>
      <c r="GP34" s="339">
        <v>3</v>
      </c>
      <c r="GQ34" s="339">
        <v>0</v>
      </c>
      <c r="GR34" s="339">
        <v>2</v>
      </c>
      <c r="GS34" s="339">
        <v>21</v>
      </c>
      <c r="GT34" s="339" t="s">
        <v>2445</v>
      </c>
      <c r="GU34" s="351">
        <v>11</v>
      </c>
      <c r="GV34" s="339">
        <v>16</v>
      </c>
      <c r="GW34" s="367">
        <v>34578</v>
      </c>
      <c r="GX34" s="339">
        <v>31</v>
      </c>
      <c r="GY34" s="339" t="s">
        <v>1986</v>
      </c>
      <c r="GZ34" s="339">
        <v>2</v>
      </c>
      <c r="HC34" s="339">
        <v>14</v>
      </c>
      <c r="HD34" s="339" t="s">
        <v>2418</v>
      </c>
      <c r="HE34" s="339">
        <v>26</v>
      </c>
      <c r="HF34" s="339">
        <v>1</v>
      </c>
      <c r="HG34" s="339">
        <v>1</v>
      </c>
      <c r="HH34" s="339">
        <v>4</v>
      </c>
      <c r="HI34" s="339">
        <v>1</v>
      </c>
      <c r="HJ34" s="339">
        <v>19</v>
      </c>
      <c r="HK34" s="339" t="s">
        <v>2524</v>
      </c>
      <c r="HL34" s="351">
        <v>10</v>
      </c>
      <c r="HM34" s="339">
        <v>7</v>
      </c>
      <c r="HN34" s="367">
        <v>14001</v>
      </c>
      <c r="HO34" s="339">
        <v>25</v>
      </c>
      <c r="HP34" s="339" t="s">
        <v>1721</v>
      </c>
      <c r="HQ34" s="339">
        <v>0</v>
      </c>
      <c r="HT34" s="339">
        <v>14</v>
      </c>
      <c r="HU34" s="339" t="s">
        <v>1386</v>
      </c>
      <c r="HV34" s="339">
        <v>26</v>
      </c>
      <c r="HW34" s="339">
        <v>1</v>
      </c>
      <c r="HX34" s="339">
        <v>0</v>
      </c>
      <c r="HY34" s="339">
        <v>1</v>
      </c>
      <c r="HZ34" s="339">
        <v>1</v>
      </c>
      <c r="IA34" s="339">
        <v>23</v>
      </c>
      <c r="IB34" s="339" t="s">
        <v>2593</v>
      </c>
      <c r="IC34" s="351">
        <v>5</v>
      </c>
      <c r="ID34" s="339">
        <v>7</v>
      </c>
      <c r="IE34" s="367">
        <v>19876</v>
      </c>
      <c r="IF34" s="339">
        <v>23</v>
      </c>
      <c r="IG34" s="339" t="s">
        <v>2594</v>
      </c>
      <c r="IH34" s="339">
        <v>2</v>
      </c>
      <c r="IK34" s="339">
        <v>14</v>
      </c>
      <c r="IL34" s="339" t="s">
        <v>2490</v>
      </c>
      <c r="IM34" s="339">
        <v>26</v>
      </c>
      <c r="IN34" s="339">
        <v>3</v>
      </c>
      <c r="IO34" s="339">
        <v>1</v>
      </c>
      <c r="IP34" s="339">
        <v>0</v>
      </c>
      <c r="IQ34" s="339">
        <v>1</v>
      </c>
      <c r="IR34" s="339">
        <v>21</v>
      </c>
      <c r="IS34" s="339" t="s">
        <v>2668</v>
      </c>
      <c r="IT34" s="351">
        <v>12</v>
      </c>
      <c r="IU34" s="339">
        <v>10</v>
      </c>
      <c r="IV34" s="367">
        <v>36434</v>
      </c>
      <c r="IW34" s="339">
        <v>22</v>
      </c>
      <c r="IX34" s="339" t="s">
        <v>2669</v>
      </c>
      <c r="IY34" s="339">
        <v>3</v>
      </c>
      <c r="JB34" s="339">
        <v>14</v>
      </c>
      <c r="JC34" s="339" t="s">
        <v>2715</v>
      </c>
      <c r="JD34" s="339">
        <v>26</v>
      </c>
      <c r="JE34" s="339">
        <v>0</v>
      </c>
      <c r="JF34" s="339">
        <v>0</v>
      </c>
      <c r="JG34" s="339">
        <v>3</v>
      </c>
      <c r="JH34" s="339">
        <v>1</v>
      </c>
      <c r="JI34" s="339">
        <v>22</v>
      </c>
      <c r="JJ34" s="339" t="s">
        <v>2735</v>
      </c>
      <c r="JK34" s="351">
        <v>4</v>
      </c>
      <c r="JL34" s="339">
        <v>8</v>
      </c>
      <c r="JM34" s="367">
        <v>29068</v>
      </c>
      <c r="JN34" s="339">
        <v>35</v>
      </c>
      <c r="JO34" s="339" t="s">
        <v>2736</v>
      </c>
      <c r="JP34" s="339">
        <v>2</v>
      </c>
      <c r="JS34" s="339">
        <v>14</v>
      </c>
      <c r="JT34" s="339" t="s">
        <v>2412</v>
      </c>
      <c r="JU34" s="339">
        <v>26</v>
      </c>
      <c r="JV34" s="339">
        <v>4</v>
      </c>
      <c r="JW34" s="339">
        <v>0</v>
      </c>
      <c r="JX34" s="339">
        <v>1</v>
      </c>
      <c r="JY34" s="339">
        <v>0</v>
      </c>
      <c r="JZ34" s="339">
        <v>21</v>
      </c>
      <c r="KA34" s="339" t="s">
        <v>2782</v>
      </c>
      <c r="KB34" s="351">
        <v>13</v>
      </c>
      <c r="KC34" s="339">
        <v>0</v>
      </c>
      <c r="KD34" s="339" t="s">
        <v>78</v>
      </c>
      <c r="KE34" s="339">
        <v>0</v>
      </c>
      <c r="KF34" s="339" t="s">
        <v>2757</v>
      </c>
      <c r="KG34" s="339">
        <v>0</v>
      </c>
      <c r="KJ34" s="339">
        <v>14</v>
      </c>
      <c r="KK34" s="339" t="s">
        <v>1303</v>
      </c>
      <c r="KL34" s="339">
        <v>26</v>
      </c>
      <c r="KM34" s="339">
        <v>3</v>
      </c>
      <c r="KN34" s="339">
        <v>1</v>
      </c>
      <c r="KO34" s="339">
        <v>2</v>
      </c>
      <c r="KP34" s="339">
        <v>1</v>
      </c>
      <c r="KQ34" s="339">
        <v>19</v>
      </c>
      <c r="KR34" s="339" t="s">
        <v>2818</v>
      </c>
      <c r="KS34" s="351">
        <v>14</v>
      </c>
      <c r="KT34" s="339">
        <v>0</v>
      </c>
      <c r="KU34" s="339" t="s">
        <v>78</v>
      </c>
      <c r="KV34" s="339">
        <v>0</v>
      </c>
      <c r="KW34" s="339" t="s">
        <v>2757</v>
      </c>
      <c r="KX34" s="339">
        <v>0</v>
      </c>
      <c r="LA34" s="339">
        <v>14</v>
      </c>
      <c r="LB34" s="339" t="s">
        <v>2089</v>
      </c>
      <c r="LC34" s="339">
        <v>26</v>
      </c>
      <c r="LD34" s="339">
        <v>3</v>
      </c>
      <c r="LE34" s="339">
        <v>0</v>
      </c>
      <c r="LF34" s="339">
        <v>4</v>
      </c>
      <c r="LG34" s="339">
        <v>0</v>
      </c>
      <c r="LH34" s="339">
        <v>19</v>
      </c>
      <c r="LI34" s="339" t="s">
        <v>2852</v>
      </c>
      <c r="LJ34" s="351">
        <v>10</v>
      </c>
      <c r="LK34" s="339">
        <v>0</v>
      </c>
      <c r="LL34" s="339" t="s">
        <v>78</v>
      </c>
      <c r="LM34" s="339">
        <v>0</v>
      </c>
      <c r="LN34" s="339" t="s">
        <v>2757</v>
      </c>
      <c r="LO34" s="339">
        <v>0</v>
      </c>
      <c r="LR34" s="339">
        <v>14</v>
      </c>
      <c r="LS34" s="339" t="s">
        <v>1386</v>
      </c>
      <c r="LT34" s="339">
        <v>26</v>
      </c>
      <c r="LU34" s="339">
        <v>2</v>
      </c>
      <c r="LV34" s="339">
        <v>0</v>
      </c>
      <c r="LW34" s="339">
        <v>3</v>
      </c>
      <c r="LX34" s="339">
        <v>0</v>
      </c>
      <c r="LY34" s="339">
        <v>21</v>
      </c>
      <c r="LZ34" s="339" t="s">
        <v>2903</v>
      </c>
      <c r="MA34" s="351">
        <v>7</v>
      </c>
      <c r="MB34" s="339">
        <v>6</v>
      </c>
      <c r="MC34" s="367">
        <v>27181</v>
      </c>
      <c r="MD34" s="339">
        <v>26</v>
      </c>
      <c r="ME34" s="339" t="s">
        <v>2904</v>
      </c>
      <c r="MF34" s="339">
        <v>1</v>
      </c>
    </row>
    <row r="35" spans="2:344" ht="19.2" thickBot="1" x14ac:dyDescent="0.35">
      <c r="B35" s="363" t="s">
        <v>1350</v>
      </c>
      <c r="S35" s="363" t="s">
        <v>1350</v>
      </c>
      <c r="AI35" s="363" t="s">
        <v>1350</v>
      </c>
      <c r="AY35" s="363" t="s">
        <v>1350</v>
      </c>
      <c r="BO35" s="363" t="s">
        <v>1350</v>
      </c>
      <c r="CE35" s="363" t="s">
        <v>1350</v>
      </c>
      <c r="CU35" s="363" t="s">
        <v>1350</v>
      </c>
      <c r="DK35" s="363" t="s">
        <v>1350</v>
      </c>
      <c r="EA35" s="363" t="s">
        <v>1350</v>
      </c>
      <c r="EQ35" s="363" t="s">
        <v>2194</v>
      </c>
      <c r="FG35" s="363" t="s">
        <v>2194</v>
      </c>
      <c r="FW35" s="363" t="s">
        <v>2194</v>
      </c>
      <c r="GM35" s="363" t="s">
        <v>2194</v>
      </c>
      <c r="HC35" s="363" t="s">
        <v>1350</v>
      </c>
      <c r="HT35" s="363" t="s">
        <v>1350</v>
      </c>
      <c r="IK35" s="363" t="s">
        <v>1350</v>
      </c>
      <c r="JB35" s="363" t="s">
        <v>2737</v>
      </c>
      <c r="JS35" s="363" t="s">
        <v>2737</v>
      </c>
      <c r="KJ35" s="363" t="s">
        <v>2737</v>
      </c>
      <c r="LA35" s="363" t="s">
        <v>2737</v>
      </c>
      <c r="LR35" s="363" t="s">
        <v>2737</v>
      </c>
    </row>
    <row r="36" spans="2:344" ht="15.6" thickTop="1" thickBot="1" x14ac:dyDescent="0.35">
      <c r="B36" s="357" t="s">
        <v>1254</v>
      </c>
      <c r="C36" s="357" t="s">
        <v>813</v>
      </c>
      <c r="D36" s="357" t="s">
        <v>1255</v>
      </c>
      <c r="E36" s="357" t="s">
        <v>16</v>
      </c>
      <c r="F36" s="357" t="s">
        <v>793</v>
      </c>
      <c r="G36" s="357"/>
      <c r="H36" s="357" t="s">
        <v>794</v>
      </c>
      <c r="I36" s="357" t="s">
        <v>743</v>
      </c>
      <c r="J36" s="357" t="s">
        <v>795</v>
      </c>
      <c r="K36" s="365" t="s">
        <v>1256</v>
      </c>
      <c r="L36" s="357" t="s">
        <v>1257</v>
      </c>
      <c r="M36" s="357" t="s">
        <v>1258</v>
      </c>
      <c r="N36" s="357" t="s">
        <v>1259</v>
      </c>
      <c r="O36" s="357" t="s">
        <v>1260</v>
      </c>
      <c r="P36" s="357" t="s">
        <v>1261</v>
      </c>
      <c r="Q36" s="358"/>
      <c r="S36" s="357" t="s">
        <v>1254</v>
      </c>
      <c r="T36" s="357" t="s">
        <v>813</v>
      </c>
      <c r="U36" s="357" t="s">
        <v>1255</v>
      </c>
      <c r="V36" s="357" t="s">
        <v>16</v>
      </c>
      <c r="W36" s="357" t="s">
        <v>793</v>
      </c>
      <c r="X36" s="357" t="s">
        <v>794</v>
      </c>
      <c r="Y36" s="357" t="s">
        <v>743</v>
      </c>
      <c r="Z36" s="357" t="s">
        <v>795</v>
      </c>
      <c r="AA36" s="365" t="s">
        <v>1256</v>
      </c>
      <c r="AB36" s="357" t="s">
        <v>1257</v>
      </c>
      <c r="AC36" s="357" t="s">
        <v>1258</v>
      </c>
      <c r="AD36" s="357" t="s">
        <v>1259</v>
      </c>
      <c r="AE36" s="357" t="s">
        <v>1260</v>
      </c>
      <c r="AF36" s="357" t="s">
        <v>1261</v>
      </c>
      <c r="AI36" s="357" t="s">
        <v>1254</v>
      </c>
      <c r="AJ36" s="357" t="s">
        <v>813</v>
      </c>
      <c r="AK36" s="357" t="s">
        <v>1255</v>
      </c>
      <c r="AL36" s="357" t="s">
        <v>16</v>
      </c>
      <c r="AM36" s="357" t="s">
        <v>793</v>
      </c>
      <c r="AN36" s="357" t="s">
        <v>794</v>
      </c>
      <c r="AO36" s="357" t="s">
        <v>743</v>
      </c>
      <c r="AP36" s="357" t="s">
        <v>795</v>
      </c>
      <c r="AQ36" s="365" t="s">
        <v>1256</v>
      </c>
      <c r="AR36" s="357" t="s">
        <v>1257</v>
      </c>
      <c r="AS36" s="357" t="s">
        <v>1258</v>
      </c>
      <c r="AT36" s="357" t="s">
        <v>1259</v>
      </c>
      <c r="AU36" s="357" t="s">
        <v>1260</v>
      </c>
      <c r="AV36" s="357" t="s">
        <v>1261</v>
      </c>
      <c r="AY36" s="357" t="s">
        <v>1254</v>
      </c>
      <c r="AZ36" s="357" t="s">
        <v>813</v>
      </c>
      <c r="BA36" s="357" t="s">
        <v>1255</v>
      </c>
      <c r="BB36" s="357" t="s">
        <v>16</v>
      </c>
      <c r="BC36" s="357" t="s">
        <v>793</v>
      </c>
      <c r="BD36" s="357" t="s">
        <v>794</v>
      </c>
      <c r="BE36" s="357" t="s">
        <v>743</v>
      </c>
      <c r="BF36" s="357" t="s">
        <v>795</v>
      </c>
      <c r="BG36" s="365" t="s">
        <v>1256</v>
      </c>
      <c r="BH36" s="357" t="s">
        <v>1257</v>
      </c>
      <c r="BI36" s="357" t="s">
        <v>1258</v>
      </c>
      <c r="BJ36" s="357" t="s">
        <v>1259</v>
      </c>
      <c r="BK36" s="357" t="s">
        <v>1260</v>
      </c>
      <c r="BL36" s="357" t="s">
        <v>1261</v>
      </c>
      <c r="BO36" s="357" t="s">
        <v>1254</v>
      </c>
      <c r="BP36" s="357" t="s">
        <v>813</v>
      </c>
      <c r="BQ36" s="357" t="s">
        <v>1255</v>
      </c>
      <c r="BR36" s="357" t="s">
        <v>16</v>
      </c>
      <c r="BS36" s="357" t="s">
        <v>793</v>
      </c>
      <c r="BT36" s="357" t="s">
        <v>794</v>
      </c>
      <c r="BU36" s="357" t="s">
        <v>743</v>
      </c>
      <c r="BV36" s="357" t="s">
        <v>795</v>
      </c>
      <c r="BW36" s="365" t="s">
        <v>1256</v>
      </c>
      <c r="BX36" s="357" t="s">
        <v>1257</v>
      </c>
      <c r="BY36" s="357" t="s">
        <v>1258</v>
      </c>
      <c r="BZ36" s="357" t="s">
        <v>1259</v>
      </c>
      <c r="CA36" s="357" t="s">
        <v>1260</v>
      </c>
      <c r="CB36" s="357" t="s">
        <v>1261</v>
      </c>
      <c r="CE36" s="357" t="s">
        <v>1254</v>
      </c>
      <c r="CF36" s="357" t="s">
        <v>813</v>
      </c>
      <c r="CG36" s="357" t="s">
        <v>1255</v>
      </c>
      <c r="CH36" s="357" t="s">
        <v>16</v>
      </c>
      <c r="CI36" s="357" t="s">
        <v>793</v>
      </c>
      <c r="CJ36" s="357" t="s">
        <v>794</v>
      </c>
      <c r="CK36" s="357" t="s">
        <v>743</v>
      </c>
      <c r="CL36" s="357" t="s">
        <v>795</v>
      </c>
      <c r="CM36" s="365" t="s">
        <v>1256</v>
      </c>
      <c r="CN36" s="357" t="s">
        <v>1257</v>
      </c>
      <c r="CO36" s="357" t="s">
        <v>1258</v>
      </c>
      <c r="CP36" s="357" t="s">
        <v>1259</v>
      </c>
      <c r="CQ36" s="357" t="s">
        <v>1260</v>
      </c>
      <c r="CR36" s="357" t="s">
        <v>1261</v>
      </c>
      <c r="CU36" s="357" t="s">
        <v>1254</v>
      </c>
      <c r="CV36" s="357" t="s">
        <v>813</v>
      </c>
      <c r="CW36" s="357" t="s">
        <v>1255</v>
      </c>
      <c r="CX36" s="357" t="s">
        <v>16</v>
      </c>
      <c r="CY36" s="357" t="s">
        <v>793</v>
      </c>
      <c r="CZ36" s="357" t="s">
        <v>794</v>
      </c>
      <c r="DA36" s="357" t="s">
        <v>743</v>
      </c>
      <c r="DB36" s="357" t="s">
        <v>795</v>
      </c>
      <c r="DC36" s="365" t="s">
        <v>1256</v>
      </c>
      <c r="DD36" s="357" t="s">
        <v>1257</v>
      </c>
      <c r="DE36" s="357" t="s">
        <v>1258</v>
      </c>
      <c r="DF36" s="357" t="s">
        <v>1259</v>
      </c>
      <c r="DG36" s="357" t="s">
        <v>1260</v>
      </c>
      <c r="DH36" s="357" t="s">
        <v>1261</v>
      </c>
      <c r="DK36" s="357" t="s">
        <v>1254</v>
      </c>
      <c r="DL36" s="357" t="s">
        <v>813</v>
      </c>
      <c r="DM36" s="357" t="s">
        <v>1255</v>
      </c>
      <c r="DN36" s="357" t="s">
        <v>16</v>
      </c>
      <c r="DO36" s="357" t="s">
        <v>793</v>
      </c>
      <c r="DP36" s="357" t="s">
        <v>794</v>
      </c>
      <c r="DQ36" s="357" t="s">
        <v>743</v>
      </c>
      <c r="DR36" s="357" t="s">
        <v>795</v>
      </c>
      <c r="DS36" s="365" t="s">
        <v>1256</v>
      </c>
      <c r="DT36" s="357" t="s">
        <v>1257</v>
      </c>
      <c r="DU36" s="357" t="s">
        <v>1258</v>
      </c>
      <c r="DV36" s="357" t="s">
        <v>1259</v>
      </c>
      <c r="DW36" s="357" t="s">
        <v>1260</v>
      </c>
      <c r="DX36" s="357" t="s">
        <v>1261</v>
      </c>
      <c r="EA36" s="357" t="s">
        <v>1254</v>
      </c>
      <c r="EB36" s="357" t="s">
        <v>813</v>
      </c>
      <c r="EC36" s="357" t="s">
        <v>1255</v>
      </c>
      <c r="ED36" s="357" t="s">
        <v>16</v>
      </c>
      <c r="EE36" s="357" t="s">
        <v>793</v>
      </c>
      <c r="EF36" s="357" t="s">
        <v>794</v>
      </c>
      <c r="EG36" s="357" t="s">
        <v>743</v>
      </c>
      <c r="EH36" s="357" t="s">
        <v>795</v>
      </c>
      <c r="EI36" s="365" t="s">
        <v>1256</v>
      </c>
      <c r="EJ36" s="357" t="s">
        <v>1257</v>
      </c>
      <c r="EK36" s="357" t="s">
        <v>1258</v>
      </c>
      <c r="EL36" s="357" t="s">
        <v>1259</v>
      </c>
      <c r="EM36" s="357" t="s">
        <v>1260</v>
      </c>
      <c r="EN36" s="357" t="s">
        <v>1261</v>
      </c>
      <c r="EQ36" s="357" t="s">
        <v>1254</v>
      </c>
      <c r="ER36" s="357" t="s">
        <v>813</v>
      </c>
      <c r="ES36" s="357" t="s">
        <v>1255</v>
      </c>
      <c r="ET36" s="357" t="s">
        <v>16</v>
      </c>
      <c r="EU36" s="357" t="s">
        <v>793</v>
      </c>
      <c r="EV36" s="357" t="s">
        <v>794</v>
      </c>
      <c r="EW36" s="357" t="s">
        <v>743</v>
      </c>
      <c r="EX36" s="357" t="s">
        <v>795</v>
      </c>
      <c r="EY36" s="365" t="s">
        <v>1256</v>
      </c>
      <c r="EZ36" s="357" t="s">
        <v>1257</v>
      </c>
      <c r="FA36" s="357" t="s">
        <v>1258</v>
      </c>
      <c r="FB36" s="357" t="s">
        <v>1259</v>
      </c>
      <c r="FC36" s="357" t="s">
        <v>1260</v>
      </c>
      <c r="FD36" s="357" t="s">
        <v>1261</v>
      </c>
      <c r="FG36" s="357" t="s">
        <v>1254</v>
      </c>
      <c r="FH36" s="357" t="s">
        <v>813</v>
      </c>
      <c r="FI36" s="357" t="s">
        <v>1255</v>
      </c>
      <c r="FJ36" s="357" t="s">
        <v>16</v>
      </c>
      <c r="FK36" s="357" t="s">
        <v>793</v>
      </c>
      <c r="FL36" s="357" t="s">
        <v>794</v>
      </c>
      <c r="FM36" s="357" t="s">
        <v>743</v>
      </c>
      <c r="FN36" s="357" t="s">
        <v>795</v>
      </c>
      <c r="FO36" s="365" t="s">
        <v>1256</v>
      </c>
      <c r="FP36" s="357" t="s">
        <v>1257</v>
      </c>
      <c r="FQ36" s="357" t="s">
        <v>1258</v>
      </c>
      <c r="FR36" s="357" t="s">
        <v>1259</v>
      </c>
      <c r="FS36" s="357" t="s">
        <v>1260</v>
      </c>
      <c r="FT36" s="357" t="s">
        <v>1261</v>
      </c>
      <c r="FW36" s="357" t="s">
        <v>1254</v>
      </c>
      <c r="FX36" s="357" t="s">
        <v>813</v>
      </c>
      <c r="FY36" s="357" t="s">
        <v>1255</v>
      </c>
      <c r="FZ36" s="357" t="s">
        <v>16</v>
      </c>
      <c r="GA36" s="357" t="s">
        <v>793</v>
      </c>
      <c r="GB36" s="357" t="s">
        <v>794</v>
      </c>
      <c r="GC36" s="357" t="s">
        <v>743</v>
      </c>
      <c r="GD36" s="357" t="s">
        <v>795</v>
      </c>
      <c r="GE36" s="365" t="s">
        <v>1256</v>
      </c>
      <c r="GF36" s="357" t="s">
        <v>1257</v>
      </c>
      <c r="GG36" s="357" t="s">
        <v>1258</v>
      </c>
      <c r="GH36" s="357" t="s">
        <v>1259</v>
      </c>
      <c r="GI36" s="357" t="s">
        <v>1260</v>
      </c>
      <c r="GJ36" s="357" t="s">
        <v>1261</v>
      </c>
      <c r="GM36" s="357" t="s">
        <v>1254</v>
      </c>
      <c r="GN36" s="357" t="s">
        <v>813</v>
      </c>
      <c r="GO36" s="357" t="s">
        <v>1255</v>
      </c>
      <c r="GP36" s="357" t="s">
        <v>16</v>
      </c>
      <c r="GQ36" s="357" t="s">
        <v>793</v>
      </c>
      <c r="GR36" s="357" t="s">
        <v>794</v>
      </c>
      <c r="GS36" s="357" t="s">
        <v>743</v>
      </c>
      <c r="GT36" s="357" t="s">
        <v>795</v>
      </c>
      <c r="GU36" s="365" t="s">
        <v>1256</v>
      </c>
      <c r="GV36" s="357" t="s">
        <v>1257</v>
      </c>
      <c r="GW36" s="357" t="s">
        <v>1258</v>
      </c>
      <c r="GX36" s="357" t="s">
        <v>1259</v>
      </c>
      <c r="GY36" s="357" t="s">
        <v>1260</v>
      </c>
      <c r="GZ36" s="357" t="s">
        <v>1261</v>
      </c>
      <c r="HC36" s="357" t="s">
        <v>1254</v>
      </c>
      <c r="HD36" s="357" t="s">
        <v>813</v>
      </c>
      <c r="HE36" s="357" t="s">
        <v>1255</v>
      </c>
      <c r="HF36" s="357" t="s">
        <v>16</v>
      </c>
      <c r="HG36" s="357" t="s">
        <v>793</v>
      </c>
      <c r="HH36" s="357" t="s">
        <v>2470</v>
      </c>
      <c r="HI36" s="357" t="s">
        <v>794</v>
      </c>
      <c r="HJ36" s="357" t="s">
        <v>743</v>
      </c>
      <c r="HK36" s="357" t="s">
        <v>795</v>
      </c>
      <c r="HL36" s="365" t="s">
        <v>1256</v>
      </c>
      <c r="HM36" s="357" t="s">
        <v>1257</v>
      </c>
      <c r="HN36" s="357" t="s">
        <v>1258</v>
      </c>
      <c r="HO36" s="357" t="s">
        <v>1259</v>
      </c>
      <c r="HP36" s="357" t="s">
        <v>1260</v>
      </c>
      <c r="HQ36" s="357" t="s">
        <v>1261</v>
      </c>
      <c r="HT36" s="357" t="s">
        <v>1254</v>
      </c>
      <c r="HU36" s="357" t="s">
        <v>813</v>
      </c>
      <c r="HV36" s="357" t="s">
        <v>1255</v>
      </c>
      <c r="HW36" s="357" t="s">
        <v>16</v>
      </c>
      <c r="HX36" s="357" t="s">
        <v>793</v>
      </c>
      <c r="HY36" s="357" t="s">
        <v>2470</v>
      </c>
      <c r="HZ36" s="357" t="s">
        <v>794</v>
      </c>
      <c r="IA36" s="357" t="s">
        <v>743</v>
      </c>
      <c r="IB36" s="357" t="s">
        <v>795</v>
      </c>
      <c r="IC36" s="365" t="s">
        <v>1256</v>
      </c>
      <c r="ID36" s="357" t="s">
        <v>1257</v>
      </c>
      <c r="IE36" s="357" t="s">
        <v>1258</v>
      </c>
      <c r="IF36" s="357" t="s">
        <v>1259</v>
      </c>
      <c r="IG36" s="357" t="s">
        <v>1260</v>
      </c>
      <c r="IH36" s="357" t="s">
        <v>1261</v>
      </c>
      <c r="IK36" s="357" t="s">
        <v>1254</v>
      </c>
      <c r="IL36" s="357" t="s">
        <v>813</v>
      </c>
      <c r="IM36" s="357" t="s">
        <v>1255</v>
      </c>
      <c r="IN36" s="357" t="s">
        <v>16</v>
      </c>
      <c r="IO36" s="357" t="s">
        <v>793</v>
      </c>
      <c r="IP36" s="357" t="s">
        <v>2470</v>
      </c>
      <c r="IQ36" s="357" t="s">
        <v>794</v>
      </c>
      <c r="IR36" s="357" t="s">
        <v>743</v>
      </c>
      <c r="IS36" s="357" t="s">
        <v>795</v>
      </c>
      <c r="IT36" s="365" t="s">
        <v>1256</v>
      </c>
      <c r="IU36" s="357" t="s">
        <v>1257</v>
      </c>
      <c r="IV36" s="357" t="s">
        <v>1258</v>
      </c>
      <c r="IW36" s="357" t="s">
        <v>1259</v>
      </c>
      <c r="IX36" s="357" t="s">
        <v>1260</v>
      </c>
      <c r="IY36" s="357" t="s">
        <v>1261</v>
      </c>
      <c r="JB36" s="357" t="s">
        <v>1254</v>
      </c>
      <c r="JC36" s="357" t="s">
        <v>813</v>
      </c>
      <c r="JD36" s="357" t="s">
        <v>1255</v>
      </c>
      <c r="JE36" s="357" t="s">
        <v>16</v>
      </c>
      <c r="JF36" s="357" t="s">
        <v>793</v>
      </c>
      <c r="JG36" s="357" t="s">
        <v>2470</v>
      </c>
      <c r="JH36" s="357" t="s">
        <v>794</v>
      </c>
      <c r="JI36" s="357" t="s">
        <v>743</v>
      </c>
      <c r="JJ36" s="357" t="s">
        <v>795</v>
      </c>
      <c r="JK36" s="365" t="s">
        <v>1256</v>
      </c>
      <c r="JL36" s="357" t="s">
        <v>1257</v>
      </c>
      <c r="JM36" s="357" t="s">
        <v>1258</v>
      </c>
      <c r="JN36" s="357" t="s">
        <v>1259</v>
      </c>
      <c r="JO36" s="357" t="s">
        <v>1260</v>
      </c>
      <c r="JP36" s="357" t="s">
        <v>1261</v>
      </c>
      <c r="JS36" s="357" t="s">
        <v>1254</v>
      </c>
      <c r="JT36" s="357" t="s">
        <v>813</v>
      </c>
      <c r="JU36" s="357" t="s">
        <v>1255</v>
      </c>
      <c r="JV36" s="357" t="s">
        <v>16</v>
      </c>
      <c r="JW36" s="357" t="s">
        <v>793</v>
      </c>
      <c r="JX36" s="357" t="s">
        <v>2470</v>
      </c>
      <c r="JY36" s="357" t="s">
        <v>794</v>
      </c>
      <c r="JZ36" s="357" t="s">
        <v>743</v>
      </c>
      <c r="KA36" s="357" t="s">
        <v>795</v>
      </c>
      <c r="KB36" s="365" t="s">
        <v>1256</v>
      </c>
      <c r="KC36" s="357" t="s">
        <v>1257</v>
      </c>
      <c r="KD36" s="357" t="s">
        <v>1258</v>
      </c>
      <c r="KE36" s="357" t="s">
        <v>1259</v>
      </c>
      <c r="KF36" s="357" t="s">
        <v>1260</v>
      </c>
      <c r="KG36" s="357" t="s">
        <v>1261</v>
      </c>
      <c r="KJ36" s="357" t="s">
        <v>1254</v>
      </c>
      <c r="KK36" s="357" t="s">
        <v>813</v>
      </c>
      <c r="KL36" s="357" t="s">
        <v>1255</v>
      </c>
      <c r="KM36" s="357" t="s">
        <v>16</v>
      </c>
      <c r="KN36" s="357" t="s">
        <v>793</v>
      </c>
      <c r="KO36" s="357" t="s">
        <v>2470</v>
      </c>
      <c r="KP36" s="357" t="s">
        <v>794</v>
      </c>
      <c r="KQ36" s="357" t="s">
        <v>743</v>
      </c>
      <c r="KR36" s="357" t="s">
        <v>795</v>
      </c>
      <c r="KS36" s="365" t="s">
        <v>1256</v>
      </c>
      <c r="KT36" s="357" t="s">
        <v>1257</v>
      </c>
      <c r="KU36" s="357" t="s">
        <v>1258</v>
      </c>
      <c r="KV36" s="357" t="s">
        <v>1259</v>
      </c>
      <c r="KW36" s="357" t="s">
        <v>1260</v>
      </c>
      <c r="KX36" s="357" t="s">
        <v>1261</v>
      </c>
      <c r="LA36" s="357" t="s">
        <v>1254</v>
      </c>
      <c r="LB36" s="357" t="s">
        <v>813</v>
      </c>
      <c r="LC36" s="357" t="s">
        <v>1255</v>
      </c>
      <c r="LD36" s="357" t="s">
        <v>16</v>
      </c>
      <c r="LE36" s="357" t="s">
        <v>793</v>
      </c>
      <c r="LF36" s="357" t="s">
        <v>2470</v>
      </c>
      <c r="LG36" s="357" t="s">
        <v>794</v>
      </c>
      <c r="LH36" s="357" t="s">
        <v>743</v>
      </c>
      <c r="LI36" s="357" t="s">
        <v>795</v>
      </c>
      <c r="LJ36" s="365" t="s">
        <v>1256</v>
      </c>
      <c r="LK36" s="357" t="s">
        <v>1257</v>
      </c>
      <c r="LL36" s="357" t="s">
        <v>1258</v>
      </c>
      <c r="LM36" s="357" t="s">
        <v>1259</v>
      </c>
      <c r="LN36" s="357" t="s">
        <v>1260</v>
      </c>
      <c r="LO36" s="357" t="s">
        <v>1261</v>
      </c>
      <c r="LR36" s="357" t="s">
        <v>1254</v>
      </c>
      <c r="LS36" s="357" t="s">
        <v>813</v>
      </c>
      <c r="LT36" s="357" t="s">
        <v>1255</v>
      </c>
      <c r="LU36" s="357" t="s">
        <v>16</v>
      </c>
      <c r="LV36" s="357" t="s">
        <v>793</v>
      </c>
      <c r="LW36" s="357" t="s">
        <v>2470</v>
      </c>
      <c r="LX36" s="357" t="s">
        <v>794</v>
      </c>
      <c r="LY36" s="357" t="s">
        <v>743</v>
      </c>
      <c r="LZ36" s="357" t="s">
        <v>795</v>
      </c>
      <c r="MA36" s="365" t="s">
        <v>1256</v>
      </c>
      <c r="MB36" s="357" t="s">
        <v>1257</v>
      </c>
      <c r="MC36" s="357" t="s">
        <v>1258</v>
      </c>
      <c r="MD36" s="357" t="s">
        <v>1259</v>
      </c>
      <c r="ME36" s="357" t="s">
        <v>1260</v>
      </c>
      <c r="MF36" s="357" t="s">
        <v>1261</v>
      </c>
    </row>
    <row r="37" spans="2:344" ht="42" thickBot="1" x14ac:dyDescent="0.35">
      <c r="B37" s="339">
        <v>1</v>
      </c>
      <c r="C37" s="339" t="s">
        <v>1262</v>
      </c>
      <c r="D37" s="339">
        <v>26</v>
      </c>
      <c r="E37" s="339">
        <v>19</v>
      </c>
      <c r="F37" s="339">
        <v>2</v>
      </c>
      <c r="G37" s="339"/>
      <c r="H37" s="339">
        <v>2</v>
      </c>
      <c r="I37" s="339">
        <v>3</v>
      </c>
      <c r="J37" s="352">
        <v>4.2409722222222221</v>
      </c>
      <c r="K37" s="351">
        <v>63</v>
      </c>
      <c r="L37" s="339">
        <v>31</v>
      </c>
      <c r="M37" s="339" t="s">
        <v>1351</v>
      </c>
      <c r="N37" s="339">
        <v>9</v>
      </c>
      <c r="O37" s="339" t="s">
        <v>1352</v>
      </c>
      <c r="P37" s="339">
        <v>6</v>
      </c>
      <c r="Q37" s="342"/>
      <c r="S37" s="339">
        <v>1</v>
      </c>
      <c r="T37" s="339" t="s">
        <v>1270</v>
      </c>
      <c r="U37" s="339">
        <v>26</v>
      </c>
      <c r="V37" s="339">
        <v>18</v>
      </c>
      <c r="W37" s="339">
        <v>4</v>
      </c>
      <c r="X37" s="339">
        <v>3</v>
      </c>
      <c r="Y37" s="339">
        <v>1</v>
      </c>
      <c r="Z37" s="352">
        <v>4.3263888888888884</v>
      </c>
      <c r="AA37" s="351">
        <v>65</v>
      </c>
      <c r="AB37" s="339">
        <v>28</v>
      </c>
      <c r="AC37" s="339" t="s">
        <v>1465</v>
      </c>
      <c r="AD37" s="339">
        <v>16</v>
      </c>
      <c r="AE37" s="339" t="s">
        <v>1466</v>
      </c>
      <c r="AF37" s="339">
        <v>4</v>
      </c>
      <c r="AI37" s="339">
        <v>1</v>
      </c>
      <c r="AJ37" s="339" t="s">
        <v>1278</v>
      </c>
      <c r="AK37" s="339">
        <v>26</v>
      </c>
      <c r="AL37" s="339">
        <v>16</v>
      </c>
      <c r="AM37" s="339">
        <v>2</v>
      </c>
      <c r="AN37" s="339">
        <v>3</v>
      </c>
      <c r="AO37" s="339">
        <v>5</v>
      </c>
      <c r="AP37" s="352">
        <v>3.8715277777777781</v>
      </c>
      <c r="AQ37" s="351">
        <v>55</v>
      </c>
      <c r="AR37" s="339">
        <v>23</v>
      </c>
      <c r="AS37" s="339" t="s">
        <v>1558</v>
      </c>
      <c r="AT37" s="339">
        <v>12</v>
      </c>
      <c r="AU37" s="339" t="s">
        <v>1559</v>
      </c>
      <c r="AV37" s="339">
        <v>5</v>
      </c>
      <c r="AY37" s="339">
        <v>1</v>
      </c>
      <c r="AZ37" s="339" t="s">
        <v>1297</v>
      </c>
      <c r="BA37" s="339">
        <v>26</v>
      </c>
      <c r="BB37" s="339">
        <v>18</v>
      </c>
      <c r="BC37" s="339">
        <v>5</v>
      </c>
      <c r="BD37" s="339">
        <v>2</v>
      </c>
      <c r="BE37" s="339">
        <v>1</v>
      </c>
      <c r="BF37" s="352">
        <v>4.9951388888888895</v>
      </c>
      <c r="BG37" s="351">
        <v>66</v>
      </c>
      <c r="BH37" s="339">
        <v>37</v>
      </c>
      <c r="BI37" s="339" t="s">
        <v>1423</v>
      </c>
      <c r="BJ37" s="339">
        <v>22</v>
      </c>
      <c r="BK37" s="339" t="s">
        <v>1671</v>
      </c>
      <c r="BL37" s="339">
        <v>0</v>
      </c>
      <c r="BO37" s="339">
        <v>1</v>
      </c>
      <c r="BP37" s="339" t="s">
        <v>80</v>
      </c>
      <c r="BQ37" s="339">
        <v>26</v>
      </c>
      <c r="BR37" s="339">
        <v>18</v>
      </c>
      <c r="BS37" s="339">
        <v>3</v>
      </c>
      <c r="BT37" s="339">
        <v>0</v>
      </c>
      <c r="BU37" s="339">
        <v>5</v>
      </c>
      <c r="BV37" s="352">
        <v>3.9090277777777778</v>
      </c>
      <c r="BW37" s="351">
        <v>60</v>
      </c>
      <c r="BX37" s="339">
        <v>36</v>
      </c>
      <c r="BY37" s="339" t="s">
        <v>1756</v>
      </c>
      <c r="BZ37" s="339">
        <v>9</v>
      </c>
      <c r="CA37" s="339" t="s">
        <v>1757</v>
      </c>
      <c r="CB37" s="339">
        <v>2</v>
      </c>
      <c r="CE37" s="339">
        <v>1</v>
      </c>
      <c r="CF37" s="339" t="s">
        <v>1297</v>
      </c>
      <c r="CG37" s="339">
        <v>26</v>
      </c>
      <c r="CH37" s="339">
        <v>22</v>
      </c>
      <c r="CI37" s="339">
        <v>0</v>
      </c>
      <c r="CJ37" s="339">
        <v>1</v>
      </c>
      <c r="CK37" s="339">
        <v>3</v>
      </c>
      <c r="CL37" s="352">
        <v>4.7729166666666663</v>
      </c>
      <c r="CM37" s="351">
        <v>67</v>
      </c>
      <c r="CN37" s="339">
        <v>27</v>
      </c>
      <c r="CO37" s="339" t="s">
        <v>1849</v>
      </c>
      <c r="CP37" s="339">
        <v>10</v>
      </c>
      <c r="CQ37" s="339" t="s">
        <v>1850</v>
      </c>
      <c r="CR37" s="339">
        <v>3</v>
      </c>
      <c r="CU37" s="339">
        <v>1</v>
      </c>
      <c r="CV37" s="339" t="s">
        <v>1266</v>
      </c>
      <c r="CW37" s="339">
        <v>26</v>
      </c>
      <c r="CX37" s="339">
        <v>17</v>
      </c>
      <c r="CY37" s="339">
        <v>2</v>
      </c>
      <c r="CZ37" s="339">
        <v>1</v>
      </c>
      <c r="DA37" s="339">
        <v>6</v>
      </c>
      <c r="DB37" s="339" t="s">
        <v>1944</v>
      </c>
      <c r="DC37" s="351">
        <v>56</v>
      </c>
      <c r="DD37" s="339">
        <v>32</v>
      </c>
      <c r="DE37" s="339" t="s">
        <v>1945</v>
      </c>
      <c r="DF37" s="339">
        <v>14</v>
      </c>
      <c r="DG37" s="339" t="s">
        <v>1946</v>
      </c>
      <c r="DH37" s="339">
        <v>1</v>
      </c>
      <c r="DK37" s="339">
        <v>1</v>
      </c>
      <c r="DL37" s="339" t="s">
        <v>1978</v>
      </c>
      <c r="DM37" s="339">
        <v>26</v>
      </c>
      <c r="DN37" s="339">
        <v>18</v>
      </c>
      <c r="DO37" s="339">
        <v>4</v>
      </c>
      <c r="DP37" s="339">
        <v>2</v>
      </c>
      <c r="DQ37" s="339">
        <v>2</v>
      </c>
      <c r="DR37" s="339" t="s">
        <v>2037</v>
      </c>
      <c r="DS37" s="351">
        <v>64</v>
      </c>
      <c r="DT37" s="339">
        <v>32</v>
      </c>
      <c r="DU37" s="339" t="s">
        <v>2038</v>
      </c>
      <c r="DV37" s="339">
        <v>20</v>
      </c>
      <c r="DW37" s="339" t="s">
        <v>1958</v>
      </c>
      <c r="DX37" s="339">
        <v>3</v>
      </c>
      <c r="EA37" s="339">
        <v>1</v>
      </c>
      <c r="EB37" s="339" t="s">
        <v>1286</v>
      </c>
      <c r="EC37" s="339">
        <v>26</v>
      </c>
      <c r="ED37" s="339">
        <v>18</v>
      </c>
      <c r="EE37" s="339">
        <v>4</v>
      </c>
      <c r="EF37" s="339">
        <v>1</v>
      </c>
      <c r="EG37" s="339">
        <v>3</v>
      </c>
      <c r="EH37" s="352">
        <v>3.994444444444444</v>
      </c>
      <c r="EI37" s="351">
        <v>63</v>
      </c>
      <c r="EJ37" s="339">
        <v>28</v>
      </c>
      <c r="EK37" s="366">
        <v>43606</v>
      </c>
      <c r="EL37" s="339">
        <v>15</v>
      </c>
      <c r="EM37" s="339" t="s">
        <v>2116</v>
      </c>
      <c r="EN37" s="339">
        <v>2</v>
      </c>
      <c r="EQ37" s="339">
        <v>1</v>
      </c>
      <c r="ER37" s="339" t="s">
        <v>1978</v>
      </c>
      <c r="ES37" s="339">
        <v>26</v>
      </c>
      <c r="ET37" s="339">
        <v>17</v>
      </c>
      <c r="EU37" s="339">
        <v>2</v>
      </c>
      <c r="EV37" s="339">
        <v>5</v>
      </c>
      <c r="EW37" s="339">
        <v>2</v>
      </c>
      <c r="EX37" s="352">
        <v>3.5805555555555557</v>
      </c>
      <c r="EY37" s="351">
        <v>60</v>
      </c>
      <c r="EZ37" s="339">
        <v>38</v>
      </c>
      <c r="FA37" s="339" t="s">
        <v>1769</v>
      </c>
      <c r="FB37" s="339">
        <v>12</v>
      </c>
      <c r="FC37" s="339" t="s">
        <v>1398</v>
      </c>
      <c r="FD37" s="339">
        <v>1</v>
      </c>
      <c r="FG37" s="339">
        <v>1</v>
      </c>
      <c r="FH37" s="339" t="s">
        <v>2224</v>
      </c>
      <c r="FI37" s="339">
        <v>26</v>
      </c>
      <c r="FJ37" s="339">
        <v>17</v>
      </c>
      <c r="FK37" s="339">
        <v>2</v>
      </c>
      <c r="FL37" s="339">
        <v>5</v>
      </c>
      <c r="FM37" s="339">
        <v>2</v>
      </c>
      <c r="FN37" s="339" t="s">
        <v>2282</v>
      </c>
      <c r="FO37" s="351">
        <v>60</v>
      </c>
      <c r="FP37" s="339">
        <v>32</v>
      </c>
      <c r="FQ37" s="339" t="s">
        <v>1758</v>
      </c>
      <c r="FR37" s="339">
        <v>24</v>
      </c>
      <c r="FS37" s="339" t="s">
        <v>1600</v>
      </c>
      <c r="FT37" s="339">
        <v>0</v>
      </c>
      <c r="FW37" s="339">
        <v>1</v>
      </c>
      <c r="FX37" s="339" t="s">
        <v>1895</v>
      </c>
      <c r="FY37" s="339">
        <v>26</v>
      </c>
      <c r="FZ37" s="339">
        <v>17</v>
      </c>
      <c r="GA37" s="339">
        <v>2</v>
      </c>
      <c r="GB37" s="339">
        <v>4</v>
      </c>
      <c r="GC37" s="339">
        <v>3</v>
      </c>
      <c r="GD37" s="352">
        <v>3.6187499999999999</v>
      </c>
      <c r="GE37" s="351">
        <v>59</v>
      </c>
      <c r="GF37" s="339">
        <v>32</v>
      </c>
      <c r="GG37" s="339" t="s">
        <v>1474</v>
      </c>
      <c r="GH37" s="339">
        <v>12</v>
      </c>
      <c r="GI37" s="339" t="s">
        <v>2366</v>
      </c>
      <c r="GJ37" s="339">
        <v>5</v>
      </c>
      <c r="GM37" s="339">
        <v>1</v>
      </c>
      <c r="GN37" s="339" t="s">
        <v>1262</v>
      </c>
      <c r="GO37" s="339">
        <v>26</v>
      </c>
      <c r="GP37" s="339">
        <v>19</v>
      </c>
      <c r="GQ37" s="339">
        <v>4</v>
      </c>
      <c r="GR37" s="339">
        <v>1</v>
      </c>
      <c r="GS37" s="339">
        <v>2</v>
      </c>
      <c r="GT37" s="352">
        <v>4.0305555555555559</v>
      </c>
      <c r="GU37" s="351">
        <v>66</v>
      </c>
      <c r="GV37" s="339">
        <v>42</v>
      </c>
      <c r="GW37" s="339" t="s">
        <v>1595</v>
      </c>
      <c r="GX37" s="339">
        <v>16</v>
      </c>
      <c r="GY37" s="339" t="s">
        <v>2446</v>
      </c>
      <c r="GZ37" s="339">
        <v>6</v>
      </c>
      <c r="HC37" s="339">
        <v>1</v>
      </c>
      <c r="HD37" s="339" t="s">
        <v>1262</v>
      </c>
      <c r="HE37" s="339">
        <v>26</v>
      </c>
      <c r="HF37" s="339">
        <v>23</v>
      </c>
      <c r="HG37" s="339">
        <v>1</v>
      </c>
      <c r="HH37" s="339">
        <v>2</v>
      </c>
      <c r="HI37" s="339">
        <v>0</v>
      </c>
      <c r="HJ37" s="339">
        <v>0</v>
      </c>
      <c r="HK37" s="352">
        <v>3.6868055555555554</v>
      </c>
      <c r="HL37" s="351">
        <v>73</v>
      </c>
      <c r="HM37" s="339">
        <v>35</v>
      </c>
      <c r="HN37" s="339" t="s">
        <v>217</v>
      </c>
      <c r="HO37" s="339">
        <v>16</v>
      </c>
      <c r="HP37" s="339" t="s">
        <v>2525</v>
      </c>
      <c r="HQ37" s="339">
        <v>3</v>
      </c>
      <c r="HT37" s="339">
        <v>1</v>
      </c>
      <c r="HU37" s="339" t="s">
        <v>1297</v>
      </c>
      <c r="HV37" s="339">
        <v>26</v>
      </c>
      <c r="HW37" s="339">
        <v>18</v>
      </c>
      <c r="HX37" s="339">
        <v>1</v>
      </c>
      <c r="HY37" s="339">
        <v>3</v>
      </c>
      <c r="HZ37" s="339">
        <v>1</v>
      </c>
      <c r="IA37" s="339">
        <v>3</v>
      </c>
      <c r="IB37" s="352">
        <v>3.7833333333333332</v>
      </c>
      <c r="IC37" s="351">
        <v>60</v>
      </c>
      <c r="ID37" s="339">
        <v>21</v>
      </c>
      <c r="IE37" s="339" t="s">
        <v>1632</v>
      </c>
      <c r="IF37" s="339">
        <v>20</v>
      </c>
      <c r="IG37" s="339" t="s">
        <v>1322</v>
      </c>
      <c r="IH37" s="339">
        <v>3</v>
      </c>
      <c r="IK37" s="339">
        <v>1</v>
      </c>
      <c r="IL37" s="339" t="s">
        <v>2224</v>
      </c>
      <c r="IM37" s="339">
        <v>26</v>
      </c>
      <c r="IN37" s="339">
        <v>19</v>
      </c>
      <c r="IO37" s="339">
        <v>0</v>
      </c>
      <c r="IP37" s="339">
        <v>2</v>
      </c>
      <c r="IQ37" s="339">
        <v>3</v>
      </c>
      <c r="IR37" s="339">
        <v>2</v>
      </c>
      <c r="IS37" s="352">
        <v>4.1993055555555552</v>
      </c>
      <c r="IT37" s="351">
        <v>62</v>
      </c>
      <c r="IU37" s="339">
        <v>28</v>
      </c>
      <c r="IV37" s="339" t="s">
        <v>2444</v>
      </c>
      <c r="IW37" s="339">
        <v>9</v>
      </c>
      <c r="IX37" s="339" t="s">
        <v>1398</v>
      </c>
      <c r="IY37" s="339">
        <v>6</v>
      </c>
      <c r="JB37" s="339">
        <v>1</v>
      </c>
      <c r="JC37" s="339" t="s">
        <v>1311</v>
      </c>
      <c r="JD37" s="339">
        <v>26</v>
      </c>
      <c r="JE37" s="339">
        <v>22</v>
      </c>
      <c r="JF37" s="339">
        <v>1</v>
      </c>
      <c r="JG37" s="339">
        <v>0</v>
      </c>
      <c r="JH37" s="339">
        <v>1</v>
      </c>
      <c r="JI37" s="339">
        <v>2</v>
      </c>
      <c r="JJ37" s="352">
        <v>3.8194444444444446</v>
      </c>
      <c r="JK37" s="351">
        <v>69</v>
      </c>
      <c r="JL37" s="339">
        <v>26</v>
      </c>
      <c r="JM37" s="339" t="s">
        <v>2599</v>
      </c>
      <c r="JN37" s="339">
        <v>16</v>
      </c>
      <c r="JO37" s="339" t="s">
        <v>2738</v>
      </c>
      <c r="JP37" s="339">
        <v>5</v>
      </c>
      <c r="JS37" s="339">
        <v>1</v>
      </c>
      <c r="JT37" s="339" t="s">
        <v>1297</v>
      </c>
      <c r="JU37" s="339">
        <v>26</v>
      </c>
      <c r="JV37" s="339">
        <v>16</v>
      </c>
      <c r="JW37" s="339">
        <v>1</v>
      </c>
      <c r="JX37" s="339">
        <v>3</v>
      </c>
      <c r="JY37" s="339">
        <v>3</v>
      </c>
      <c r="JZ37" s="339">
        <v>3</v>
      </c>
      <c r="KA37" s="339" t="s">
        <v>2783</v>
      </c>
      <c r="KB37" s="351">
        <v>56</v>
      </c>
      <c r="KC37" s="339">
        <v>0</v>
      </c>
      <c r="KD37" s="339" t="s">
        <v>78</v>
      </c>
      <c r="KE37" s="339">
        <v>0</v>
      </c>
      <c r="KF37" s="339" t="s">
        <v>2757</v>
      </c>
      <c r="KG37" s="339">
        <v>0</v>
      </c>
      <c r="KJ37" s="339">
        <v>1</v>
      </c>
      <c r="KK37" s="339" t="s">
        <v>2418</v>
      </c>
      <c r="KL37" s="339">
        <v>26</v>
      </c>
      <c r="KM37" s="339">
        <v>17</v>
      </c>
      <c r="KN37" s="339">
        <v>1</v>
      </c>
      <c r="KO37" s="339">
        <v>4</v>
      </c>
      <c r="KP37" s="339">
        <v>0</v>
      </c>
      <c r="KQ37" s="339">
        <v>4</v>
      </c>
      <c r="KR37" s="352">
        <v>3.5770833333333329</v>
      </c>
      <c r="KS37" s="351">
        <v>57</v>
      </c>
      <c r="KT37" s="339">
        <v>0</v>
      </c>
      <c r="KU37" s="339" t="s">
        <v>78</v>
      </c>
      <c r="KV37" s="339">
        <v>0</v>
      </c>
      <c r="KW37" s="339" t="s">
        <v>2757</v>
      </c>
      <c r="KX37" s="339">
        <v>0</v>
      </c>
      <c r="LA37" s="339">
        <v>1</v>
      </c>
      <c r="LB37" s="339" t="s">
        <v>1266</v>
      </c>
      <c r="LC37" s="339">
        <v>26</v>
      </c>
      <c r="LD37" s="339">
        <v>22</v>
      </c>
      <c r="LE37" s="339">
        <v>0</v>
      </c>
      <c r="LF37" s="339">
        <v>3</v>
      </c>
      <c r="LG37" s="339">
        <v>0</v>
      </c>
      <c r="LH37" s="339">
        <v>1</v>
      </c>
      <c r="LI37" s="352">
        <v>4.7888888888888888</v>
      </c>
      <c r="LJ37" s="351">
        <v>47</v>
      </c>
      <c r="LK37" s="339">
        <v>0</v>
      </c>
      <c r="LL37" s="339" t="s">
        <v>78</v>
      </c>
      <c r="LM37" s="339">
        <v>0</v>
      </c>
      <c r="LN37" s="339" t="s">
        <v>2757</v>
      </c>
      <c r="LO37" s="339">
        <v>0</v>
      </c>
      <c r="LR37" s="339">
        <v>1</v>
      </c>
      <c r="LS37" s="339" t="s">
        <v>1293</v>
      </c>
      <c r="LT37" s="339">
        <v>26</v>
      </c>
      <c r="LU37" s="339">
        <v>18</v>
      </c>
      <c r="LV37" s="339">
        <v>0</v>
      </c>
      <c r="LW37" s="339">
        <v>7</v>
      </c>
      <c r="LX37" s="339">
        <v>0</v>
      </c>
      <c r="LY37" s="339">
        <v>1</v>
      </c>
      <c r="LZ37" s="352">
        <v>4.3312499999999998</v>
      </c>
      <c r="MA37" s="351">
        <v>43</v>
      </c>
      <c r="MB37" s="339">
        <v>33</v>
      </c>
      <c r="MC37" s="339" t="s">
        <v>2905</v>
      </c>
      <c r="MD37" s="339">
        <v>13</v>
      </c>
      <c r="ME37" s="339" t="s">
        <v>2906</v>
      </c>
      <c r="MF37" s="339">
        <v>4</v>
      </c>
    </row>
    <row r="38" spans="2:344" ht="42" thickBot="1" x14ac:dyDescent="0.35">
      <c r="B38" s="339">
        <v>2</v>
      </c>
      <c r="C38" s="339" t="s">
        <v>1286</v>
      </c>
      <c r="D38" s="339">
        <v>26</v>
      </c>
      <c r="E38" s="339">
        <v>17</v>
      </c>
      <c r="F38" s="339">
        <v>3</v>
      </c>
      <c r="G38" s="339"/>
      <c r="H38" s="339">
        <v>3</v>
      </c>
      <c r="I38" s="339">
        <v>3</v>
      </c>
      <c r="J38" s="352">
        <v>4.0381944444444446</v>
      </c>
      <c r="K38" s="351">
        <v>60</v>
      </c>
      <c r="L38" s="339">
        <v>22</v>
      </c>
      <c r="M38" s="339" t="s">
        <v>1353</v>
      </c>
      <c r="N38" s="339">
        <v>10</v>
      </c>
      <c r="O38" s="339" t="s">
        <v>1354</v>
      </c>
      <c r="P38" s="339">
        <v>4</v>
      </c>
      <c r="Q38" s="342"/>
      <c r="S38" s="339">
        <v>2</v>
      </c>
      <c r="T38" s="339" t="s">
        <v>1262</v>
      </c>
      <c r="U38" s="339">
        <v>26</v>
      </c>
      <c r="V38" s="339">
        <v>15</v>
      </c>
      <c r="W38" s="339">
        <v>6</v>
      </c>
      <c r="X38" s="339">
        <v>1</v>
      </c>
      <c r="Y38" s="339">
        <v>4</v>
      </c>
      <c r="Z38" s="352">
        <v>3.7479166666666668</v>
      </c>
      <c r="AA38" s="351">
        <v>58</v>
      </c>
      <c r="AB38" s="339">
        <v>31</v>
      </c>
      <c r="AC38" s="339" t="s">
        <v>1467</v>
      </c>
      <c r="AD38" s="339">
        <v>16</v>
      </c>
      <c r="AE38" s="339" t="s">
        <v>1468</v>
      </c>
      <c r="AF38" s="339">
        <v>1</v>
      </c>
      <c r="AI38" s="339">
        <v>2</v>
      </c>
      <c r="AJ38" s="339" t="s">
        <v>1266</v>
      </c>
      <c r="AK38" s="339">
        <v>26</v>
      </c>
      <c r="AL38" s="339">
        <v>13</v>
      </c>
      <c r="AM38" s="339">
        <v>7</v>
      </c>
      <c r="AN38" s="339">
        <v>2</v>
      </c>
      <c r="AO38" s="339">
        <v>4</v>
      </c>
      <c r="AP38" s="352">
        <v>3.6173611111111108</v>
      </c>
      <c r="AQ38" s="351">
        <v>55</v>
      </c>
      <c r="AR38" s="339">
        <v>19</v>
      </c>
      <c r="AS38" s="339" t="s">
        <v>1560</v>
      </c>
      <c r="AT38" s="339">
        <v>8</v>
      </c>
      <c r="AU38" s="339" t="s">
        <v>1561</v>
      </c>
      <c r="AV38" s="339">
        <v>4</v>
      </c>
      <c r="AY38" s="339">
        <v>2</v>
      </c>
      <c r="AZ38" s="339" t="s">
        <v>1262</v>
      </c>
      <c r="BA38" s="339">
        <v>26</v>
      </c>
      <c r="BB38" s="339">
        <v>19</v>
      </c>
      <c r="BC38" s="339">
        <v>4</v>
      </c>
      <c r="BD38" s="339">
        <v>1</v>
      </c>
      <c r="BE38" s="339">
        <v>2</v>
      </c>
      <c r="BF38" s="352">
        <v>4.2013888888888884</v>
      </c>
      <c r="BG38" s="351">
        <v>66</v>
      </c>
      <c r="BH38" s="339">
        <v>28</v>
      </c>
      <c r="BI38" s="339" t="s">
        <v>1672</v>
      </c>
      <c r="BJ38" s="339">
        <v>15</v>
      </c>
      <c r="BK38" s="339" t="s">
        <v>1673</v>
      </c>
      <c r="BL38" s="339">
        <v>4</v>
      </c>
      <c r="BO38" s="339">
        <v>2</v>
      </c>
      <c r="BP38" s="339" t="s">
        <v>1266</v>
      </c>
      <c r="BQ38" s="339">
        <v>26</v>
      </c>
      <c r="BR38" s="339">
        <v>18</v>
      </c>
      <c r="BS38" s="339">
        <v>1</v>
      </c>
      <c r="BT38" s="339">
        <v>1</v>
      </c>
      <c r="BU38" s="339">
        <v>6</v>
      </c>
      <c r="BV38" s="352">
        <v>3.9541666666666671</v>
      </c>
      <c r="BW38" s="351">
        <v>57</v>
      </c>
      <c r="BX38" s="339">
        <v>32</v>
      </c>
      <c r="BY38" s="339" t="s">
        <v>1758</v>
      </c>
      <c r="BZ38" s="339">
        <v>17</v>
      </c>
      <c r="CA38" s="339" t="s">
        <v>1759</v>
      </c>
      <c r="CB38" s="339">
        <v>8</v>
      </c>
      <c r="CE38" s="339">
        <v>2</v>
      </c>
      <c r="CF38" s="339" t="s">
        <v>1266</v>
      </c>
      <c r="CG38" s="339">
        <v>26</v>
      </c>
      <c r="CH38" s="339">
        <v>19</v>
      </c>
      <c r="CI38" s="339">
        <v>1</v>
      </c>
      <c r="CJ38" s="339">
        <v>0</v>
      </c>
      <c r="CK38" s="339">
        <v>6</v>
      </c>
      <c r="CL38" s="352">
        <v>3.8270833333333329</v>
      </c>
      <c r="CM38" s="351">
        <v>59</v>
      </c>
      <c r="CN38" s="339">
        <v>27</v>
      </c>
      <c r="CO38" s="339" t="s">
        <v>1851</v>
      </c>
      <c r="CP38" s="339">
        <v>14</v>
      </c>
      <c r="CQ38" s="339" t="s">
        <v>1852</v>
      </c>
      <c r="CR38" s="339">
        <v>4</v>
      </c>
      <c r="CU38" s="339">
        <v>2</v>
      </c>
      <c r="CV38" s="339" t="s">
        <v>1293</v>
      </c>
      <c r="CW38" s="339">
        <v>26</v>
      </c>
      <c r="CX38" s="339">
        <v>14</v>
      </c>
      <c r="CY38" s="339">
        <v>4</v>
      </c>
      <c r="CZ38" s="339">
        <v>2</v>
      </c>
      <c r="DA38" s="339">
        <v>6</v>
      </c>
      <c r="DB38" s="339" t="s">
        <v>1858</v>
      </c>
      <c r="DC38" s="351">
        <v>52</v>
      </c>
      <c r="DD38" s="339">
        <v>26</v>
      </c>
      <c r="DE38" s="339" t="s">
        <v>1367</v>
      </c>
      <c r="DF38" s="339">
        <v>16</v>
      </c>
      <c r="DG38" s="339" t="s">
        <v>1947</v>
      </c>
      <c r="DH38" s="339">
        <v>0</v>
      </c>
      <c r="DK38" s="339">
        <v>2</v>
      </c>
      <c r="DL38" s="339" t="s">
        <v>1297</v>
      </c>
      <c r="DM38" s="339">
        <v>26</v>
      </c>
      <c r="DN38" s="339">
        <v>13</v>
      </c>
      <c r="DO38" s="339">
        <v>5</v>
      </c>
      <c r="DP38" s="339">
        <v>7</v>
      </c>
      <c r="DQ38" s="339">
        <v>1</v>
      </c>
      <c r="DR38" s="352">
        <v>3.411805555555556</v>
      </c>
      <c r="DS38" s="351">
        <v>56</v>
      </c>
      <c r="DT38" s="339">
        <v>25</v>
      </c>
      <c r="DU38" s="339" t="s">
        <v>1564</v>
      </c>
      <c r="DV38" s="339">
        <v>7</v>
      </c>
      <c r="DW38" s="339" t="s">
        <v>2039</v>
      </c>
      <c r="DX38" s="339">
        <v>2</v>
      </c>
      <c r="EA38" s="339">
        <v>2</v>
      </c>
      <c r="EB38" s="339" t="s">
        <v>1266</v>
      </c>
      <c r="EC38" s="339">
        <v>26</v>
      </c>
      <c r="ED38" s="339">
        <v>16</v>
      </c>
      <c r="EE38" s="339">
        <v>4</v>
      </c>
      <c r="EF38" s="339">
        <v>2</v>
      </c>
      <c r="EG38" s="339">
        <v>4</v>
      </c>
      <c r="EH38" s="352">
        <v>4.3298611111111116</v>
      </c>
      <c r="EI38" s="351">
        <v>58</v>
      </c>
      <c r="EJ38" s="339">
        <v>28</v>
      </c>
      <c r="EK38" s="339" t="s">
        <v>1381</v>
      </c>
      <c r="EL38" s="339">
        <v>16</v>
      </c>
      <c r="EM38" s="339" t="s">
        <v>1568</v>
      </c>
      <c r="EN38" s="339">
        <v>3</v>
      </c>
      <c r="EQ38" s="339">
        <v>2</v>
      </c>
      <c r="ER38" s="339" t="s">
        <v>2068</v>
      </c>
      <c r="ES38" s="339">
        <v>26</v>
      </c>
      <c r="ET38" s="339">
        <v>18</v>
      </c>
      <c r="EU38" s="339">
        <v>0</v>
      </c>
      <c r="EV38" s="339">
        <v>3</v>
      </c>
      <c r="EW38" s="339">
        <v>5</v>
      </c>
      <c r="EX38" s="339" t="s">
        <v>2195</v>
      </c>
      <c r="EY38" s="351">
        <v>57</v>
      </c>
      <c r="EZ38" s="339">
        <v>29</v>
      </c>
      <c r="FA38" s="339" t="s">
        <v>1317</v>
      </c>
      <c r="FB38" s="339">
        <v>23</v>
      </c>
      <c r="FC38" s="339" t="s">
        <v>2196</v>
      </c>
      <c r="FD38" s="339">
        <v>5</v>
      </c>
      <c r="FG38" s="339">
        <v>2</v>
      </c>
      <c r="FH38" s="339" t="s">
        <v>1293</v>
      </c>
      <c r="FI38" s="339">
        <v>26</v>
      </c>
      <c r="FJ38" s="339">
        <v>17</v>
      </c>
      <c r="FK38" s="339">
        <v>4</v>
      </c>
      <c r="FL38" s="339">
        <v>1</v>
      </c>
      <c r="FM38" s="339">
        <v>4</v>
      </c>
      <c r="FN38" s="339" t="s">
        <v>2283</v>
      </c>
      <c r="FO38" s="351">
        <v>60</v>
      </c>
      <c r="FP38" s="339">
        <v>30</v>
      </c>
      <c r="FQ38" s="339" t="s">
        <v>2284</v>
      </c>
      <c r="FR38" s="339">
        <v>22</v>
      </c>
      <c r="FS38" s="339" t="s">
        <v>1780</v>
      </c>
      <c r="FT38" s="339">
        <v>5</v>
      </c>
      <c r="FW38" s="339">
        <v>2</v>
      </c>
      <c r="FX38" s="339" t="s">
        <v>1591</v>
      </c>
      <c r="FY38" s="339">
        <v>26</v>
      </c>
      <c r="FZ38" s="339">
        <v>17</v>
      </c>
      <c r="GA38" s="339">
        <v>2</v>
      </c>
      <c r="GB38" s="339">
        <v>2</v>
      </c>
      <c r="GC38" s="339">
        <v>5</v>
      </c>
      <c r="GD38" s="352">
        <v>4.5388888888888888</v>
      </c>
      <c r="GE38" s="351">
        <v>57</v>
      </c>
      <c r="GF38" s="339">
        <v>38</v>
      </c>
      <c r="GG38" s="366">
        <v>43609</v>
      </c>
      <c r="GH38" s="339">
        <v>22</v>
      </c>
      <c r="GI38" s="339" t="s">
        <v>2367</v>
      </c>
      <c r="GJ38" s="339">
        <v>6</v>
      </c>
      <c r="GM38" s="339">
        <v>2</v>
      </c>
      <c r="GN38" s="339" t="s">
        <v>1895</v>
      </c>
      <c r="GO38" s="339">
        <v>26</v>
      </c>
      <c r="GP38" s="339">
        <v>18</v>
      </c>
      <c r="GQ38" s="339">
        <v>5</v>
      </c>
      <c r="GR38" s="339">
        <v>1</v>
      </c>
      <c r="GS38" s="339">
        <v>2</v>
      </c>
      <c r="GT38" s="352">
        <v>3.870138888888889</v>
      </c>
      <c r="GU38" s="351">
        <v>65</v>
      </c>
      <c r="GV38" s="339">
        <v>39</v>
      </c>
      <c r="GW38" s="339" t="s">
        <v>2447</v>
      </c>
      <c r="GX38" s="339">
        <v>17</v>
      </c>
      <c r="GY38" s="339" t="s">
        <v>2448</v>
      </c>
      <c r="GZ38" s="339">
        <v>4</v>
      </c>
      <c r="HC38" s="339">
        <v>2</v>
      </c>
      <c r="HD38" s="339" t="s">
        <v>1591</v>
      </c>
      <c r="HE38" s="339">
        <v>26</v>
      </c>
      <c r="HF38" s="339">
        <v>20</v>
      </c>
      <c r="HG38" s="339">
        <v>0</v>
      </c>
      <c r="HH38" s="339">
        <v>2</v>
      </c>
      <c r="HI38" s="339">
        <v>1</v>
      </c>
      <c r="HJ38" s="339">
        <v>3</v>
      </c>
      <c r="HK38" s="352">
        <v>3.8222222222222224</v>
      </c>
      <c r="HL38" s="351">
        <v>63</v>
      </c>
      <c r="HM38" s="339">
        <v>33</v>
      </c>
      <c r="HN38" s="339" t="s">
        <v>2201</v>
      </c>
      <c r="HO38" s="339">
        <v>14</v>
      </c>
      <c r="HP38" s="339" t="s">
        <v>2526</v>
      </c>
      <c r="HQ38" s="339">
        <v>1</v>
      </c>
      <c r="HT38" s="339">
        <v>2</v>
      </c>
      <c r="HU38" s="339" t="s">
        <v>1262</v>
      </c>
      <c r="HV38" s="339">
        <v>26</v>
      </c>
      <c r="HW38" s="339">
        <v>16</v>
      </c>
      <c r="HX38" s="339">
        <v>5</v>
      </c>
      <c r="HY38" s="339">
        <v>1</v>
      </c>
      <c r="HZ38" s="339">
        <v>1</v>
      </c>
      <c r="IA38" s="339">
        <v>3</v>
      </c>
      <c r="IB38" s="352">
        <v>3.3680555555555554</v>
      </c>
      <c r="IC38" s="351">
        <v>60</v>
      </c>
      <c r="ID38" s="339">
        <v>14</v>
      </c>
      <c r="IE38" s="367">
        <v>35735</v>
      </c>
      <c r="IF38" s="339">
        <v>15</v>
      </c>
      <c r="IG38" s="339" t="s">
        <v>1633</v>
      </c>
      <c r="IH38" s="339">
        <v>2</v>
      </c>
      <c r="IK38" s="339">
        <v>2</v>
      </c>
      <c r="IL38" s="339" t="s">
        <v>1293</v>
      </c>
      <c r="IM38" s="339">
        <v>26</v>
      </c>
      <c r="IN38" s="339">
        <v>18</v>
      </c>
      <c r="IO38" s="339">
        <v>1</v>
      </c>
      <c r="IP38" s="339">
        <v>2</v>
      </c>
      <c r="IQ38" s="339">
        <v>3</v>
      </c>
      <c r="IR38" s="339">
        <v>2</v>
      </c>
      <c r="IS38" s="352">
        <v>3.9</v>
      </c>
      <c r="IT38" s="351">
        <v>61</v>
      </c>
      <c r="IU38" s="339">
        <v>33</v>
      </c>
      <c r="IV38" s="339" t="s">
        <v>2670</v>
      </c>
      <c r="IW38" s="339">
        <v>7</v>
      </c>
      <c r="IX38" s="339" t="s">
        <v>2671</v>
      </c>
      <c r="IY38" s="339">
        <v>2</v>
      </c>
      <c r="JB38" s="339">
        <v>2</v>
      </c>
      <c r="JC38" s="339" t="s">
        <v>1266</v>
      </c>
      <c r="JD38" s="339">
        <v>26</v>
      </c>
      <c r="JE38" s="339">
        <v>18</v>
      </c>
      <c r="JF38" s="339">
        <v>2</v>
      </c>
      <c r="JG38" s="339">
        <v>1</v>
      </c>
      <c r="JH38" s="339">
        <v>0</v>
      </c>
      <c r="JI38" s="339">
        <v>5</v>
      </c>
      <c r="JJ38" s="339" t="s">
        <v>2739</v>
      </c>
      <c r="JK38" s="351">
        <v>59</v>
      </c>
      <c r="JL38" s="339">
        <v>28</v>
      </c>
      <c r="JM38" s="339" t="s">
        <v>1672</v>
      </c>
      <c r="JN38" s="339">
        <v>14</v>
      </c>
      <c r="JO38" s="339" t="s">
        <v>1331</v>
      </c>
      <c r="JP38" s="339">
        <v>3</v>
      </c>
      <c r="JS38" s="339">
        <v>2</v>
      </c>
      <c r="JT38" s="339" t="s">
        <v>1311</v>
      </c>
      <c r="JU38" s="339">
        <v>26</v>
      </c>
      <c r="JV38" s="339">
        <v>16</v>
      </c>
      <c r="JW38" s="339">
        <v>0</v>
      </c>
      <c r="JX38" s="339">
        <v>5</v>
      </c>
      <c r="JY38" s="339">
        <v>2</v>
      </c>
      <c r="JZ38" s="339">
        <v>3</v>
      </c>
      <c r="KA38" s="352">
        <v>3.9555555555555557</v>
      </c>
      <c r="KB38" s="351">
        <v>55</v>
      </c>
      <c r="KC38" s="339">
        <v>0</v>
      </c>
      <c r="KD38" s="339" t="s">
        <v>78</v>
      </c>
      <c r="KE38" s="339">
        <v>0</v>
      </c>
      <c r="KF38" s="339" t="s">
        <v>2757</v>
      </c>
      <c r="KG38" s="339">
        <v>0</v>
      </c>
      <c r="KJ38" s="339">
        <v>2</v>
      </c>
      <c r="KK38" s="339" t="s">
        <v>1266</v>
      </c>
      <c r="KL38" s="339">
        <v>26</v>
      </c>
      <c r="KM38" s="339">
        <v>16</v>
      </c>
      <c r="KN38" s="339">
        <v>2</v>
      </c>
      <c r="KO38" s="339">
        <v>3</v>
      </c>
      <c r="KP38" s="339">
        <v>1</v>
      </c>
      <c r="KQ38" s="339">
        <v>4</v>
      </c>
      <c r="KR38" s="352">
        <v>4.2076388888888889</v>
      </c>
      <c r="KS38" s="351">
        <v>56</v>
      </c>
      <c r="KT38" s="339">
        <v>0</v>
      </c>
      <c r="KU38" s="339" t="s">
        <v>78</v>
      </c>
      <c r="KV38" s="339">
        <v>0</v>
      </c>
      <c r="KW38" s="339" t="s">
        <v>2757</v>
      </c>
      <c r="KX38" s="339">
        <v>0</v>
      </c>
      <c r="LA38" s="339">
        <v>2</v>
      </c>
      <c r="LB38" s="339" t="s">
        <v>1297</v>
      </c>
      <c r="LC38" s="339">
        <v>26</v>
      </c>
      <c r="LD38" s="339">
        <v>21</v>
      </c>
      <c r="LE38" s="339">
        <v>0</v>
      </c>
      <c r="LF38" s="339">
        <v>3</v>
      </c>
      <c r="LG38" s="339">
        <v>0</v>
      </c>
      <c r="LH38" s="339">
        <v>2</v>
      </c>
      <c r="LI38" s="352">
        <v>4.2784722222222227</v>
      </c>
      <c r="LJ38" s="351">
        <v>45</v>
      </c>
      <c r="LK38" s="339">
        <v>0</v>
      </c>
      <c r="LL38" s="339" t="s">
        <v>78</v>
      </c>
      <c r="LM38" s="339">
        <v>0</v>
      </c>
      <c r="LN38" s="339" t="s">
        <v>2757</v>
      </c>
      <c r="LO38" s="339">
        <v>0</v>
      </c>
      <c r="LR38" s="339">
        <v>2</v>
      </c>
      <c r="LS38" s="339" t="s">
        <v>2418</v>
      </c>
      <c r="LT38" s="339">
        <v>26</v>
      </c>
      <c r="LU38" s="339">
        <v>19</v>
      </c>
      <c r="LV38" s="339">
        <v>0</v>
      </c>
      <c r="LW38" s="339">
        <v>4</v>
      </c>
      <c r="LX38" s="339">
        <v>0</v>
      </c>
      <c r="LY38" s="339">
        <v>3</v>
      </c>
      <c r="LZ38" s="352">
        <v>4.3208333333333337</v>
      </c>
      <c r="MA38" s="351">
        <v>42</v>
      </c>
      <c r="MB38" s="339">
        <v>18</v>
      </c>
      <c r="MC38" s="339" t="s">
        <v>1686</v>
      </c>
      <c r="MD38" s="339">
        <v>5</v>
      </c>
      <c r="ME38" s="339" t="s">
        <v>2907</v>
      </c>
      <c r="MF38" s="339">
        <v>4</v>
      </c>
    </row>
    <row r="39" spans="2:344" ht="42" thickBot="1" x14ac:dyDescent="0.35">
      <c r="B39" s="339">
        <v>3</v>
      </c>
      <c r="C39" s="339" t="s">
        <v>1274</v>
      </c>
      <c r="D39" s="339">
        <v>26</v>
      </c>
      <c r="E39" s="339">
        <v>17</v>
      </c>
      <c r="F39" s="339">
        <v>2</v>
      </c>
      <c r="G39" s="339"/>
      <c r="H39" s="339">
        <v>2</v>
      </c>
      <c r="I39" s="339">
        <v>5</v>
      </c>
      <c r="J39" s="352">
        <v>3.3263888888888888</v>
      </c>
      <c r="K39" s="351">
        <v>57</v>
      </c>
      <c r="L39" s="339">
        <v>18</v>
      </c>
      <c r="M39" s="339" t="s">
        <v>1355</v>
      </c>
      <c r="N39" s="339">
        <v>10</v>
      </c>
      <c r="O39" s="339" t="s">
        <v>1356</v>
      </c>
      <c r="P39" s="339">
        <v>1</v>
      </c>
      <c r="Q39" s="342"/>
      <c r="S39" s="339">
        <v>3</v>
      </c>
      <c r="T39" s="339" t="s">
        <v>1274</v>
      </c>
      <c r="U39" s="339">
        <v>26</v>
      </c>
      <c r="V39" s="339">
        <v>16</v>
      </c>
      <c r="W39" s="339">
        <v>3</v>
      </c>
      <c r="X39" s="339">
        <v>2</v>
      </c>
      <c r="Y39" s="339">
        <v>5</v>
      </c>
      <c r="Z39" s="352">
        <v>3.6999999999999997</v>
      </c>
      <c r="AA39" s="351">
        <v>56</v>
      </c>
      <c r="AB39" s="339">
        <v>29</v>
      </c>
      <c r="AC39" s="339" t="s">
        <v>1469</v>
      </c>
      <c r="AD39" s="339">
        <v>11</v>
      </c>
      <c r="AE39" s="339" t="s">
        <v>1470</v>
      </c>
      <c r="AF39" s="339">
        <v>3</v>
      </c>
      <c r="AI39" s="339">
        <v>3</v>
      </c>
      <c r="AJ39" s="339" t="s">
        <v>1262</v>
      </c>
      <c r="AK39" s="339">
        <v>26</v>
      </c>
      <c r="AL39" s="339">
        <v>17</v>
      </c>
      <c r="AM39" s="339">
        <v>2</v>
      </c>
      <c r="AN39" s="339">
        <v>0</v>
      </c>
      <c r="AO39" s="339">
        <v>7</v>
      </c>
      <c r="AP39" s="352">
        <v>2.78125</v>
      </c>
      <c r="AQ39" s="351">
        <v>55</v>
      </c>
      <c r="AR39" s="339">
        <v>15</v>
      </c>
      <c r="AS39" s="339" t="s">
        <v>1562</v>
      </c>
      <c r="AT39" s="339">
        <v>14</v>
      </c>
      <c r="AU39" s="339" t="s">
        <v>1388</v>
      </c>
      <c r="AV39" s="339">
        <v>2</v>
      </c>
      <c r="AY39" s="339">
        <v>3</v>
      </c>
      <c r="AZ39" s="339" t="s">
        <v>1307</v>
      </c>
      <c r="BA39" s="339">
        <v>26</v>
      </c>
      <c r="BB39" s="339">
        <v>16</v>
      </c>
      <c r="BC39" s="339">
        <v>3</v>
      </c>
      <c r="BD39" s="339">
        <v>2</v>
      </c>
      <c r="BE39" s="339">
        <v>5</v>
      </c>
      <c r="BF39" s="352">
        <v>3.2888888888888892</v>
      </c>
      <c r="BG39" s="351">
        <v>56</v>
      </c>
      <c r="BH39" s="339">
        <v>16</v>
      </c>
      <c r="BI39" s="367">
        <v>34639</v>
      </c>
      <c r="BJ39" s="339">
        <v>14</v>
      </c>
      <c r="BK39" s="339" t="s">
        <v>1392</v>
      </c>
      <c r="BL39" s="339">
        <v>1</v>
      </c>
      <c r="BO39" s="339">
        <v>3</v>
      </c>
      <c r="BP39" s="339" t="s">
        <v>1274</v>
      </c>
      <c r="BQ39" s="339">
        <v>26</v>
      </c>
      <c r="BR39" s="339">
        <v>17</v>
      </c>
      <c r="BS39" s="339">
        <v>2</v>
      </c>
      <c r="BT39" s="339">
        <v>1</v>
      </c>
      <c r="BU39" s="339">
        <v>6</v>
      </c>
      <c r="BV39" s="339" t="s">
        <v>1473</v>
      </c>
      <c r="BW39" s="351">
        <v>56</v>
      </c>
      <c r="BX39" s="339">
        <v>22</v>
      </c>
      <c r="BY39" s="366">
        <v>43632</v>
      </c>
      <c r="BZ39" s="339">
        <v>18</v>
      </c>
      <c r="CA39" s="339" t="s">
        <v>1760</v>
      </c>
      <c r="CB39" s="339">
        <v>2</v>
      </c>
      <c r="CE39" s="339">
        <v>3</v>
      </c>
      <c r="CF39" s="339" t="s">
        <v>1270</v>
      </c>
      <c r="CG39" s="339">
        <v>26</v>
      </c>
      <c r="CH39" s="339">
        <v>17</v>
      </c>
      <c r="CI39" s="339">
        <v>3</v>
      </c>
      <c r="CJ39" s="339">
        <v>2</v>
      </c>
      <c r="CK39" s="339">
        <v>4</v>
      </c>
      <c r="CL39" s="352">
        <v>3.4527777777777775</v>
      </c>
      <c r="CM39" s="351">
        <v>59</v>
      </c>
      <c r="CN39" s="339">
        <v>32</v>
      </c>
      <c r="CO39" s="339" t="s">
        <v>1428</v>
      </c>
      <c r="CP39" s="339">
        <v>12</v>
      </c>
      <c r="CQ39" s="339" t="s">
        <v>1853</v>
      </c>
      <c r="CR39" s="339">
        <v>3</v>
      </c>
      <c r="CU39" s="339">
        <v>3</v>
      </c>
      <c r="CV39" s="339" t="s">
        <v>80</v>
      </c>
      <c r="CW39" s="339">
        <v>26</v>
      </c>
      <c r="CX39" s="339">
        <v>12</v>
      </c>
      <c r="CY39" s="339">
        <v>6</v>
      </c>
      <c r="CZ39" s="339">
        <v>2</v>
      </c>
      <c r="DA39" s="339">
        <v>6</v>
      </c>
      <c r="DB39" s="339" t="s">
        <v>1948</v>
      </c>
      <c r="DC39" s="351">
        <v>50</v>
      </c>
      <c r="DD39" s="339">
        <v>31</v>
      </c>
      <c r="DE39" s="339" t="s">
        <v>1949</v>
      </c>
      <c r="DF39" s="339">
        <v>17</v>
      </c>
      <c r="DG39" s="339" t="s">
        <v>1950</v>
      </c>
      <c r="DH39" s="339">
        <v>2</v>
      </c>
      <c r="DK39" s="339">
        <v>3</v>
      </c>
      <c r="DL39" s="339" t="s">
        <v>1286</v>
      </c>
      <c r="DM39" s="339">
        <v>26</v>
      </c>
      <c r="DN39" s="339">
        <v>15</v>
      </c>
      <c r="DO39" s="339">
        <v>3</v>
      </c>
      <c r="DP39" s="339">
        <v>1</v>
      </c>
      <c r="DQ39" s="339">
        <v>7</v>
      </c>
      <c r="DR39" s="339" t="s">
        <v>2040</v>
      </c>
      <c r="DS39" s="351">
        <v>52</v>
      </c>
      <c r="DT39" s="339">
        <v>25</v>
      </c>
      <c r="DU39" s="339" t="s">
        <v>1859</v>
      </c>
      <c r="DV39" s="339">
        <v>14</v>
      </c>
      <c r="DW39" s="339" t="s">
        <v>2041</v>
      </c>
      <c r="DX39" s="339">
        <v>2</v>
      </c>
      <c r="EA39" s="339">
        <v>3</v>
      </c>
      <c r="EB39" s="339" t="s">
        <v>1895</v>
      </c>
      <c r="EC39" s="339">
        <v>26</v>
      </c>
      <c r="ED39" s="339">
        <v>16</v>
      </c>
      <c r="EE39" s="339">
        <v>4</v>
      </c>
      <c r="EF39" s="339">
        <v>2</v>
      </c>
      <c r="EG39" s="339">
        <v>4</v>
      </c>
      <c r="EH39" s="352">
        <v>4.1215277777777777</v>
      </c>
      <c r="EI39" s="351">
        <v>58</v>
      </c>
      <c r="EJ39" s="339">
        <v>26</v>
      </c>
      <c r="EK39" s="339" t="s">
        <v>1708</v>
      </c>
      <c r="EL39" s="339">
        <v>20</v>
      </c>
      <c r="EM39" s="339" t="s">
        <v>1753</v>
      </c>
      <c r="EN39" s="339">
        <v>2</v>
      </c>
      <c r="EQ39" s="339">
        <v>3</v>
      </c>
      <c r="ER39" s="339" t="s">
        <v>1293</v>
      </c>
      <c r="ES39" s="339">
        <v>26</v>
      </c>
      <c r="ET39" s="339">
        <v>14</v>
      </c>
      <c r="EU39" s="339">
        <v>4</v>
      </c>
      <c r="EV39" s="339">
        <v>2</v>
      </c>
      <c r="EW39" s="339">
        <v>6</v>
      </c>
      <c r="EX39" s="352">
        <v>3.2076388888888889</v>
      </c>
      <c r="EY39" s="351">
        <v>52</v>
      </c>
      <c r="EZ39" s="339">
        <v>28</v>
      </c>
      <c r="FA39" s="339" t="s">
        <v>1766</v>
      </c>
      <c r="FB39" s="339">
        <v>23</v>
      </c>
      <c r="FC39" s="339" t="s">
        <v>1578</v>
      </c>
      <c r="FD39" s="339">
        <v>2</v>
      </c>
      <c r="FG39" s="339">
        <v>3</v>
      </c>
      <c r="FH39" s="339" t="s">
        <v>1591</v>
      </c>
      <c r="FI39" s="339">
        <v>26</v>
      </c>
      <c r="FJ39" s="339">
        <v>14</v>
      </c>
      <c r="FK39" s="339">
        <v>5</v>
      </c>
      <c r="FL39" s="339">
        <v>2</v>
      </c>
      <c r="FM39" s="339">
        <v>5</v>
      </c>
      <c r="FN39" s="339" t="s">
        <v>2285</v>
      </c>
      <c r="FO39" s="351">
        <v>54</v>
      </c>
      <c r="FP39" s="339">
        <v>32</v>
      </c>
      <c r="FQ39" s="339" t="s">
        <v>2286</v>
      </c>
      <c r="FR39" s="339">
        <v>18</v>
      </c>
      <c r="FS39" s="339" t="s">
        <v>1612</v>
      </c>
      <c r="FT39" s="339">
        <v>3</v>
      </c>
      <c r="FW39" s="339">
        <v>3</v>
      </c>
      <c r="FX39" s="339" t="s">
        <v>2227</v>
      </c>
      <c r="FY39" s="339">
        <v>26</v>
      </c>
      <c r="FZ39" s="339">
        <v>15</v>
      </c>
      <c r="GA39" s="339">
        <v>4</v>
      </c>
      <c r="GB39" s="339">
        <v>4</v>
      </c>
      <c r="GC39" s="339">
        <v>3</v>
      </c>
      <c r="GD39" s="352">
        <v>3.6631944444444446</v>
      </c>
      <c r="GE39" s="351">
        <v>57</v>
      </c>
      <c r="GF39" s="339">
        <v>38</v>
      </c>
      <c r="GG39" s="339" t="s">
        <v>217</v>
      </c>
      <c r="GH39" s="339">
        <v>13</v>
      </c>
      <c r="GI39" s="339" t="s">
        <v>2368</v>
      </c>
      <c r="GJ39" s="339">
        <v>3</v>
      </c>
      <c r="GM39" s="339">
        <v>3</v>
      </c>
      <c r="GN39" s="339" t="s">
        <v>1297</v>
      </c>
      <c r="GO39" s="339">
        <v>26</v>
      </c>
      <c r="GP39" s="339">
        <v>18</v>
      </c>
      <c r="GQ39" s="339">
        <v>0</v>
      </c>
      <c r="GR39" s="339">
        <v>4</v>
      </c>
      <c r="GS39" s="339">
        <v>4</v>
      </c>
      <c r="GT39" s="339" t="s">
        <v>2449</v>
      </c>
      <c r="GU39" s="351">
        <v>58</v>
      </c>
      <c r="GV39" s="339">
        <v>39</v>
      </c>
      <c r="GW39" s="339" t="s">
        <v>2450</v>
      </c>
      <c r="GX39" s="339">
        <v>23</v>
      </c>
      <c r="GY39" s="339" t="s">
        <v>2321</v>
      </c>
      <c r="GZ39" s="339">
        <v>1</v>
      </c>
      <c r="HC39" s="339">
        <v>3</v>
      </c>
      <c r="HD39" s="339" t="s">
        <v>1293</v>
      </c>
      <c r="HE39" s="339">
        <v>26</v>
      </c>
      <c r="HF39" s="339">
        <v>17</v>
      </c>
      <c r="HG39" s="339">
        <v>2</v>
      </c>
      <c r="HH39" s="339">
        <v>2</v>
      </c>
      <c r="HI39" s="339">
        <v>1</v>
      </c>
      <c r="HJ39" s="339">
        <v>4</v>
      </c>
      <c r="HK39" s="352">
        <v>3.1520833333333336</v>
      </c>
      <c r="HL39" s="351">
        <v>58</v>
      </c>
      <c r="HM39" s="339">
        <v>22</v>
      </c>
      <c r="HN39" s="339" t="s">
        <v>1554</v>
      </c>
      <c r="HO39" s="339">
        <v>11</v>
      </c>
      <c r="HP39" s="339" t="s">
        <v>2527</v>
      </c>
      <c r="HQ39" s="339">
        <v>5</v>
      </c>
      <c r="HT39" s="339">
        <v>3</v>
      </c>
      <c r="HU39" s="339" t="s">
        <v>2224</v>
      </c>
      <c r="HV39" s="339">
        <v>26</v>
      </c>
      <c r="HW39" s="339">
        <v>18</v>
      </c>
      <c r="HX39" s="339">
        <v>1</v>
      </c>
      <c r="HY39" s="339">
        <v>1</v>
      </c>
      <c r="HZ39" s="339">
        <v>2</v>
      </c>
      <c r="IA39" s="339">
        <v>4</v>
      </c>
      <c r="IB39" s="352">
        <v>4.0388888888888888</v>
      </c>
      <c r="IC39" s="351">
        <v>59</v>
      </c>
      <c r="ID39" s="339">
        <v>38</v>
      </c>
      <c r="IE39" s="339" t="s">
        <v>2595</v>
      </c>
      <c r="IF39" s="339">
        <v>19</v>
      </c>
      <c r="IG39" s="339" t="s">
        <v>2596</v>
      </c>
      <c r="IH39" s="339">
        <v>1</v>
      </c>
      <c r="IK39" s="339">
        <v>3</v>
      </c>
      <c r="IL39" s="339" t="s">
        <v>1591</v>
      </c>
      <c r="IM39" s="339">
        <v>26</v>
      </c>
      <c r="IN39" s="339">
        <v>16</v>
      </c>
      <c r="IO39" s="339">
        <v>2</v>
      </c>
      <c r="IP39" s="339">
        <v>2</v>
      </c>
      <c r="IQ39" s="339">
        <v>2</v>
      </c>
      <c r="IR39" s="339">
        <v>4</v>
      </c>
      <c r="IS39" s="339" t="s">
        <v>2672</v>
      </c>
      <c r="IT39" s="351">
        <v>56</v>
      </c>
      <c r="IU39" s="339">
        <v>27</v>
      </c>
      <c r="IV39" s="339" t="s">
        <v>1730</v>
      </c>
      <c r="IW39" s="339">
        <v>19</v>
      </c>
      <c r="IX39" s="339" t="s">
        <v>1300</v>
      </c>
      <c r="IY39" s="339">
        <v>1</v>
      </c>
      <c r="JB39" s="339">
        <v>3</v>
      </c>
      <c r="JC39" s="339" t="s">
        <v>1591</v>
      </c>
      <c r="JD39" s="339">
        <v>26</v>
      </c>
      <c r="JE39" s="339">
        <v>15</v>
      </c>
      <c r="JF39" s="339">
        <v>4</v>
      </c>
      <c r="JG39" s="339">
        <v>3</v>
      </c>
      <c r="JH39" s="339">
        <v>1</v>
      </c>
      <c r="JI39" s="339">
        <v>3</v>
      </c>
      <c r="JJ39" s="352">
        <v>3.2333333333333329</v>
      </c>
      <c r="JK39" s="351">
        <v>57</v>
      </c>
      <c r="JL39" s="339">
        <v>24</v>
      </c>
      <c r="JM39" s="339" t="s">
        <v>1474</v>
      </c>
      <c r="JN39" s="339">
        <v>11</v>
      </c>
      <c r="JO39" s="339" t="s">
        <v>1574</v>
      </c>
      <c r="JP39" s="339">
        <v>2</v>
      </c>
      <c r="JS39" s="339">
        <v>3</v>
      </c>
      <c r="JT39" s="339" t="s">
        <v>2249</v>
      </c>
      <c r="JU39" s="339">
        <v>26</v>
      </c>
      <c r="JV39" s="339">
        <v>16</v>
      </c>
      <c r="JW39" s="339">
        <v>2</v>
      </c>
      <c r="JX39" s="339">
        <v>2</v>
      </c>
      <c r="JY39" s="339">
        <v>1</v>
      </c>
      <c r="JZ39" s="339">
        <v>5</v>
      </c>
      <c r="KA39" s="352">
        <v>3.5826388888888889</v>
      </c>
      <c r="KB39" s="351">
        <v>55</v>
      </c>
      <c r="KC39" s="339">
        <v>0</v>
      </c>
      <c r="KD39" s="339" t="s">
        <v>78</v>
      </c>
      <c r="KE39" s="339">
        <v>0</v>
      </c>
      <c r="KF39" s="339" t="s">
        <v>2757</v>
      </c>
      <c r="KG39" s="339">
        <v>0</v>
      </c>
      <c r="KJ39" s="339">
        <v>3</v>
      </c>
      <c r="KK39" s="339" t="s">
        <v>1293</v>
      </c>
      <c r="KL39" s="339">
        <v>26</v>
      </c>
      <c r="KM39" s="339">
        <v>18</v>
      </c>
      <c r="KN39" s="339">
        <v>0</v>
      </c>
      <c r="KO39" s="339">
        <v>2</v>
      </c>
      <c r="KP39" s="339">
        <v>0</v>
      </c>
      <c r="KQ39" s="339">
        <v>6</v>
      </c>
      <c r="KR39" s="352">
        <v>3.9131944444444446</v>
      </c>
      <c r="KS39" s="351">
        <v>56</v>
      </c>
      <c r="KT39" s="339">
        <v>0</v>
      </c>
      <c r="KU39" s="339" t="s">
        <v>78</v>
      </c>
      <c r="KV39" s="339">
        <v>0</v>
      </c>
      <c r="KW39" s="339" t="s">
        <v>2757</v>
      </c>
      <c r="KX39" s="339">
        <v>0</v>
      </c>
      <c r="LA39" s="339">
        <v>3</v>
      </c>
      <c r="LB39" s="339" t="s">
        <v>2490</v>
      </c>
      <c r="LC39" s="339">
        <v>26</v>
      </c>
      <c r="LD39" s="339">
        <v>19</v>
      </c>
      <c r="LE39" s="339">
        <v>0</v>
      </c>
      <c r="LF39" s="339">
        <v>7</v>
      </c>
      <c r="LG39" s="339">
        <v>0</v>
      </c>
      <c r="LH39" s="339">
        <v>0</v>
      </c>
      <c r="LI39" s="339" t="s">
        <v>2853</v>
      </c>
      <c r="LJ39" s="351">
        <v>45</v>
      </c>
      <c r="LK39" s="339">
        <v>0</v>
      </c>
      <c r="LL39" s="339" t="s">
        <v>78</v>
      </c>
      <c r="LM39" s="339">
        <v>0</v>
      </c>
      <c r="LN39" s="339" t="s">
        <v>2757</v>
      </c>
      <c r="LO39" s="339">
        <v>0</v>
      </c>
      <c r="LR39" s="339">
        <v>3</v>
      </c>
      <c r="LS39" s="339" t="s">
        <v>1266</v>
      </c>
      <c r="LT39" s="339">
        <v>26</v>
      </c>
      <c r="LU39" s="339">
        <v>18</v>
      </c>
      <c r="LV39" s="339">
        <v>0</v>
      </c>
      <c r="LW39" s="339">
        <v>2</v>
      </c>
      <c r="LX39" s="339">
        <v>0</v>
      </c>
      <c r="LY39" s="339">
        <v>6</v>
      </c>
      <c r="LZ39" s="339" t="s">
        <v>2908</v>
      </c>
      <c r="MA39" s="351">
        <v>38</v>
      </c>
      <c r="MB39" s="339">
        <v>27</v>
      </c>
      <c r="MC39" s="339" t="s">
        <v>2909</v>
      </c>
      <c r="MD39" s="339">
        <v>16</v>
      </c>
      <c r="ME39" s="339" t="s">
        <v>1466</v>
      </c>
      <c r="MF39" s="339">
        <v>4</v>
      </c>
    </row>
    <row r="40" spans="2:344" ht="42" thickBot="1" x14ac:dyDescent="0.35">
      <c r="B40" s="339">
        <v>4</v>
      </c>
      <c r="C40" s="339" t="s">
        <v>1266</v>
      </c>
      <c r="D40" s="339">
        <v>26</v>
      </c>
      <c r="E40" s="339">
        <v>15</v>
      </c>
      <c r="F40" s="339">
        <v>2</v>
      </c>
      <c r="G40" s="339"/>
      <c r="H40" s="339">
        <v>3</v>
      </c>
      <c r="I40" s="339">
        <v>6</v>
      </c>
      <c r="J40" s="339" t="s">
        <v>1357</v>
      </c>
      <c r="K40" s="351">
        <v>52</v>
      </c>
      <c r="L40" s="339">
        <v>24</v>
      </c>
      <c r="M40" s="339" t="s">
        <v>1358</v>
      </c>
      <c r="N40" s="339">
        <v>14</v>
      </c>
      <c r="O40" s="339" t="s">
        <v>1359</v>
      </c>
      <c r="P40" s="339">
        <v>2</v>
      </c>
      <c r="Q40" s="342"/>
      <c r="S40" s="339">
        <v>4</v>
      </c>
      <c r="T40" s="339" t="s">
        <v>1286</v>
      </c>
      <c r="U40" s="339">
        <v>26</v>
      </c>
      <c r="V40" s="339">
        <v>15</v>
      </c>
      <c r="W40" s="339">
        <v>2</v>
      </c>
      <c r="X40" s="339">
        <v>2</v>
      </c>
      <c r="Y40" s="339">
        <v>7</v>
      </c>
      <c r="Z40" s="352">
        <v>3.8298611111111112</v>
      </c>
      <c r="AA40" s="351">
        <v>51</v>
      </c>
      <c r="AB40" s="339">
        <v>22</v>
      </c>
      <c r="AC40" s="339" t="s">
        <v>1471</v>
      </c>
      <c r="AD40" s="339">
        <v>15</v>
      </c>
      <c r="AE40" s="339" t="s">
        <v>1405</v>
      </c>
      <c r="AF40" s="339">
        <v>5</v>
      </c>
      <c r="AI40" s="339">
        <v>4</v>
      </c>
      <c r="AJ40" s="339" t="s">
        <v>1274</v>
      </c>
      <c r="AK40" s="339">
        <v>26</v>
      </c>
      <c r="AL40" s="339">
        <v>15</v>
      </c>
      <c r="AM40" s="339">
        <v>3</v>
      </c>
      <c r="AN40" s="339">
        <v>2</v>
      </c>
      <c r="AO40" s="339">
        <v>6</v>
      </c>
      <c r="AP40" s="352">
        <v>3.7041666666666671</v>
      </c>
      <c r="AQ40" s="351">
        <v>53</v>
      </c>
      <c r="AR40" s="339">
        <v>25</v>
      </c>
      <c r="AS40" s="339" t="s">
        <v>1563</v>
      </c>
      <c r="AT40" s="339">
        <v>16</v>
      </c>
      <c r="AU40" s="339" t="s">
        <v>1464</v>
      </c>
      <c r="AV40" s="339">
        <v>2</v>
      </c>
      <c r="AY40" s="339">
        <v>4</v>
      </c>
      <c r="AZ40" s="339" t="s">
        <v>1274</v>
      </c>
      <c r="BA40" s="339">
        <v>26</v>
      </c>
      <c r="BB40" s="339">
        <v>16</v>
      </c>
      <c r="BC40" s="339">
        <v>1</v>
      </c>
      <c r="BD40" s="339">
        <v>5</v>
      </c>
      <c r="BE40" s="339">
        <v>4</v>
      </c>
      <c r="BF40" s="339" t="s">
        <v>1674</v>
      </c>
      <c r="BG40" s="351">
        <v>55</v>
      </c>
      <c r="BH40" s="339">
        <v>24</v>
      </c>
      <c r="BI40" s="339" t="s">
        <v>1272</v>
      </c>
      <c r="BJ40" s="339">
        <v>11</v>
      </c>
      <c r="BK40" s="339" t="s">
        <v>1675</v>
      </c>
      <c r="BL40" s="339">
        <v>1</v>
      </c>
      <c r="BO40" s="339">
        <v>4</v>
      </c>
      <c r="BP40" s="339" t="s">
        <v>1278</v>
      </c>
      <c r="BQ40" s="339">
        <v>26</v>
      </c>
      <c r="BR40" s="339">
        <v>17</v>
      </c>
      <c r="BS40" s="339">
        <v>0</v>
      </c>
      <c r="BT40" s="339">
        <v>3</v>
      </c>
      <c r="BU40" s="339">
        <v>6</v>
      </c>
      <c r="BV40" s="352">
        <v>3.2069444444444444</v>
      </c>
      <c r="BW40" s="351">
        <v>54</v>
      </c>
      <c r="BX40" s="339">
        <v>21</v>
      </c>
      <c r="BY40" s="339" t="s">
        <v>1761</v>
      </c>
      <c r="BZ40" s="339">
        <v>12</v>
      </c>
      <c r="CA40" s="339" t="s">
        <v>1762</v>
      </c>
      <c r="CB40" s="339">
        <v>1</v>
      </c>
      <c r="CE40" s="339">
        <v>4</v>
      </c>
      <c r="CF40" s="339" t="s">
        <v>1262</v>
      </c>
      <c r="CG40" s="339">
        <v>26</v>
      </c>
      <c r="CH40" s="339">
        <v>13</v>
      </c>
      <c r="CI40" s="339">
        <v>6</v>
      </c>
      <c r="CJ40" s="339">
        <v>1</v>
      </c>
      <c r="CK40" s="339">
        <v>6</v>
      </c>
      <c r="CL40" s="352">
        <v>3.2486111111111113</v>
      </c>
      <c r="CM40" s="351">
        <v>52</v>
      </c>
      <c r="CN40" s="339">
        <v>27</v>
      </c>
      <c r="CO40" s="339" t="s">
        <v>1854</v>
      </c>
      <c r="CP40" s="339">
        <v>15</v>
      </c>
      <c r="CQ40" s="339" t="s">
        <v>1855</v>
      </c>
      <c r="CR40" s="339">
        <v>4</v>
      </c>
      <c r="CU40" s="339">
        <v>4</v>
      </c>
      <c r="CV40" s="339" t="s">
        <v>1297</v>
      </c>
      <c r="CW40" s="339">
        <v>26</v>
      </c>
      <c r="CX40" s="339">
        <v>14</v>
      </c>
      <c r="CY40" s="339">
        <v>3</v>
      </c>
      <c r="CZ40" s="339">
        <v>2</v>
      </c>
      <c r="DA40" s="339">
        <v>7</v>
      </c>
      <c r="DB40" s="339" t="s">
        <v>1951</v>
      </c>
      <c r="DC40" s="351">
        <v>50</v>
      </c>
      <c r="DD40" s="339">
        <v>21</v>
      </c>
      <c r="DE40" s="339" t="s">
        <v>1870</v>
      </c>
      <c r="DF40" s="339">
        <v>18</v>
      </c>
      <c r="DG40" s="339" t="s">
        <v>1952</v>
      </c>
      <c r="DH40" s="339">
        <v>3</v>
      </c>
      <c r="DK40" s="339">
        <v>4</v>
      </c>
      <c r="DL40" s="339" t="s">
        <v>1895</v>
      </c>
      <c r="DM40" s="339">
        <v>26</v>
      </c>
      <c r="DN40" s="339">
        <v>15</v>
      </c>
      <c r="DO40" s="339">
        <v>3</v>
      </c>
      <c r="DP40" s="339">
        <v>1</v>
      </c>
      <c r="DQ40" s="339">
        <v>7</v>
      </c>
      <c r="DR40" s="339" t="s">
        <v>2042</v>
      </c>
      <c r="DS40" s="351">
        <v>52</v>
      </c>
      <c r="DT40" s="339">
        <v>18</v>
      </c>
      <c r="DU40" s="339" t="s">
        <v>1874</v>
      </c>
      <c r="DV40" s="339">
        <v>15</v>
      </c>
      <c r="DW40" s="339" t="s">
        <v>2043</v>
      </c>
      <c r="DX40" s="339">
        <v>3</v>
      </c>
      <c r="EA40" s="339">
        <v>4</v>
      </c>
      <c r="EB40" s="339" t="s">
        <v>1262</v>
      </c>
      <c r="EC40" s="339">
        <v>26</v>
      </c>
      <c r="ED40" s="339">
        <v>17</v>
      </c>
      <c r="EE40" s="339">
        <v>1</v>
      </c>
      <c r="EF40" s="339">
        <v>1</v>
      </c>
      <c r="EG40" s="339">
        <v>7</v>
      </c>
      <c r="EH40" s="339" t="s">
        <v>2117</v>
      </c>
      <c r="EI40" s="351">
        <v>54</v>
      </c>
      <c r="EJ40" s="339">
        <v>25</v>
      </c>
      <c r="EK40" s="366">
        <v>43816</v>
      </c>
      <c r="EL40" s="339">
        <v>20</v>
      </c>
      <c r="EM40" s="339" t="s">
        <v>2118</v>
      </c>
      <c r="EN40" s="339">
        <v>3</v>
      </c>
      <c r="EQ40" s="339">
        <v>4</v>
      </c>
      <c r="ER40" s="339" t="s">
        <v>1286</v>
      </c>
      <c r="ES40" s="339">
        <v>26</v>
      </c>
      <c r="ET40" s="339">
        <v>12</v>
      </c>
      <c r="EU40" s="339">
        <v>5</v>
      </c>
      <c r="EV40" s="339">
        <v>3</v>
      </c>
      <c r="EW40" s="339">
        <v>6</v>
      </c>
      <c r="EX40" s="352">
        <v>3.3305555555555557</v>
      </c>
      <c r="EY40" s="351">
        <v>49</v>
      </c>
      <c r="EZ40" s="339">
        <v>25</v>
      </c>
      <c r="FA40" s="339" t="s">
        <v>1459</v>
      </c>
      <c r="FB40" s="339">
        <v>17</v>
      </c>
      <c r="FC40" s="339" t="s">
        <v>2197</v>
      </c>
      <c r="FD40" s="339">
        <v>0</v>
      </c>
      <c r="FG40" s="339">
        <v>4</v>
      </c>
      <c r="FH40" s="339" t="s">
        <v>1297</v>
      </c>
      <c r="FI40" s="339">
        <v>26</v>
      </c>
      <c r="FJ40" s="339">
        <v>14</v>
      </c>
      <c r="FK40" s="339">
        <v>5</v>
      </c>
      <c r="FL40" s="339">
        <v>2</v>
      </c>
      <c r="FM40" s="339">
        <v>5</v>
      </c>
      <c r="FN40" s="339" t="s">
        <v>2287</v>
      </c>
      <c r="FO40" s="351">
        <v>54</v>
      </c>
      <c r="FP40" s="339">
        <v>37</v>
      </c>
      <c r="FQ40" s="339" t="s">
        <v>2288</v>
      </c>
      <c r="FR40" s="339">
        <v>22</v>
      </c>
      <c r="FS40" s="339" t="s">
        <v>1334</v>
      </c>
      <c r="FT40" s="339">
        <v>1</v>
      </c>
      <c r="FW40" s="339">
        <v>4</v>
      </c>
      <c r="FX40" s="339" t="s">
        <v>2249</v>
      </c>
      <c r="FY40" s="339">
        <v>26</v>
      </c>
      <c r="FZ40" s="339">
        <v>16</v>
      </c>
      <c r="GA40" s="339">
        <v>1</v>
      </c>
      <c r="GB40" s="339">
        <v>3</v>
      </c>
      <c r="GC40" s="339">
        <v>6</v>
      </c>
      <c r="GD40" s="352">
        <v>3.411805555555556</v>
      </c>
      <c r="GE40" s="351">
        <v>53</v>
      </c>
      <c r="GF40" s="339">
        <v>31</v>
      </c>
      <c r="GG40" s="339" t="s">
        <v>1773</v>
      </c>
      <c r="GH40" s="339">
        <v>14</v>
      </c>
      <c r="GI40" s="339" t="s">
        <v>2369</v>
      </c>
      <c r="GJ40" s="339">
        <v>4</v>
      </c>
      <c r="GM40" s="339">
        <v>4</v>
      </c>
      <c r="GN40" s="339" t="s">
        <v>2224</v>
      </c>
      <c r="GO40" s="339">
        <v>26</v>
      </c>
      <c r="GP40" s="339">
        <v>18</v>
      </c>
      <c r="GQ40" s="339">
        <v>0</v>
      </c>
      <c r="GR40" s="339">
        <v>2</v>
      </c>
      <c r="GS40" s="339">
        <v>6</v>
      </c>
      <c r="GT40" s="352">
        <v>4.1187499999999995</v>
      </c>
      <c r="GU40" s="351">
        <v>56</v>
      </c>
      <c r="GV40" s="339">
        <v>32</v>
      </c>
      <c r="GW40" s="366">
        <v>43513</v>
      </c>
      <c r="GX40" s="339">
        <v>19</v>
      </c>
      <c r="GY40" s="339" t="s">
        <v>2451</v>
      </c>
      <c r="GZ40" s="339">
        <v>5</v>
      </c>
      <c r="HC40" s="339">
        <v>4</v>
      </c>
      <c r="HD40" s="339" t="s">
        <v>1266</v>
      </c>
      <c r="HE40" s="339">
        <v>26</v>
      </c>
      <c r="HF40" s="339">
        <v>16</v>
      </c>
      <c r="HG40" s="339">
        <v>0</v>
      </c>
      <c r="HH40" s="339">
        <v>3</v>
      </c>
      <c r="HI40" s="339">
        <v>0</v>
      </c>
      <c r="HJ40" s="339">
        <v>7</v>
      </c>
      <c r="HK40" s="339" t="s">
        <v>2528</v>
      </c>
      <c r="HL40" s="351">
        <v>51</v>
      </c>
      <c r="HM40" s="339">
        <v>29</v>
      </c>
      <c r="HN40" s="339" t="s">
        <v>2422</v>
      </c>
      <c r="HO40" s="339">
        <v>18</v>
      </c>
      <c r="HP40" s="339" t="s">
        <v>2529</v>
      </c>
      <c r="HQ40" s="339">
        <v>4</v>
      </c>
      <c r="HT40" s="339">
        <v>4</v>
      </c>
      <c r="HU40" s="339" t="s">
        <v>1591</v>
      </c>
      <c r="HV40" s="339">
        <v>26</v>
      </c>
      <c r="HW40" s="339">
        <v>17</v>
      </c>
      <c r="HX40" s="339">
        <v>2</v>
      </c>
      <c r="HY40" s="339">
        <v>1</v>
      </c>
      <c r="HZ40" s="339">
        <v>2</v>
      </c>
      <c r="IA40" s="339">
        <v>4</v>
      </c>
      <c r="IB40" s="352">
        <v>4.1229166666666668</v>
      </c>
      <c r="IC40" s="351">
        <v>58</v>
      </c>
      <c r="ID40" s="339">
        <v>25</v>
      </c>
      <c r="IE40" s="339" t="s">
        <v>1563</v>
      </c>
      <c r="IF40" s="339">
        <v>16</v>
      </c>
      <c r="IG40" s="339" t="s">
        <v>1597</v>
      </c>
      <c r="IH40" s="339">
        <v>5</v>
      </c>
      <c r="IK40" s="339">
        <v>4</v>
      </c>
      <c r="IL40" s="339" t="s">
        <v>1297</v>
      </c>
      <c r="IM40" s="339">
        <v>26</v>
      </c>
      <c r="IN40" s="339">
        <v>16</v>
      </c>
      <c r="IO40" s="339">
        <v>0</v>
      </c>
      <c r="IP40" s="339">
        <v>4</v>
      </c>
      <c r="IQ40" s="339">
        <v>2</v>
      </c>
      <c r="IR40" s="339">
        <v>4</v>
      </c>
      <c r="IS40" s="352">
        <v>3.6625000000000001</v>
      </c>
      <c r="IT40" s="351">
        <v>54</v>
      </c>
      <c r="IU40" s="339">
        <v>31</v>
      </c>
      <c r="IV40" s="339" t="s">
        <v>2673</v>
      </c>
      <c r="IW40" s="339">
        <v>16</v>
      </c>
      <c r="IX40" s="339" t="s">
        <v>1565</v>
      </c>
      <c r="IY40" s="339">
        <v>2</v>
      </c>
      <c r="JB40" s="339">
        <v>4</v>
      </c>
      <c r="JC40" s="339" t="s">
        <v>2706</v>
      </c>
      <c r="JD40" s="339">
        <v>26</v>
      </c>
      <c r="JE40" s="339">
        <v>18</v>
      </c>
      <c r="JF40" s="339">
        <v>0</v>
      </c>
      <c r="JG40" s="339">
        <v>1</v>
      </c>
      <c r="JH40" s="339">
        <v>2</v>
      </c>
      <c r="JI40" s="339">
        <v>5</v>
      </c>
      <c r="JJ40" s="352">
        <v>3.370138888888889</v>
      </c>
      <c r="JK40" s="351">
        <v>57</v>
      </c>
      <c r="JL40" s="339">
        <v>28</v>
      </c>
      <c r="JM40" s="366">
        <v>43604</v>
      </c>
      <c r="JN40" s="339">
        <v>22</v>
      </c>
      <c r="JO40" s="339" t="s">
        <v>2350</v>
      </c>
      <c r="JP40" s="339">
        <v>3</v>
      </c>
      <c r="JS40" s="339">
        <v>4</v>
      </c>
      <c r="JT40" s="339" t="s">
        <v>1591</v>
      </c>
      <c r="JU40" s="339">
        <v>26</v>
      </c>
      <c r="JV40" s="339">
        <v>15</v>
      </c>
      <c r="JW40" s="339">
        <v>2</v>
      </c>
      <c r="JX40" s="339">
        <v>1</v>
      </c>
      <c r="JY40" s="339">
        <v>1</v>
      </c>
      <c r="JZ40" s="339">
        <v>7</v>
      </c>
      <c r="KA40" s="352">
        <v>3.4104166666666664</v>
      </c>
      <c r="KB40" s="351">
        <v>51</v>
      </c>
      <c r="KC40" s="339">
        <v>0</v>
      </c>
      <c r="KD40" s="339" t="s">
        <v>78</v>
      </c>
      <c r="KE40" s="339">
        <v>0</v>
      </c>
      <c r="KF40" s="339" t="s">
        <v>2757</v>
      </c>
      <c r="KG40" s="339">
        <v>0</v>
      </c>
      <c r="KJ40" s="339">
        <v>4</v>
      </c>
      <c r="KK40" s="339" t="s">
        <v>2706</v>
      </c>
      <c r="KL40" s="339">
        <v>26</v>
      </c>
      <c r="KM40" s="339">
        <v>16</v>
      </c>
      <c r="KN40" s="339">
        <v>1</v>
      </c>
      <c r="KO40" s="339">
        <v>3</v>
      </c>
      <c r="KP40" s="339">
        <v>1</v>
      </c>
      <c r="KQ40" s="339">
        <v>5</v>
      </c>
      <c r="KR40" s="339" t="s">
        <v>2819</v>
      </c>
      <c r="KS40" s="351">
        <v>54</v>
      </c>
      <c r="KT40" s="339">
        <v>0</v>
      </c>
      <c r="KU40" s="339" t="s">
        <v>78</v>
      </c>
      <c r="KV40" s="339">
        <v>0</v>
      </c>
      <c r="KW40" s="339" t="s">
        <v>2757</v>
      </c>
      <c r="KX40" s="339">
        <v>0</v>
      </c>
      <c r="LA40" s="339">
        <v>4</v>
      </c>
      <c r="LB40" s="339" t="s">
        <v>1293</v>
      </c>
      <c r="LC40" s="339">
        <v>26</v>
      </c>
      <c r="LD40" s="339">
        <v>20</v>
      </c>
      <c r="LE40" s="339">
        <v>0</v>
      </c>
      <c r="LF40" s="339">
        <v>2</v>
      </c>
      <c r="LG40" s="339">
        <v>0</v>
      </c>
      <c r="LH40" s="339">
        <v>4</v>
      </c>
      <c r="LI40" s="352">
        <v>4.1965277777777779</v>
      </c>
      <c r="LJ40" s="351">
        <v>42</v>
      </c>
      <c r="LK40" s="339">
        <v>0</v>
      </c>
      <c r="LL40" s="339" t="s">
        <v>78</v>
      </c>
      <c r="LM40" s="339">
        <v>0</v>
      </c>
      <c r="LN40" s="339" t="s">
        <v>2757</v>
      </c>
      <c r="LO40" s="339">
        <v>0</v>
      </c>
      <c r="LR40" s="339">
        <v>4</v>
      </c>
      <c r="LS40" s="339" t="s">
        <v>2706</v>
      </c>
      <c r="LT40" s="339">
        <v>26</v>
      </c>
      <c r="LU40" s="339">
        <v>15</v>
      </c>
      <c r="LV40" s="339">
        <v>0</v>
      </c>
      <c r="LW40" s="339">
        <v>8</v>
      </c>
      <c r="LX40" s="339">
        <v>0</v>
      </c>
      <c r="LY40" s="339">
        <v>3</v>
      </c>
      <c r="LZ40" s="352">
        <v>3.2854166666666664</v>
      </c>
      <c r="MA40" s="351">
        <v>38</v>
      </c>
      <c r="MB40" s="339">
        <v>21</v>
      </c>
      <c r="MC40" s="339" t="s">
        <v>1573</v>
      </c>
      <c r="MD40" s="339">
        <v>16</v>
      </c>
      <c r="ME40" s="339" t="s">
        <v>1947</v>
      </c>
      <c r="MF40" s="339">
        <v>3</v>
      </c>
    </row>
    <row r="41" spans="2:344" ht="42" thickBot="1" x14ac:dyDescent="0.35">
      <c r="B41" s="339">
        <v>5</v>
      </c>
      <c r="C41" s="339" t="s">
        <v>1270</v>
      </c>
      <c r="D41" s="339">
        <v>26</v>
      </c>
      <c r="E41" s="339">
        <v>14</v>
      </c>
      <c r="F41" s="339">
        <v>1</v>
      </c>
      <c r="G41" s="339"/>
      <c r="H41" s="339">
        <v>6</v>
      </c>
      <c r="I41" s="339">
        <v>5</v>
      </c>
      <c r="J41" s="352">
        <v>4.0798611111111116</v>
      </c>
      <c r="K41" s="351">
        <v>50</v>
      </c>
      <c r="L41" s="339">
        <v>33</v>
      </c>
      <c r="M41" s="339" t="s">
        <v>1360</v>
      </c>
      <c r="N41" s="339">
        <v>4</v>
      </c>
      <c r="O41" s="339" t="s">
        <v>1361</v>
      </c>
      <c r="P41" s="339">
        <v>4</v>
      </c>
      <c r="Q41" s="342"/>
      <c r="S41" s="339">
        <v>5</v>
      </c>
      <c r="T41" s="339" t="s">
        <v>1278</v>
      </c>
      <c r="U41" s="339">
        <v>26</v>
      </c>
      <c r="V41" s="339">
        <v>12</v>
      </c>
      <c r="W41" s="339">
        <v>4</v>
      </c>
      <c r="X41" s="339">
        <v>5</v>
      </c>
      <c r="Y41" s="339">
        <v>5</v>
      </c>
      <c r="Z41" s="352">
        <v>3.3708333333333336</v>
      </c>
      <c r="AA41" s="351">
        <v>49</v>
      </c>
      <c r="AB41" s="339">
        <v>21</v>
      </c>
      <c r="AC41" s="366">
        <v>43756</v>
      </c>
      <c r="AD41" s="339">
        <v>14</v>
      </c>
      <c r="AE41" s="339" t="s">
        <v>1472</v>
      </c>
      <c r="AF41" s="339">
        <v>3</v>
      </c>
      <c r="AI41" s="339">
        <v>5</v>
      </c>
      <c r="AJ41" s="339" t="s">
        <v>80</v>
      </c>
      <c r="AK41" s="339">
        <v>26</v>
      </c>
      <c r="AL41" s="339">
        <v>9</v>
      </c>
      <c r="AM41" s="339">
        <v>11</v>
      </c>
      <c r="AN41" s="339">
        <v>1</v>
      </c>
      <c r="AO41" s="339">
        <v>5</v>
      </c>
      <c r="AP41" s="352">
        <v>2.9972222222222222</v>
      </c>
      <c r="AQ41" s="351">
        <v>50</v>
      </c>
      <c r="AR41" s="339">
        <v>25</v>
      </c>
      <c r="AS41" s="339" t="s">
        <v>1564</v>
      </c>
      <c r="AT41" s="339">
        <v>16</v>
      </c>
      <c r="AU41" s="339" t="s">
        <v>1565</v>
      </c>
      <c r="AV41" s="339">
        <v>1</v>
      </c>
      <c r="AY41" s="339">
        <v>5</v>
      </c>
      <c r="AZ41" s="339" t="s">
        <v>1290</v>
      </c>
      <c r="BA41" s="339">
        <v>26</v>
      </c>
      <c r="BB41" s="339">
        <v>14</v>
      </c>
      <c r="BC41" s="339">
        <v>4</v>
      </c>
      <c r="BD41" s="339">
        <v>4</v>
      </c>
      <c r="BE41" s="339">
        <v>4</v>
      </c>
      <c r="BF41" s="352">
        <v>3.4125000000000001</v>
      </c>
      <c r="BG41" s="351">
        <v>54</v>
      </c>
      <c r="BH41" s="339">
        <v>19</v>
      </c>
      <c r="BI41" s="339" t="s">
        <v>1676</v>
      </c>
      <c r="BJ41" s="339">
        <v>21</v>
      </c>
      <c r="BK41" s="339" t="s">
        <v>1677</v>
      </c>
      <c r="BL41" s="339">
        <v>0</v>
      </c>
      <c r="BO41" s="339">
        <v>5</v>
      </c>
      <c r="BP41" s="339" t="s">
        <v>1286</v>
      </c>
      <c r="BQ41" s="339">
        <v>26</v>
      </c>
      <c r="BR41" s="339">
        <v>16</v>
      </c>
      <c r="BS41" s="339">
        <v>2</v>
      </c>
      <c r="BT41" s="339">
        <v>1</v>
      </c>
      <c r="BU41" s="339">
        <v>7</v>
      </c>
      <c r="BV41" s="339" t="s">
        <v>1763</v>
      </c>
      <c r="BW41" s="351">
        <v>53</v>
      </c>
      <c r="BX41" s="339">
        <v>23</v>
      </c>
      <c r="BY41" s="339" t="s">
        <v>1711</v>
      </c>
      <c r="BZ41" s="339">
        <v>17</v>
      </c>
      <c r="CA41" s="339" t="s">
        <v>1764</v>
      </c>
      <c r="CB41" s="339">
        <v>3</v>
      </c>
      <c r="CE41" s="339">
        <v>5</v>
      </c>
      <c r="CF41" s="339" t="s">
        <v>80</v>
      </c>
      <c r="CG41" s="339">
        <v>26</v>
      </c>
      <c r="CH41" s="339">
        <v>13</v>
      </c>
      <c r="CI41" s="339">
        <v>5</v>
      </c>
      <c r="CJ41" s="339">
        <v>3</v>
      </c>
      <c r="CK41" s="339">
        <v>5</v>
      </c>
      <c r="CL41" s="352">
        <v>2.7826388888888887</v>
      </c>
      <c r="CM41" s="351">
        <v>52</v>
      </c>
      <c r="CN41" s="339">
        <v>25</v>
      </c>
      <c r="CO41" s="366">
        <v>43696</v>
      </c>
      <c r="CP41" s="339">
        <v>16</v>
      </c>
      <c r="CQ41" s="339" t="s">
        <v>1856</v>
      </c>
      <c r="CR41" s="339">
        <v>1</v>
      </c>
      <c r="CU41" s="339">
        <v>5</v>
      </c>
      <c r="CV41" s="339" t="s">
        <v>332</v>
      </c>
      <c r="CW41" s="339">
        <v>26</v>
      </c>
      <c r="CX41" s="339">
        <v>15</v>
      </c>
      <c r="CY41" s="339">
        <v>1</v>
      </c>
      <c r="CZ41" s="339">
        <v>3</v>
      </c>
      <c r="DA41" s="339">
        <v>7</v>
      </c>
      <c r="DB41" s="352">
        <v>3.1659722222222224</v>
      </c>
      <c r="DC41" s="351">
        <v>50</v>
      </c>
      <c r="DD41" s="339">
        <v>23</v>
      </c>
      <c r="DE41" s="339" t="s">
        <v>1893</v>
      </c>
      <c r="DF41" s="339">
        <v>17</v>
      </c>
      <c r="DG41" s="339" t="s">
        <v>1953</v>
      </c>
      <c r="DH41" s="339">
        <v>4</v>
      </c>
      <c r="DK41" s="339">
        <v>5</v>
      </c>
      <c r="DL41" s="339" t="s">
        <v>1262</v>
      </c>
      <c r="DM41" s="339">
        <v>26</v>
      </c>
      <c r="DN41" s="339">
        <v>10</v>
      </c>
      <c r="DO41" s="339">
        <v>9</v>
      </c>
      <c r="DP41" s="339">
        <v>2</v>
      </c>
      <c r="DQ41" s="339">
        <v>5</v>
      </c>
      <c r="DR41" s="339" t="s">
        <v>2044</v>
      </c>
      <c r="DS41" s="351">
        <v>50</v>
      </c>
      <c r="DT41" s="339">
        <v>25</v>
      </c>
      <c r="DU41" s="339" t="s">
        <v>1410</v>
      </c>
      <c r="DV41" s="339">
        <v>17</v>
      </c>
      <c r="DW41" s="339" t="s">
        <v>1856</v>
      </c>
      <c r="DX41" s="339">
        <v>7</v>
      </c>
      <c r="EA41" s="339">
        <v>5</v>
      </c>
      <c r="EB41" s="339" t="s">
        <v>1591</v>
      </c>
      <c r="EC41" s="339">
        <v>26</v>
      </c>
      <c r="ED41" s="339">
        <v>14</v>
      </c>
      <c r="EE41" s="339">
        <v>4</v>
      </c>
      <c r="EF41" s="339">
        <v>2</v>
      </c>
      <c r="EG41" s="339">
        <v>6</v>
      </c>
      <c r="EH41" s="352">
        <v>3.2895833333333333</v>
      </c>
      <c r="EI41" s="351">
        <v>52</v>
      </c>
      <c r="EJ41" s="339">
        <v>17</v>
      </c>
      <c r="EK41" s="339" t="s">
        <v>2119</v>
      </c>
      <c r="EL41" s="339">
        <v>13</v>
      </c>
      <c r="EM41" s="339" t="s">
        <v>2120</v>
      </c>
      <c r="EN41" s="339">
        <v>4</v>
      </c>
      <c r="EQ41" s="339">
        <v>5</v>
      </c>
      <c r="ER41" s="339" t="s">
        <v>1297</v>
      </c>
      <c r="ES41" s="339">
        <v>26</v>
      </c>
      <c r="ET41" s="339">
        <v>11</v>
      </c>
      <c r="EU41" s="339">
        <v>6</v>
      </c>
      <c r="EV41" s="339">
        <v>3</v>
      </c>
      <c r="EW41" s="339">
        <v>6</v>
      </c>
      <c r="EX41" s="339" t="s">
        <v>2198</v>
      </c>
      <c r="EY41" s="351">
        <v>48</v>
      </c>
      <c r="EZ41" s="339">
        <v>26</v>
      </c>
      <c r="FA41" s="339" t="s">
        <v>1367</v>
      </c>
      <c r="FB41" s="339">
        <v>23</v>
      </c>
      <c r="FC41" s="339" t="s">
        <v>2199</v>
      </c>
      <c r="FD41" s="339">
        <v>2</v>
      </c>
      <c r="FG41" s="339">
        <v>5</v>
      </c>
      <c r="FH41" s="339" t="s">
        <v>2227</v>
      </c>
      <c r="FI41" s="339">
        <v>26</v>
      </c>
      <c r="FJ41" s="339">
        <v>15</v>
      </c>
      <c r="FK41" s="339">
        <v>2</v>
      </c>
      <c r="FL41" s="339">
        <v>3</v>
      </c>
      <c r="FM41" s="339">
        <v>6</v>
      </c>
      <c r="FN41" s="339" t="s">
        <v>2289</v>
      </c>
      <c r="FO41" s="351">
        <v>52</v>
      </c>
      <c r="FP41" s="339">
        <v>34</v>
      </c>
      <c r="FQ41" s="339" t="s">
        <v>1541</v>
      </c>
      <c r="FR41" s="339">
        <v>15</v>
      </c>
      <c r="FS41" s="339" t="s">
        <v>2290</v>
      </c>
      <c r="FT41" s="339">
        <v>7</v>
      </c>
      <c r="FW41" s="339">
        <v>5</v>
      </c>
      <c r="FX41" s="339" t="s">
        <v>2224</v>
      </c>
      <c r="FY41" s="339">
        <v>26</v>
      </c>
      <c r="FZ41" s="339">
        <v>15</v>
      </c>
      <c r="GA41" s="339">
        <v>3</v>
      </c>
      <c r="GB41" s="339">
        <v>1</v>
      </c>
      <c r="GC41" s="339">
        <v>7</v>
      </c>
      <c r="GD41" s="339" t="s">
        <v>2370</v>
      </c>
      <c r="GE41" s="351">
        <v>52</v>
      </c>
      <c r="GF41" s="339">
        <v>39</v>
      </c>
      <c r="GG41" s="339" t="s">
        <v>2371</v>
      </c>
      <c r="GH41" s="339">
        <v>24</v>
      </c>
      <c r="GI41" s="339" t="s">
        <v>1891</v>
      </c>
      <c r="GJ41" s="339">
        <v>3</v>
      </c>
      <c r="GM41" s="339">
        <v>5</v>
      </c>
      <c r="GN41" s="339" t="s">
        <v>2402</v>
      </c>
      <c r="GO41" s="339">
        <v>26</v>
      </c>
      <c r="GP41" s="339">
        <v>15</v>
      </c>
      <c r="GQ41" s="339">
        <v>3</v>
      </c>
      <c r="GR41" s="339">
        <v>2</v>
      </c>
      <c r="GS41" s="339">
        <v>6</v>
      </c>
      <c r="GT41" s="339" t="s">
        <v>2452</v>
      </c>
      <c r="GU41" s="351">
        <v>53</v>
      </c>
      <c r="GV41" s="339">
        <v>59</v>
      </c>
      <c r="GW41" s="339" t="s">
        <v>2453</v>
      </c>
      <c r="GX41" s="339">
        <v>27</v>
      </c>
      <c r="GY41" s="339" t="s">
        <v>2106</v>
      </c>
      <c r="GZ41" s="339">
        <v>6</v>
      </c>
      <c r="HC41" s="339">
        <v>5</v>
      </c>
      <c r="HD41" s="339" t="s">
        <v>1286</v>
      </c>
      <c r="HE41" s="339">
        <v>26</v>
      </c>
      <c r="HF41" s="339">
        <v>15</v>
      </c>
      <c r="HG41" s="339">
        <v>1</v>
      </c>
      <c r="HH41" s="339">
        <v>4</v>
      </c>
      <c r="HI41" s="339">
        <v>0</v>
      </c>
      <c r="HJ41" s="339">
        <v>6</v>
      </c>
      <c r="HK41" s="352">
        <v>3.2840277777777778</v>
      </c>
      <c r="HL41" s="351">
        <v>51</v>
      </c>
      <c r="HM41" s="339">
        <v>26</v>
      </c>
      <c r="HN41" s="339" t="s">
        <v>2530</v>
      </c>
      <c r="HO41" s="339">
        <v>11</v>
      </c>
      <c r="HP41" s="339" t="s">
        <v>2531</v>
      </c>
      <c r="HQ41" s="339">
        <v>3</v>
      </c>
      <c r="HT41" s="339">
        <v>5</v>
      </c>
      <c r="HU41" s="339" t="s">
        <v>1293</v>
      </c>
      <c r="HV41" s="339">
        <v>26</v>
      </c>
      <c r="HW41" s="339">
        <v>17</v>
      </c>
      <c r="HX41" s="339">
        <v>0</v>
      </c>
      <c r="HY41" s="339">
        <v>1</v>
      </c>
      <c r="HZ41" s="339">
        <v>2</v>
      </c>
      <c r="IA41" s="339">
        <v>6</v>
      </c>
      <c r="IB41" s="352">
        <v>3.411111111111111</v>
      </c>
      <c r="IC41" s="351">
        <v>54</v>
      </c>
      <c r="ID41" s="339">
        <v>22</v>
      </c>
      <c r="IE41" s="339" t="s">
        <v>215</v>
      </c>
      <c r="IF41" s="339">
        <v>14</v>
      </c>
      <c r="IG41" s="339" t="s">
        <v>2597</v>
      </c>
      <c r="IH41" s="339">
        <v>2</v>
      </c>
      <c r="IK41" s="339">
        <v>5</v>
      </c>
      <c r="IL41" s="339" t="s">
        <v>1286</v>
      </c>
      <c r="IM41" s="339">
        <v>26</v>
      </c>
      <c r="IN41" s="339">
        <v>17</v>
      </c>
      <c r="IO41" s="339">
        <v>0</v>
      </c>
      <c r="IP41" s="339">
        <v>2</v>
      </c>
      <c r="IQ41" s="339">
        <v>1</v>
      </c>
      <c r="IR41" s="339">
        <v>6</v>
      </c>
      <c r="IS41" s="339" t="s">
        <v>2674</v>
      </c>
      <c r="IT41" s="351">
        <v>54</v>
      </c>
      <c r="IU41" s="339">
        <v>29</v>
      </c>
      <c r="IV41" s="339" t="s">
        <v>1395</v>
      </c>
      <c r="IW41" s="339">
        <v>16</v>
      </c>
      <c r="IX41" s="339" t="s">
        <v>2675</v>
      </c>
      <c r="IY41" s="339">
        <v>4</v>
      </c>
      <c r="JB41" s="339">
        <v>5</v>
      </c>
      <c r="JC41" s="339" t="s">
        <v>1297</v>
      </c>
      <c r="JD41" s="339">
        <v>26</v>
      </c>
      <c r="JE41" s="339">
        <v>15</v>
      </c>
      <c r="JF41" s="339">
        <v>2</v>
      </c>
      <c r="JG41" s="339">
        <v>6</v>
      </c>
      <c r="JH41" s="339">
        <v>1</v>
      </c>
      <c r="JI41" s="339">
        <v>2</v>
      </c>
      <c r="JJ41" s="352">
        <v>3.4520833333333329</v>
      </c>
      <c r="JK41" s="351">
        <v>56</v>
      </c>
      <c r="JL41" s="339">
        <v>18</v>
      </c>
      <c r="JM41" s="339" t="s">
        <v>2430</v>
      </c>
      <c r="JN41" s="339">
        <v>13</v>
      </c>
      <c r="JO41" s="339" t="s">
        <v>2740</v>
      </c>
      <c r="JP41" s="339">
        <v>6</v>
      </c>
      <c r="JS41" s="339">
        <v>5</v>
      </c>
      <c r="JT41" s="339" t="s">
        <v>1293</v>
      </c>
      <c r="JU41" s="339">
        <v>26</v>
      </c>
      <c r="JV41" s="339">
        <v>14</v>
      </c>
      <c r="JW41" s="339">
        <v>2</v>
      </c>
      <c r="JX41" s="339">
        <v>2</v>
      </c>
      <c r="JY41" s="339">
        <v>1</v>
      </c>
      <c r="JZ41" s="339">
        <v>7</v>
      </c>
      <c r="KA41" s="339" t="s">
        <v>2784</v>
      </c>
      <c r="KB41" s="351">
        <v>49</v>
      </c>
      <c r="KC41" s="339">
        <v>0</v>
      </c>
      <c r="KD41" s="339" t="s">
        <v>78</v>
      </c>
      <c r="KE41" s="339">
        <v>0</v>
      </c>
      <c r="KF41" s="339" t="s">
        <v>2757</v>
      </c>
      <c r="KG41" s="339">
        <v>0</v>
      </c>
      <c r="KJ41" s="339">
        <v>5</v>
      </c>
      <c r="KK41" s="339" t="s">
        <v>1311</v>
      </c>
      <c r="KL41" s="339">
        <v>26</v>
      </c>
      <c r="KM41" s="339">
        <v>15</v>
      </c>
      <c r="KN41" s="339">
        <v>2</v>
      </c>
      <c r="KO41" s="339">
        <v>2</v>
      </c>
      <c r="KP41" s="339">
        <v>2</v>
      </c>
      <c r="KQ41" s="339">
        <v>5</v>
      </c>
      <c r="KR41" s="352">
        <v>3.5798611111111112</v>
      </c>
      <c r="KS41" s="351">
        <v>53</v>
      </c>
      <c r="KT41" s="339">
        <v>0</v>
      </c>
      <c r="KU41" s="339" t="s">
        <v>78</v>
      </c>
      <c r="KV41" s="339">
        <v>0</v>
      </c>
      <c r="KW41" s="339" t="s">
        <v>2757</v>
      </c>
      <c r="KX41" s="339">
        <v>0</v>
      </c>
      <c r="LA41" s="339">
        <v>5</v>
      </c>
      <c r="LB41" s="339" t="s">
        <v>2418</v>
      </c>
      <c r="LC41" s="339">
        <v>26</v>
      </c>
      <c r="LD41" s="339">
        <v>19</v>
      </c>
      <c r="LE41" s="339">
        <v>0</v>
      </c>
      <c r="LF41" s="339">
        <v>2</v>
      </c>
      <c r="LG41" s="339">
        <v>0</v>
      </c>
      <c r="LH41" s="339">
        <v>5</v>
      </c>
      <c r="LI41" s="352">
        <v>3.9562500000000003</v>
      </c>
      <c r="LJ41" s="351">
        <v>40</v>
      </c>
      <c r="LK41" s="339">
        <v>0</v>
      </c>
      <c r="LL41" s="339" t="s">
        <v>78</v>
      </c>
      <c r="LM41" s="339">
        <v>0</v>
      </c>
      <c r="LN41" s="339" t="s">
        <v>2757</v>
      </c>
      <c r="LO41" s="339">
        <v>0</v>
      </c>
      <c r="LR41" s="339">
        <v>5</v>
      </c>
      <c r="LS41" s="339" t="s">
        <v>1297</v>
      </c>
      <c r="LT41" s="339">
        <v>26</v>
      </c>
      <c r="LU41" s="339">
        <v>17</v>
      </c>
      <c r="LV41" s="339">
        <v>0</v>
      </c>
      <c r="LW41" s="339">
        <v>2</v>
      </c>
      <c r="LX41" s="339">
        <v>0</v>
      </c>
      <c r="LY41" s="339">
        <v>7</v>
      </c>
      <c r="LZ41" s="339" t="s">
        <v>2910</v>
      </c>
      <c r="MA41" s="351">
        <v>36</v>
      </c>
      <c r="MB41" s="339">
        <v>32</v>
      </c>
      <c r="MC41" s="366">
        <v>43826</v>
      </c>
      <c r="MD41" s="339">
        <v>16</v>
      </c>
      <c r="ME41" s="339" t="s">
        <v>2911</v>
      </c>
      <c r="MF41" s="339">
        <v>4</v>
      </c>
    </row>
    <row r="42" spans="2:344" ht="55.8" thickBot="1" x14ac:dyDescent="0.35">
      <c r="B42" s="339">
        <v>6</v>
      </c>
      <c r="C42" s="339" t="s">
        <v>1278</v>
      </c>
      <c r="D42" s="339">
        <v>26</v>
      </c>
      <c r="E42" s="339">
        <v>14</v>
      </c>
      <c r="F42" s="339">
        <v>3</v>
      </c>
      <c r="G42" s="339"/>
      <c r="H42" s="339">
        <v>2</v>
      </c>
      <c r="I42" s="339">
        <v>7</v>
      </c>
      <c r="J42" s="352">
        <v>3.2069444444444444</v>
      </c>
      <c r="K42" s="351">
        <v>50</v>
      </c>
      <c r="L42" s="339">
        <v>15</v>
      </c>
      <c r="M42" s="339" t="s">
        <v>1362</v>
      </c>
      <c r="N42" s="339">
        <v>15</v>
      </c>
      <c r="O42" s="339" t="s">
        <v>1363</v>
      </c>
      <c r="P42" s="339">
        <v>1</v>
      </c>
      <c r="Q42" s="342"/>
      <c r="S42" s="339">
        <v>6</v>
      </c>
      <c r="T42" s="339" t="s">
        <v>1266</v>
      </c>
      <c r="U42" s="339">
        <v>26</v>
      </c>
      <c r="V42" s="339">
        <v>12</v>
      </c>
      <c r="W42" s="339">
        <v>4</v>
      </c>
      <c r="X42" s="339">
        <v>3</v>
      </c>
      <c r="Y42" s="339">
        <v>7</v>
      </c>
      <c r="Z42" s="339" t="s">
        <v>1473</v>
      </c>
      <c r="AA42" s="351">
        <v>47</v>
      </c>
      <c r="AB42" s="339">
        <v>22</v>
      </c>
      <c r="AC42" s="339" t="s">
        <v>1474</v>
      </c>
      <c r="AD42" s="339">
        <v>8</v>
      </c>
      <c r="AE42" s="339" t="s">
        <v>1475</v>
      </c>
      <c r="AF42" s="339">
        <v>2</v>
      </c>
      <c r="AI42" s="339">
        <v>6</v>
      </c>
      <c r="AJ42" s="339" t="s">
        <v>1307</v>
      </c>
      <c r="AK42" s="339">
        <v>26</v>
      </c>
      <c r="AL42" s="339">
        <v>10</v>
      </c>
      <c r="AM42" s="339">
        <v>9</v>
      </c>
      <c r="AN42" s="339">
        <v>1</v>
      </c>
      <c r="AO42" s="339">
        <v>6</v>
      </c>
      <c r="AP42" s="339" t="s">
        <v>1566</v>
      </c>
      <c r="AQ42" s="351">
        <v>49</v>
      </c>
      <c r="AR42" s="339">
        <v>18</v>
      </c>
      <c r="AS42" s="339" t="s">
        <v>1474</v>
      </c>
      <c r="AT42" s="339">
        <v>21</v>
      </c>
      <c r="AU42" s="339" t="s">
        <v>1567</v>
      </c>
      <c r="AV42" s="339">
        <v>1</v>
      </c>
      <c r="AY42" s="339">
        <v>6</v>
      </c>
      <c r="AZ42" s="339" t="s">
        <v>1282</v>
      </c>
      <c r="BA42" s="339">
        <v>26</v>
      </c>
      <c r="BB42" s="339">
        <v>13</v>
      </c>
      <c r="BC42" s="339">
        <v>3</v>
      </c>
      <c r="BD42" s="339">
        <v>3</v>
      </c>
      <c r="BE42" s="339">
        <v>7</v>
      </c>
      <c r="BF42" s="352">
        <v>2.6999999999999997</v>
      </c>
      <c r="BG42" s="351">
        <v>48</v>
      </c>
      <c r="BH42" s="339">
        <v>15</v>
      </c>
      <c r="BI42" s="367">
        <v>18598</v>
      </c>
      <c r="BJ42" s="339">
        <v>10</v>
      </c>
      <c r="BK42" s="339" t="s">
        <v>1678</v>
      </c>
      <c r="BL42" s="339">
        <v>0</v>
      </c>
      <c r="BO42" s="339">
        <v>6</v>
      </c>
      <c r="BP42" s="339" t="s">
        <v>1293</v>
      </c>
      <c r="BQ42" s="339">
        <v>26</v>
      </c>
      <c r="BR42" s="339">
        <v>15</v>
      </c>
      <c r="BS42" s="339">
        <v>1</v>
      </c>
      <c r="BT42" s="339">
        <v>3</v>
      </c>
      <c r="BU42" s="339">
        <v>7</v>
      </c>
      <c r="BV42" s="339" t="s">
        <v>1765</v>
      </c>
      <c r="BW42" s="351">
        <v>50</v>
      </c>
      <c r="BX42" s="339">
        <v>27</v>
      </c>
      <c r="BY42" s="339" t="s">
        <v>1766</v>
      </c>
      <c r="BZ42" s="339">
        <v>25</v>
      </c>
      <c r="CA42" s="339" t="s">
        <v>1767</v>
      </c>
      <c r="CB42" s="339">
        <v>1</v>
      </c>
      <c r="CE42" s="339">
        <v>6</v>
      </c>
      <c r="CF42" s="339" t="s">
        <v>1278</v>
      </c>
      <c r="CG42" s="339">
        <v>26</v>
      </c>
      <c r="CH42" s="339">
        <v>15</v>
      </c>
      <c r="CI42" s="339">
        <v>3</v>
      </c>
      <c r="CJ42" s="339">
        <v>0</v>
      </c>
      <c r="CK42" s="339">
        <v>8</v>
      </c>
      <c r="CL42" s="352">
        <v>3.3291666666666671</v>
      </c>
      <c r="CM42" s="351">
        <v>51</v>
      </c>
      <c r="CN42" s="339">
        <v>21</v>
      </c>
      <c r="CO42" s="339" t="s">
        <v>1857</v>
      </c>
      <c r="CP42" s="339">
        <v>12</v>
      </c>
      <c r="CQ42" s="339" t="s">
        <v>1490</v>
      </c>
      <c r="CR42" s="339">
        <v>3</v>
      </c>
      <c r="CU42" s="339">
        <v>6</v>
      </c>
      <c r="CV42" s="339" t="s">
        <v>1286</v>
      </c>
      <c r="CW42" s="339">
        <v>26</v>
      </c>
      <c r="CX42" s="339">
        <v>15</v>
      </c>
      <c r="CY42" s="339">
        <v>1</v>
      </c>
      <c r="CZ42" s="339">
        <v>2</v>
      </c>
      <c r="DA42" s="339">
        <v>8</v>
      </c>
      <c r="DB42" s="339" t="s">
        <v>1954</v>
      </c>
      <c r="DC42" s="351">
        <v>49</v>
      </c>
      <c r="DD42" s="339">
        <v>26</v>
      </c>
      <c r="DE42" s="339" t="s">
        <v>1955</v>
      </c>
      <c r="DF42" s="339">
        <v>18</v>
      </c>
      <c r="DG42" s="339" t="s">
        <v>1956</v>
      </c>
      <c r="DH42" s="339">
        <v>4</v>
      </c>
      <c r="DK42" s="339">
        <v>6</v>
      </c>
      <c r="DL42" s="339" t="s">
        <v>332</v>
      </c>
      <c r="DM42" s="339">
        <v>26</v>
      </c>
      <c r="DN42" s="339">
        <v>14</v>
      </c>
      <c r="DO42" s="339">
        <v>2</v>
      </c>
      <c r="DP42" s="339">
        <v>3</v>
      </c>
      <c r="DQ42" s="339">
        <v>7</v>
      </c>
      <c r="DR42" s="339" t="s">
        <v>2045</v>
      </c>
      <c r="DS42" s="351">
        <v>49</v>
      </c>
      <c r="DT42" s="339">
        <v>18</v>
      </c>
      <c r="DU42" s="339" t="s">
        <v>2046</v>
      </c>
      <c r="DV42" s="339">
        <v>10</v>
      </c>
      <c r="DW42" s="339" t="s">
        <v>2047</v>
      </c>
      <c r="DX42" s="339">
        <v>1</v>
      </c>
      <c r="EA42" s="339">
        <v>6</v>
      </c>
      <c r="EB42" s="339" t="s">
        <v>2078</v>
      </c>
      <c r="EC42" s="339">
        <v>26</v>
      </c>
      <c r="ED42" s="339">
        <v>17</v>
      </c>
      <c r="EE42" s="339">
        <v>0</v>
      </c>
      <c r="EF42" s="339">
        <v>1</v>
      </c>
      <c r="EG42" s="339">
        <v>8</v>
      </c>
      <c r="EH42" s="352">
        <v>2.8722222222222222</v>
      </c>
      <c r="EI42" s="351">
        <v>52</v>
      </c>
      <c r="EJ42" s="339">
        <v>30</v>
      </c>
      <c r="EK42" s="339" t="s">
        <v>1878</v>
      </c>
      <c r="EL42" s="339">
        <v>14</v>
      </c>
      <c r="EM42" s="339" t="s">
        <v>2121</v>
      </c>
      <c r="EN42" s="339">
        <v>2</v>
      </c>
      <c r="EQ42" s="339">
        <v>6</v>
      </c>
      <c r="ER42" s="339" t="s">
        <v>1895</v>
      </c>
      <c r="ES42" s="339">
        <v>26</v>
      </c>
      <c r="ET42" s="339">
        <v>11</v>
      </c>
      <c r="EU42" s="339">
        <v>4</v>
      </c>
      <c r="EV42" s="339">
        <v>7</v>
      </c>
      <c r="EW42" s="339">
        <v>4</v>
      </c>
      <c r="EX42" s="339" t="s">
        <v>2200</v>
      </c>
      <c r="EY42" s="351">
        <v>48</v>
      </c>
      <c r="EZ42" s="339">
        <v>33</v>
      </c>
      <c r="FA42" s="339" t="s">
        <v>2201</v>
      </c>
      <c r="FB42" s="339">
        <v>20</v>
      </c>
      <c r="FC42" s="339" t="s">
        <v>2202</v>
      </c>
      <c r="FD42" s="339">
        <v>4</v>
      </c>
      <c r="FG42" s="339">
        <v>6</v>
      </c>
      <c r="FH42" s="339" t="s">
        <v>1303</v>
      </c>
      <c r="FI42" s="339">
        <v>26</v>
      </c>
      <c r="FJ42" s="339">
        <v>12</v>
      </c>
      <c r="FK42" s="339">
        <v>5</v>
      </c>
      <c r="FL42" s="339">
        <v>4</v>
      </c>
      <c r="FM42" s="339">
        <v>5</v>
      </c>
      <c r="FN42" s="352">
        <v>3.2472222222222222</v>
      </c>
      <c r="FO42" s="351">
        <v>50</v>
      </c>
      <c r="FP42" s="339">
        <v>26</v>
      </c>
      <c r="FQ42" s="339" t="s">
        <v>1629</v>
      </c>
      <c r="FR42" s="339">
        <v>19</v>
      </c>
      <c r="FS42" s="339" t="s">
        <v>1901</v>
      </c>
      <c r="FT42" s="339">
        <v>1</v>
      </c>
      <c r="FW42" s="339">
        <v>6</v>
      </c>
      <c r="FX42" s="339" t="s">
        <v>1262</v>
      </c>
      <c r="FY42" s="339">
        <v>26</v>
      </c>
      <c r="FZ42" s="339">
        <v>13</v>
      </c>
      <c r="GA42" s="339">
        <v>3</v>
      </c>
      <c r="GB42" s="339">
        <v>6</v>
      </c>
      <c r="GC42" s="339">
        <v>4</v>
      </c>
      <c r="GD42" s="352">
        <v>3.5381944444444446</v>
      </c>
      <c r="GE42" s="351">
        <v>51</v>
      </c>
      <c r="GF42" s="339">
        <v>39</v>
      </c>
      <c r="GG42" s="339" t="s">
        <v>2372</v>
      </c>
      <c r="GH42" s="339">
        <v>16</v>
      </c>
      <c r="GI42" s="339" t="s">
        <v>2373</v>
      </c>
      <c r="GJ42" s="339">
        <v>2</v>
      </c>
      <c r="GM42" s="339">
        <v>6</v>
      </c>
      <c r="GN42" s="339" t="s">
        <v>1293</v>
      </c>
      <c r="GO42" s="339">
        <v>26</v>
      </c>
      <c r="GP42" s="339">
        <v>15</v>
      </c>
      <c r="GQ42" s="339">
        <v>2</v>
      </c>
      <c r="GR42" s="339">
        <v>3</v>
      </c>
      <c r="GS42" s="339">
        <v>6</v>
      </c>
      <c r="GT42" s="339" t="s">
        <v>2454</v>
      </c>
      <c r="GU42" s="351">
        <v>52</v>
      </c>
      <c r="GV42" s="339">
        <v>24</v>
      </c>
      <c r="GW42" s="339" t="s">
        <v>1495</v>
      </c>
      <c r="GX42" s="339">
        <v>20</v>
      </c>
      <c r="GY42" s="339" t="s">
        <v>2455</v>
      </c>
      <c r="GZ42" s="339">
        <v>4</v>
      </c>
      <c r="HC42" s="339">
        <v>6</v>
      </c>
      <c r="HD42" s="339" t="s">
        <v>2249</v>
      </c>
      <c r="HE42" s="339">
        <v>26</v>
      </c>
      <c r="HF42" s="339">
        <v>14</v>
      </c>
      <c r="HG42" s="339">
        <v>1</v>
      </c>
      <c r="HH42" s="339">
        <v>4</v>
      </c>
      <c r="HI42" s="339">
        <v>1</v>
      </c>
      <c r="HJ42" s="339">
        <v>6</v>
      </c>
      <c r="HK42" s="352">
        <v>2.6590277777777778</v>
      </c>
      <c r="HL42" s="351">
        <v>49</v>
      </c>
      <c r="HM42" s="339">
        <v>24</v>
      </c>
      <c r="HN42" s="339" t="s">
        <v>1686</v>
      </c>
      <c r="HO42" s="339">
        <v>16</v>
      </c>
      <c r="HP42" s="339" t="s">
        <v>1384</v>
      </c>
      <c r="HQ42" s="339">
        <v>1</v>
      </c>
      <c r="HT42" s="339">
        <v>6</v>
      </c>
      <c r="HU42" s="339" t="s">
        <v>1286</v>
      </c>
      <c r="HV42" s="339">
        <v>26</v>
      </c>
      <c r="HW42" s="339">
        <v>14</v>
      </c>
      <c r="HX42" s="339">
        <v>2</v>
      </c>
      <c r="HY42" s="339">
        <v>2</v>
      </c>
      <c r="HZ42" s="339">
        <v>1</v>
      </c>
      <c r="IA42" s="339">
        <v>7</v>
      </c>
      <c r="IB42" s="352">
        <v>3.4520833333333329</v>
      </c>
      <c r="IC42" s="351">
        <v>49</v>
      </c>
      <c r="ID42" s="339">
        <v>12</v>
      </c>
      <c r="IE42" s="367">
        <v>19238</v>
      </c>
      <c r="IF42" s="339">
        <v>9</v>
      </c>
      <c r="IG42" s="339" t="s">
        <v>2598</v>
      </c>
      <c r="IH42" s="339">
        <v>4</v>
      </c>
      <c r="IK42" s="339">
        <v>6</v>
      </c>
      <c r="IL42" s="339" t="s">
        <v>1266</v>
      </c>
      <c r="IM42" s="339">
        <v>26</v>
      </c>
      <c r="IN42" s="339">
        <v>17</v>
      </c>
      <c r="IO42" s="339">
        <v>0</v>
      </c>
      <c r="IP42" s="339">
        <v>1</v>
      </c>
      <c r="IQ42" s="339">
        <v>1</v>
      </c>
      <c r="IR42" s="339">
        <v>7</v>
      </c>
      <c r="IS42" s="339" t="s">
        <v>1639</v>
      </c>
      <c r="IT42" s="351">
        <v>53</v>
      </c>
      <c r="IU42" s="339">
        <v>20</v>
      </c>
      <c r="IV42" s="339" t="s">
        <v>2207</v>
      </c>
      <c r="IW42" s="339">
        <v>14</v>
      </c>
      <c r="IX42" s="339" t="s">
        <v>2676</v>
      </c>
      <c r="IY42" s="339">
        <v>5</v>
      </c>
      <c r="JB42" s="339">
        <v>6</v>
      </c>
      <c r="JC42" s="339" t="s">
        <v>1286</v>
      </c>
      <c r="JD42" s="339">
        <v>26</v>
      </c>
      <c r="JE42" s="339">
        <v>15</v>
      </c>
      <c r="JF42" s="339">
        <v>1</v>
      </c>
      <c r="JG42" s="339">
        <v>2</v>
      </c>
      <c r="JH42" s="339">
        <v>4</v>
      </c>
      <c r="JI42" s="339">
        <v>4</v>
      </c>
      <c r="JJ42" s="352">
        <v>3.661111111111111</v>
      </c>
      <c r="JK42" s="351">
        <v>53</v>
      </c>
      <c r="JL42" s="339">
        <v>25</v>
      </c>
      <c r="JM42" s="339" t="s">
        <v>2741</v>
      </c>
      <c r="JN42" s="339">
        <v>16</v>
      </c>
      <c r="JO42" s="339" t="s">
        <v>1600</v>
      </c>
      <c r="JP42" s="339">
        <v>3</v>
      </c>
      <c r="JS42" s="339">
        <v>6</v>
      </c>
      <c r="JT42" s="339" t="s">
        <v>2418</v>
      </c>
      <c r="JU42" s="339">
        <v>26</v>
      </c>
      <c r="JV42" s="339">
        <v>13</v>
      </c>
      <c r="JW42" s="339">
        <v>3</v>
      </c>
      <c r="JX42" s="339">
        <v>3</v>
      </c>
      <c r="JY42" s="339">
        <v>1</v>
      </c>
      <c r="JZ42" s="339">
        <v>6</v>
      </c>
      <c r="KA42" s="339" t="s">
        <v>2785</v>
      </c>
      <c r="KB42" s="351">
        <v>49</v>
      </c>
      <c r="KC42" s="339">
        <v>0</v>
      </c>
      <c r="KD42" s="339" t="s">
        <v>78</v>
      </c>
      <c r="KE42" s="339">
        <v>0</v>
      </c>
      <c r="KF42" s="339" t="s">
        <v>2757</v>
      </c>
      <c r="KG42" s="339">
        <v>0</v>
      </c>
      <c r="KJ42" s="339">
        <v>6</v>
      </c>
      <c r="KK42" s="339" t="s">
        <v>1591</v>
      </c>
      <c r="KL42" s="339">
        <v>26</v>
      </c>
      <c r="KM42" s="339">
        <v>14</v>
      </c>
      <c r="KN42" s="339">
        <v>3</v>
      </c>
      <c r="KO42" s="339">
        <v>3</v>
      </c>
      <c r="KP42" s="339">
        <v>1</v>
      </c>
      <c r="KQ42" s="339">
        <v>5</v>
      </c>
      <c r="KR42" s="339" t="s">
        <v>2820</v>
      </c>
      <c r="KS42" s="351">
        <v>52</v>
      </c>
      <c r="KT42" s="339">
        <v>0</v>
      </c>
      <c r="KU42" s="339" t="s">
        <v>78</v>
      </c>
      <c r="KV42" s="339">
        <v>0</v>
      </c>
      <c r="KW42" s="339" t="s">
        <v>2757</v>
      </c>
      <c r="KX42" s="339">
        <v>0</v>
      </c>
      <c r="LA42" s="339">
        <v>6</v>
      </c>
      <c r="LB42" s="339" t="s">
        <v>2706</v>
      </c>
      <c r="LC42" s="339">
        <v>26</v>
      </c>
      <c r="LD42" s="339">
        <v>16</v>
      </c>
      <c r="LE42" s="339">
        <v>0</v>
      </c>
      <c r="LF42" s="339">
        <v>7</v>
      </c>
      <c r="LG42" s="339">
        <v>0</v>
      </c>
      <c r="LH42" s="339">
        <v>3</v>
      </c>
      <c r="LI42" s="352">
        <v>4.0756944444444443</v>
      </c>
      <c r="LJ42" s="351">
        <v>39</v>
      </c>
      <c r="LK42" s="339">
        <v>0</v>
      </c>
      <c r="LL42" s="339" t="s">
        <v>78</v>
      </c>
      <c r="LM42" s="339">
        <v>0</v>
      </c>
      <c r="LN42" s="339" t="s">
        <v>2757</v>
      </c>
      <c r="LO42" s="339">
        <v>0</v>
      </c>
      <c r="LR42" s="339">
        <v>6</v>
      </c>
      <c r="LS42" s="339" t="s">
        <v>2490</v>
      </c>
      <c r="LT42" s="339">
        <v>26</v>
      </c>
      <c r="LU42" s="339">
        <v>13</v>
      </c>
      <c r="LV42" s="339">
        <v>0</v>
      </c>
      <c r="LW42" s="339">
        <v>8</v>
      </c>
      <c r="LX42" s="339">
        <v>0</v>
      </c>
      <c r="LY42" s="339">
        <v>5</v>
      </c>
      <c r="LZ42" s="352">
        <v>3.5812500000000003</v>
      </c>
      <c r="MA42" s="351">
        <v>34</v>
      </c>
      <c r="MB42" s="339">
        <v>23</v>
      </c>
      <c r="MC42" s="339" t="s">
        <v>2912</v>
      </c>
      <c r="MD42" s="339">
        <v>10</v>
      </c>
      <c r="ME42" s="339" t="s">
        <v>2913</v>
      </c>
      <c r="MF42" s="339">
        <v>4</v>
      </c>
    </row>
    <row r="43" spans="2:344" ht="42" thickBot="1" x14ac:dyDescent="0.35">
      <c r="B43" s="339">
        <v>7</v>
      </c>
      <c r="C43" s="339" t="s">
        <v>1282</v>
      </c>
      <c r="D43" s="339">
        <v>26</v>
      </c>
      <c r="E43" s="339">
        <v>14</v>
      </c>
      <c r="F43" s="339">
        <v>2</v>
      </c>
      <c r="G43" s="339"/>
      <c r="H43" s="339">
        <v>3</v>
      </c>
      <c r="I43" s="339">
        <v>7</v>
      </c>
      <c r="J43" s="352">
        <v>2.7909722222222224</v>
      </c>
      <c r="K43" s="351">
        <v>49</v>
      </c>
      <c r="L43" s="339">
        <v>18</v>
      </c>
      <c r="M43" s="339" t="s">
        <v>1364</v>
      </c>
      <c r="N43" s="339">
        <v>16</v>
      </c>
      <c r="O43" s="339" t="s">
        <v>1365</v>
      </c>
      <c r="P43" s="339">
        <v>2</v>
      </c>
      <c r="Q43" s="342"/>
      <c r="S43" s="339">
        <v>7</v>
      </c>
      <c r="T43" s="339" t="s">
        <v>1282</v>
      </c>
      <c r="U43" s="339">
        <v>26</v>
      </c>
      <c r="V43" s="339">
        <v>13</v>
      </c>
      <c r="W43" s="339">
        <v>2</v>
      </c>
      <c r="X43" s="339">
        <v>3</v>
      </c>
      <c r="Y43" s="339">
        <v>8</v>
      </c>
      <c r="Z43" s="352">
        <v>3.1208333333333336</v>
      </c>
      <c r="AA43" s="351">
        <v>46</v>
      </c>
      <c r="AB43" s="339">
        <v>18</v>
      </c>
      <c r="AC43" s="339" t="s">
        <v>1474</v>
      </c>
      <c r="AD43" s="339">
        <v>10</v>
      </c>
      <c r="AE43" s="339" t="s">
        <v>1476</v>
      </c>
      <c r="AF43" s="339">
        <v>2</v>
      </c>
      <c r="AI43" s="339">
        <v>7</v>
      </c>
      <c r="AJ43" s="339" t="s">
        <v>1297</v>
      </c>
      <c r="AK43" s="339">
        <v>26</v>
      </c>
      <c r="AL43" s="339">
        <v>13</v>
      </c>
      <c r="AM43" s="339">
        <v>3</v>
      </c>
      <c r="AN43" s="339">
        <v>3</v>
      </c>
      <c r="AO43" s="339">
        <v>7</v>
      </c>
      <c r="AP43" s="352">
        <v>3.5375000000000001</v>
      </c>
      <c r="AQ43" s="351">
        <v>48</v>
      </c>
      <c r="AR43" s="339">
        <v>23</v>
      </c>
      <c r="AS43" s="339" t="s">
        <v>1558</v>
      </c>
      <c r="AT43" s="339">
        <v>16</v>
      </c>
      <c r="AU43" s="339" t="s">
        <v>1568</v>
      </c>
      <c r="AV43" s="339">
        <v>4</v>
      </c>
      <c r="AY43" s="339">
        <v>7</v>
      </c>
      <c r="AZ43" s="339" t="s">
        <v>1278</v>
      </c>
      <c r="BA43" s="339">
        <v>26</v>
      </c>
      <c r="BB43" s="339">
        <v>13</v>
      </c>
      <c r="BC43" s="339">
        <v>2</v>
      </c>
      <c r="BD43" s="339">
        <v>4</v>
      </c>
      <c r="BE43" s="339">
        <v>7</v>
      </c>
      <c r="BF43" s="339" t="s">
        <v>1679</v>
      </c>
      <c r="BG43" s="351">
        <v>47</v>
      </c>
      <c r="BH43" s="339">
        <v>23</v>
      </c>
      <c r="BI43" s="339" t="s">
        <v>1680</v>
      </c>
      <c r="BJ43" s="339">
        <v>11</v>
      </c>
      <c r="BK43" s="339" t="s">
        <v>1675</v>
      </c>
      <c r="BL43" s="339">
        <v>1</v>
      </c>
      <c r="BO43" s="339">
        <v>7</v>
      </c>
      <c r="BP43" s="339" t="s">
        <v>1297</v>
      </c>
      <c r="BQ43" s="339">
        <v>26</v>
      </c>
      <c r="BR43" s="339">
        <v>14</v>
      </c>
      <c r="BS43" s="339">
        <v>3</v>
      </c>
      <c r="BT43" s="339">
        <v>1</v>
      </c>
      <c r="BU43" s="339">
        <v>8</v>
      </c>
      <c r="BV43" s="339" t="s">
        <v>1768</v>
      </c>
      <c r="BW43" s="351">
        <v>49</v>
      </c>
      <c r="BX43" s="339">
        <v>34</v>
      </c>
      <c r="BY43" s="339" t="s">
        <v>1769</v>
      </c>
      <c r="BZ43" s="339">
        <v>22</v>
      </c>
      <c r="CA43" s="339" t="s">
        <v>1770</v>
      </c>
      <c r="CB43" s="339">
        <v>3</v>
      </c>
      <c r="CE43" s="339">
        <v>7</v>
      </c>
      <c r="CF43" s="339" t="s">
        <v>1311</v>
      </c>
      <c r="CG43" s="339">
        <v>26</v>
      </c>
      <c r="CH43" s="339">
        <v>14</v>
      </c>
      <c r="CI43" s="339">
        <v>2</v>
      </c>
      <c r="CJ43" s="339">
        <v>3</v>
      </c>
      <c r="CK43" s="339">
        <v>7</v>
      </c>
      <c r="CL43" s="339" t="s">
        <v>1858</v>
      </c>
      <c r="CM43" s="351">
        <v>49</v>
      </c>
      <c r="CN43" s="339">
        <v>25</v>
      </c>
      <c r="CO43" s="339" t="s">
        <v>1859</v>
      </c>
      <c r="CP43" s="339">
        <v>23</v>
      </c>
      <c r="CQ43" s="339" t="s">
        <v>1337</v>
      </c>
      <c r="CR43" s="339">
        <v>4</v>
      </c>
      <c r="CU43" s="339">
        <v>7</v>
      </c>
      <c r="CV43" s="339" t="s">
        <v>1278</v>
      </c>
      <c r="CW43" s="339">
        <v>26</v>
      </c>
      <c r="CX43" s="339">
        <v>12</v>
      </c>
      <c r="CY43" s="339">
        <v>4</v>
      </c>
      <c r="CZ43" s="339">
        <v>5</v>
      </c>
      <c r="DA43" s="339">
        <v>5</v>
      </c>
      <c r="DB43" s="352">
        <v>3.4986111111111113</v>
      </c>
      <c r="DC43" s="351">
        <v>49</v>
      </c>
      <c r="DD43" s="339">
        <v>25</v>
      </c>
      <c r="DE43" s="339" t="s">
        <v>1957</v>
      </c>
      <c r="DF43" s="339">
        <v>15</v>
      </c>
      <c r="DG43" s="339" t="s">
        <v>1958</v>
      </c>
      <c r="DH43" s="339">
        <v>2</v>
      </c>
      <c r="DK43" s="339">
        <v>7</v>
      </c>
      <c r="DL43" s="339" t="s">
        <v>1311</v>
      </c>
      <c r="DM43" s="339">
        <v>26</v>
      </c>
      <c r="DN43" s="339">
        <v>13</v>
      </c>
      <c r="DO43" s="339">
        <v>3</v>
      </c>
      <c r="DP43" s="339">
        <v>3</v>
      </c>
      <c r="DQ43" s="339">
        <v>7</v>
      </c>
      <c r="DR43" s="339" t="s">
        <v>2048</v>
      </c>
      <c r="DS43" s="351">
        <v>48</v>
      </c>
      <c r="DT43" s="339">
        <v>31</v>
      </c>
      <c r="DU43" s="339" t="s">
        <v>1949</v>
      </c>
      <c r="DV43" s="339">
        <v>13</v>
      </c>
      <c r="DW43" s="339" t="s">
        <v>2049</v>
      </c>
      <c r="DX43" s="339">
        <v>3</v>
      </c>
      <c r="EA43" s="339">
        <v>7</v>
      </c>
      <c r="EB43" s="339" t="s">
        <v>1293</v>
      </c>
      <c r="EC43" s="339">
        <v>26</v>
      </c>
      <c r="ED43" s="339">
        <v>13</v>
      </c>
      <c r="EE43" s="339">
        <v>3</v>
      </c>
      <c r="EF43" s="339">
        <v>5</v>
      </c>
      <c r="EG43" s="339">
        <v>5</v>
      </c>
      <c r="EH43" s="339" t="s">
        <v>2122</v>
      </c>
      <c r="EI43" s="351">
        <v>50</v>
      </c>
      <c r="EJ43" s="339">
        <v>30</v>
      </c>
      <c r="EK43" s="339" t="s">
        <v>2093</v>
      </c>
      <c r="EL43" s="339">
        <v>23</v>
      </c>
      <c r="EM43" s="339" t="s">
        <v>2123</v>
      </c>
      <c r="EN43" s="339">
        <v>1</v>
      </c>
      <c r="EQ43" s="339">
        <v>7</v>
      </c>
      <c r="ER43" s="339" t="s">
        <v>1266</v>
      </c>
      <c r="ES43" s="339">
        <v>26</v>
      </c>
      <c r="ET43" s="339">
        <v>11</v>
      </c>
      <c r="EU43" s="339">
        <v>5</v>
      </c>
      <c r="EV43" s="339">
        <v>4</v>
      </c>
      <c r="EW43" s="339">
        <v>6</v>
      </c>
      <c r="EX43" s="339" t="s">
        <v>2203</v>
      </c>
      <c r="EY43" s="351">
        <v>47</v>
      </c>
      <c r="EZ43" s="339">
        <v>28</v>
      </c>
      <c r="FA43" s="339" t="s">
        <v>2204</v>
      </c>
      <c r="FB43" s="339">
        <v>24</v>
      </c>
      <c r="FC43" s="339" t="s">
        <v>2205</v>
      </c>
      <c r="FD43" s="339">
        <v>1</v>
      </c>
      <c r="FG43" s="339">
        <v>7</v>
      </c>
      <c r="FH43" s="339" t="s">
        <v>1262</v>
      </c>
      <c r="FI43" s="339">
        <v>26</v>
      </c>
      <c r="FJ43" s="339">
        <v>15</v>
      </c>
      <c r="FK43" s="339">
        <v>1</v>
      </c>
      <c r="FL43" s="339">
        <v>3</v>
      </c>
      <c r="FM43" s="339">
        <v>7</v>
      </c>
      <c r="FN43" s="339" t="s">
        <v>2291</v>
      </c>
      <c r="FO43" s="351">
        <v>50</v>
      </c>
      <c r="FP43" s="339">
        <v>33</v>
      </c>
      <c r="FQ43" s="339" t="s">
        <v>2292</v>
      </c>
      <c r="FR43" s="339">
        <v>21</v>
      </c>
      <c r="FS43" s="339" t="s">
        <v>1349</v>
      </c>
      <c r="FT43" s="339">
        <v>2</v>
      </c>
      <c r="FW43" s="339">
        <v>7</v>
      </c>
      <c r="FX43" s="339" t="s">
        <v>2236</v>
      </c>
      <c r="FY43" s="339">
        <v>26</v>
      </c>
      <c r="FZ43" s="339">
        <v>9</v>
      </c>
      <c r="GA43" s="339">
        <v>10</v>
      </c>
      <c r="GB43" s="339">
        <v>4</v>
      </c>
      <c r="GC43" s="339">
        <v>3</v>
      </c>
      <c r="GD43" s="339" t="s">
        <v>2374</v>
      </c>
      <c r="GE43" s="351">
        <v>51</v>
      </c>
      <c r="GF43" s="339">
        <v>41</v>
      </c>
      <c r="GG43" s="339" t="s">
        <v>2375</v>
      </c>
      <c r="GH43" s="339">
        <v>27</v>
      </c>
      <c r="GI43" s="339" t="s">
        <v>1594</v>
      </c>
      <c r="GJ43" s="339">
        <v>5</v>
      </c>
      <c r="GM43" s="339">
        <v>7</v>
      </c>
      <c r="GN43" s="339" t="s">
        <v>2249</v>
      </c>
      <c r="GO43" s="339">
        <v>26</v>
      </c>
      <c r="GP43" s="339">
        <v>12</v>
      </c>
      <c r="GQ43" s="339">
        <v>7</v>
      </c>
      <c r="GR43" s="339">
        <v>1</v>
      </c>
      <c r="GS43" s="339">
        <v>6</v>
      </c>
      <c r="GT43" s="352">
        <v>3.1159722222222221</v>
      </c>
      <c r="GU43" s="351">
        <v>51</v>
      </c>
      <c r="GV43" s="339">
        <v>30</v>
      </c>
      <c r="GW43" s="366">
        <v>43602</v>
      </c>
      <c r="GX43" s="339">
        <v>13</v>
      </c>
      <c r="GY43" s="339" t="s">
        <v>2001</v>
      </c>
      <c r="GZ43" s="339">
        <v>6</v>
      </c>
      <c r="HC43" s="339">
        <v>7</v>
      </c>
      <c r="HD43" s="339" t="s">
        <v>1297</v>
      </c>
      <c r="HE43" s="339">
        <v>26</v>
      </c>
      <c r="HF43" s="339">
        <v>14</v>
      </c>
      <c r="HG43" s="339">
        <v>1</v>
      </c>
      <c r="HH43" s="339">
        <v>1</v>
      </c>
      <c r="HI43" s="339">
        <v>2</v>
      </c>
      <c r="HJ43" s="339">
        <v>8</v>
      </c>
      <c r="HK43" s="352">
        <v>3.7895833333333333</v>
      </c>
      <c r="HL43" s="351">
        <v>47</v>
      </c>
      <c r="HM43" s="339">
        <v>24</v>
      </c>
      <c r="HN43" s="339" t="s">
        <v>2532</v>
      </c>
      <c r="HO43" s="339">
        <v>18</v>
      </c>
      <c r="HP43" s="339" t="s">
        <v>2533</v>
      </c>
      <c r="HQ43" s="339">
        <v>7</v>
      </c>
      <c r="HT43" s="339">
        <v>7</v>
      </c>
      <c r="HU43" s="339" t="s">
        <v>2402</v>
      </c>
      <c r="HV43" s="339">
        <v>26</v>
      </c>
      <c r="HW43" s="339">
        <v>14</v>
      </c>
      <c r="HX43" s="339">
        <v>1</v>
      </c>
      <c r="HY43" s="339">
        <v>2</v>
      </c>
      <c r="HZ43" s="339">
        <v>0</v>
      </c>
      <c r="IA43" s="339">
        <v>9</v>
      </c>
      <c r="IB43" s="352">
        <v>2.9541666666666671</v>
      </c>
      <c r="IC43" s="351">
        <v>46</v>
      </c>
      <c r="ID43" s="339">
        <v>24</v>
      </c>
      <c r="IE43" s="366">
        <v>43603</v>
      </c>
      <c r="IF43" s="339">
        <v>10</v>
      </c>
      <c r="IG43" s="339" t="s">
        <v>1354</v>
      </c>
      <c r="IH43" s="339">
        <v>1</v>
      </c>
      <c r="IK43" s="339">
        <v>7</v>
      </c>
      <c r="IL43" s="339" t="s">
        <v>2249</v>
      </c>
      <c r="IM43" s="339">
        <v>26</v>
      </c>
      <c r="IN43" s="339">
        <v>13</v>
      </c>
      <c r="IO43" s="339">
        <v>3</v>
      </c>
      <c r="IP43" s="339">
        <v>3</v>
      </c>
      <c r="IQ43" s="339">
        <v>2</v>
      </c>
      <c r="IR43" s="339">
        <v>5</v>
      </c>
      <c r="IS43" s="352">
        <v>3.3326388888888889</v>
      </c>
      <c r="IT43" s="351">
        <v>50</v>
      </c>
      <c r="IU43" s="339">
        <v>26</v>
      </c>
      <c r="IV43" s="339" t="s">
        <v>2677</v>
      </c>
      <c r="IW43" s="339">
        <v>15</v>
      </c>
      <c r="IX43" s="339" t="s">
        <v>1598</v>
      </c>
      <c r="IY43" s="339">
        <v>2</v>
      </c>
      <c r="JB43" s="339">
        <v>7</v>
      </c>
      <c r="JC43" s="339" t="s">
        <v>2249</v>
      </c>
      <c r="JD43" s="339">
        <v>26</v>
      </c>
      <c r="JE43" s="339">
        <v>14</v>
      </c>
      <c r="JF43" s="339">
        <v>1</v>
      </c>
      <c r="JG43" s="339">
        <v>4</v>
      </c>
      <c r="JH43" s="339">
        <v>0</v>
      </c>
      <c r="JI43" s="339">
        <v>7</v>
      </c>
      <c r="JJ43" s="339" t="s">
        <v>2742</v>
      </c>
      <c r="JK43" s="351">
        <v>48</v>
      </c>
      <c r="JL43" s="339">
        <v>20</v>
      </c>
      <c r="JM43" s="339" t="s">
        <v>2457</v>
      </c>
      <c r="JN43" s="339">
        <v>11</v>
      </c>
      <c r="JO43" s="339" t="s">
        <v>2615</v>
      </c>
      <c r="JP43" s="339">
        <v>1</v>
      </c>
      <c r="JS43" s="339">
        <v>7</v>
      </c>
      <c r="JT43" s="339" t="s">
        <v>2706</v>
      </c>
      <c r="JU43" s="339">
        <v>26</v>
      </c>
      <c r="JV43" s="339">
        <v>14</v>
      </c>
      <c r="JW43" s="339">
        <v>0</v>
      </c>
      <c r="JX43" s="339">
        <v>4</v>
      </c>
      <c r="JY43" s="339">
        <v>1</v>
      </c>
      <c r="JZ43" s="339">
        <v>7</v>
      </c>
      <c r="KA43" s="339" t="s">
        <v>2786</v>
      </c>
      <c r="KB43" s="351">
        <v>47</v>
      </c>
      <c r="KC43" s="339">
        <v>0</v>
      </c>
      <c r="KD43" s="339" t="s">
        <v>78</v>
      </c>
      <c r="KE43" s="339">
        <v>0</v>
      </c>
      <c r="KF43" s="339" t="s">
        <v>2757</v>
      </c>
      <c r="KG43" s="339">
        <v>0</v>
      </c>
      <c r="KJ43" s="339">
        <v>7</v>
      </c>
      <c r="KK43" s="339" t="s">
        <v>1297</v>
      </c>
      <c r="KL43" s="339">
        <v>26</v>
      </c>
      <c r="KM43" s="339">
        <v>15</v>
      </c>
      <c r="KN43" s="339">
        <v>0</v>
      </c>
      <c r="KO43" s="339">
        <v>1</v>
      </c>
      <c r="KP43" s="339">
        <v>1</v>
      </c>
      <c r="KQ43" s="339">
        <v>9</v>
      </c>
      <c r="KR43" s="339" t="s">
        <v>1528</v>
      </c>
      <c r="KS43" s="351">
        <v>47</v>
      </c>
      <c r="KT43" s="339">
        <v>0</v>
      </c>
      <c r="KU43" s="339" t="s">
        <v>78</v>
      </c>
      <c r="KV43" s="339">
        <v>0</v>
      </c>
      <c r="KW43" s="339" t="s">
        <v>2757</v>
      </c>
      <c r="KX43" s="339">
        <v>0</v>
      </c>
      <c r="LA43" s="339">
        <v>7</v>
      </c>
      <c r="LB43" s="339" t="s">
        <v>2412</v>
      </c>
      <c r="LC43" s="339">
        <v>26</v>
      </c>
      <c r="LD43" s="339">
        <v>16</v>
      </c>
      <c r="LE43" s="339">
        <v>0</v>
      </c>
      <c r="LF43" s="339">
        <v>6</v>
      </c>
      <c r="LG43" s="339">
        <v>0</v>
      </c>
      <c r="LH43" s="339">
        <v>4</v>
      </c>
      <c r="LI43" s="352">
        <v>4.1215277777777777</v>
      </c>
      <c r="LJ43" s="351">
        <v>38</v>
      </c>
      <c r="LK43" s="339">
        <v>0</v>
      </c>
      <c r="LL43" s="339" t="s">
        <v>78</v>
      </c>
      <c r="LM43" s="339">
        <v>0</v>
      </c>
      <c r="LN43" s="339" t="s">
        <v>2757</v>
      </c>
      <c r="LO43" s="339">
        <v>0</v>
      </c>
      <c r="LR43" s="339">
        <v>7</v>
      </c>
      <c r="LS43" s="339" t="s">
        <v>2412</v>
      </c>
      <c r="LT43" s="339">
        <v>26</v>
      </c>
      <c r="LU43" s="339">
        <v>15</v>
      </c>
      <c r="LV43" s="339">
        <v>0</v>
      </c>
      <c r="LW43" s="339">
        <v>4</v>
      </c>
      <c r="LX43" s="339">
        <v>0</v>
      </c>
      <c r="LY43" s="339">
        <v>7</v>
      </c>
      <c r="LZ43" s="352">
        <v>3.0805555555555557</v>
      </c>
      <c r="MA43" s="351">
        <v>34</v>
      </c>
      <c r="MB43" s="339">
        <v>19</v>
      </c>
      <c r="MC43" s="366">
        <v>43660</v>
      </c>
      <c r="MD43" s="339">
        <v>12</v>
      </c>
      <c r="ME43" s="339" t="s">
        <v>2914</v>
      </c>
      <c r="MF43" s="339">
        <v>1</v>
      </c>
    </row>
    <row r="44" spans="2:344" ht="55.8" thickBot="1" x14ac:dyDescent="0.35">
      <c r="B44" s="339">
        <v>8</v>
      </c>
      <c r="C44" s="339" t="s">
        <v>1293</v>
      </c>
      <c r="D44" s="339">
        <v>26</v>
      </c>
      <c r="E44" s="339">
        <v>14</v>
      </c>
      <c r="F44" s="339">
        <v>1</v>
      </c>
      <c r="G44" s="339"/>
      <c r="H44" s="339">
        <v>3</v>
      </c>
      <c r="I44" s="339">
        <v>8</v>
      </c>
      <c r="J44" s="339" t="s">
        <v>1366</v>
      </c>
      <c r="K44" s="351">
        <v>47</v>
      </c>
      <c r="L44" s="339">
        <v>19</v>
      </c>
      <c r="M44" s="339" t="s">
        <v>1367</v>
      </c>
      <c r="N44" s="339">
        <v>12</v>
      </c>
      <c r="O44" s="339" t="s">
        <v>1368</v>
      </c>
      <c r="P44" s="339">
        <v>2</v>
      </c>
      <c r="Q44" s="342"/>
      <c r="S44" s="339">
        <v>8</v>
      </c>
      <c r="T44" s="339" t="s">
        <v>1311</v>
      </c>
      <c r="U44" s="339">
        <v>26</v>
      </c>
      <c r="V44" s="339">
        <v>14</v>
      </c>
      <c r="W44" s="339">
        <v>1</v>
      </c>
      <c r="X44" s="339">
        <v>2</v>
      </c>
      <c r="Y44" s="339">
        <v>9</v>
      </c>
      <c r="Z44" s="339" t="s">
        <v>1477</v>
      </c>
      <c r="AA44" s="351">
        <v>46</v>
      </c>
      <c r="AB44" s="339">
        <v>21</v>
      </c>
      <c r="AC44" s="339" t="s">
        <v>1478</v>
      </c>
      <c r="AD44" s="339">
        <v>13</v>
      </c>
      <c r="AE44" s="339" t="s">
        <v>1479</v>
      </c>
      <c r="AF44" s="339">
        <v>1</v>
      </c>
      <c r="AI44" s="339">
        <v>8</v>
      </c>
      <c r="AJ44" s="339" t="s">
        <v>1286</v>
      </c>
      <c r="AK44" s="339">
        <v>26</v>
      </c>
      <c r="AL44" s="339">
        <v>12</v>
      </c>
      <c r="AM44" s="339">
        <v>5</v>
      </c>
      <c r="AN44" s="339">
        <v>0</v>
      </c>
      <c r="AO44" s="339">
        <v>9</v>
      </c>
      <c r="AP44" s="352">
        <v>2.8729166666666668</v>
      </c>
      <c r="AQ44" s="351">
        <v>46</v>
      </c>
      <c r="AR44" s="339">
        <v>19</v>
      </c>
      <c r="AS44" s="339" t="s">
        <v>1569</v>
      </c>
      <c r="AT44" s="339">
        <v>20</v>
      </c>
      <c r="AU44" s="339" t="s">
        <v>1570</v>
      </c>
      <c r="AV44" s="339">
        <v>5</v>
      </c>
      <c r="AY44" s="339">
        <v>8</v>
      </c>
      <c r="AZ44" s="339" t="s">
        <v>1270</v>
      </c>
      <c r="BA44" s="339">
        <v>26</v>
      </c>
      <c r="BB44" s="339">
        <v>12</v>
      </c>
      <c r="BC44" s="339">
        <v>4</v>
      </c>
      <c r="BD44" s="339">
        <v>2</v>
      </c>
      <c r="BE44" s="339">
        <v>8</v>
      </c>
      <c r="BF44" s="339" t="s">
        <v>1681</v>
      </c>
      <c r="BG44" s="351">
        <v>46</v>
      </c>
      <c r="BH44" s="339">
        <v>23</v>
      </c>
      <c r="BI44" s="366">
        <v>43693</v>
      </c>
      <c r="BJ44" s="339">
        <v>17</v>
      </c>
      <c r="BK44" s="339" t="s">
        <v>1416</v>
      </c>
      <c r="BL44" s="339">
        <v>2</v>
      </c>
      <c r="BO44" s="339">
        <v>8</v>
      </c>
      <c r="BP44" s="339" t="s">
        <v>1303</v>
      </c>
      <c r="BQ44" s="339">
        <v>26</v>
      </c>
      <c r="BR44" s="339">
        <v>14</v>
      </c>
      <c r="BS44" s="339">
        <v>1</v>
      </c>
      <c r="BT44" s="339">
        <v>3</v>
      </c>
      <c r="BU44" s="339">
        <v>8</v>
      </c>
      <c r="BV44" s="352">
        <v>2.8312500000000003</v>
      </c>
      <c r="BW44" s="351">
        <v>47</v>
      </c>
      <c r="BX44" s="339">
        <v>25</v>
      </c>
      <c r="BY44" s="339" t="s">
        <v>1442</v>
      </c>
      <c r="BZ44" s="339">
        <v>22</v>
      </c>
      <c r="CA44" s="339" t="s">
        <v>1771</v>
      </c>
      <c r="CB44" s="339">
        <v>4</v>
      </c>
      <c r="CE44" s="339">
        <v>8</v>
      </c>
      <c r="CF44" s="339" t="s">
        <v>1274</v>
      </c>
      <c r="CG44" s="339">
        <v>26</v>
      </c>
      <c r="CH44" s="339">
        <v>12</v>
      </c>
      <c r="CI44" s="339">
        <v>4</v>
      </c>
      <c r="CJ44" s="339">
        <v>5</v>
      </c>
      <c r="CK44" s="339">
        <v>5</v>
      </c>
      <c r="CL44" s="352">
        <v>2.6159722222222221</v>
      </c>
      <c r="CM44" s="351">
        <v>49</v>
      </c>
      <c r="CN44" s="339">
        <v>24</v>
      </c>
      <c r="CO44" s="339" t="s">
        <v>1860</v>
      </c>
      <c r="CP44" s="339">
        <v>14</v>
      </c>
      <c r="CQ44" s="339" t="s">
        <v>1861</v>
      </c>
      <c r="CR44" s="339">
        <v>2</v>
      </c>
      <c r="CU44" s="339">
        <v>8</v>
      </c>
      <c r="CV44" s="339" t="s">
        <v>1591</v>
      </c>
      <c r="CW44" s="339">
        <v>26</v>
      </c>
      <c r="CX44" s="339">
        <v>10</v>
      </c>
      <c r="CY44" s="339">
        <v>8</v>
      </c>
      <c r="CZ44" s="339">
        <v>3</v>
      </c>
      <c r="DA44" s="339">
        <v>5</v>
      </c>
      <c r="DB44" s="352">
        <v>2.9923611111111108</v>
      </c>
      <c r="DC44" s="351">
        <v>49</v>
      </c>
      <c r="DD44" s="339">
        <v>19</v>
      </c>
      <c r="DE44" s="339" t="s">
        <v>1959</v>
      </c>
      <c r="DF44" s="339">
        <v>17</v>
      </c>
      <c r="DG44" s="339" t="s">
        <v>1960</v>
      </c>
      <c r="DH44" s="339">
        <v>0</v>
      </c>
      <c r="DK44" s="339">
        <v>8</v>
      </c>
      <c r="DL44" s="339" t="s">
        <v>1278</v>
      </c>
      <c r="DM44" s="339">
        <v>26</v>
      </c>
      <c r="DN44" s="339">
        <v>13</v>
      </c>
      <c r="DO44" s="339">
        <v>3</v>
      </c>
      <c r="DP44" s="339">
        <v>3</v>
      </c>
      <c r="DQ44" s="339">
        <v>7</v>
      </c>
      <c r="DR44" s="352">
        <v>3.1166666666666667</v>
      </c>
      <c r="DS44" s="351">
        <v>48</v>
      </c>
      <c r="DT44" s="339">
        <v>19</v>
      </c>
      <c r="DU44" s="339" t="s">
        <v>2050</v>
      </c>
      <c r="DV44" s="339">
        <v>15</v>
      </c>
      <c r="DW44" s="339" t="s">
        <v>1405</v>
      </c>
      <c r="DX44" s="339">
        <v>5</v>
      </c>
      <c r="EA44" s="339">
        <v>8</v>
      </c>
      <c r="EB44" s="339" t="s">
        <v>2068</v>
      </c>
      <c r="EC44" s="339">
        <v>26</v>
      </c>
      <c r="ED44" s="339">
        <v>12</v>
      </c>
      <c r="EE44" s="339">
        <v>2</v>
      </c>
      <c r="EF44" s="339">
        <v>5</v>
      </c>
      <c r="EG44" s="339">
        <v>7</v>
      </c>
      <c r="EH44" s="339" t="s">
        <v>2124</v>
      </c>
      <c r="EI44" s="351">
        <v>45</v>
      </c>
      <c r="EJ44" s="339">
        <v>21</v>
      </c>
      <c r="EK44" s="339" t="s">
        <v>1870</v>
      </c>
      <c r="EL44" s="339">
        <v>15</v>
      </c>
      <c r="EM44" s="339" t="s">
        <v>2125</v>
      </c>
      <c r="EN44" s="339">
        <v>0</v>
      </c>
      <c r="EQ44" s="339">
        <v>8</v>
      </c>
      <c r="ER44" s="339" t="s">
        <v>1278</v>
      </c>
      <c r="ES44" s="339">
        <v>26</v>
      </c>
      <c r="ET44" s="339">
        <v>13</v>
      </c>
      <c r="EU44" s="339">
        <v>2</v>
      </c>
      <c r="EV44" s="339">
        <v>1</v>
      </c>
      <c r="EW44" s="339">
        <v>10</v>
      </c>
      <c r="EX44" s="339" t="s">
        <v>2206</v>
      </c>
      <c r="EY44" s="351">
        <v>44</v>
      </c>
      <c r="EZ44" s="339">
        <v>20</v>
      </c>
      <c r="FA44" s="339" t="s">
        <v>2207</v>
      </c>
      <c r="FB44" s="339">
        <v>22</v>
      </c>
      <c r="FC44" s="339" t="s">
        <v>1590</v>
      </c>
      <c r="FD44" s="339">
        <v>1</v>
      </c>
      <c r="FG44" s="339">
        <v>8</v>
      </c>
      <c r="FH44" s="339" t="s">
        <v>2169</v>
      </c>
      <c r="FI44" s="339">
        <v>26</v>
      </c>
      <c r="FJ44" s="339">
        <v>11</v>
      </c>
      <c r="FK44" s="339">
        <v>7</v>
      </c>
      <c r="FL44" s="339">
        <v>2</v>
      </c>
      <c r="FM44" s="339">
        <v>6</v>
      </c>
      <c r="FN44" s="339" t="s">
        <v>2293</v>
      </c>
      <c r="FO44" s="351">
        <v>49</v>
      </c>
      <c r="FP44" s="339">
        <v>26</v>
      </c>
      <c r="FQ44" s="339" t="s">
        <v>2294</v>
      </c>
      <c r="FR44" s="339">
        <v>16</v>
      </c>
      <c r="FS44" s="339" t="s">
        <v>2295</v>
      </c>
      <c r="FT44" s="339">
        <v>1</v>
      </c>
      <c r="FW44" s="339">
        <v>8</v>
      </c>
      <c r="FX44" s="339" t="s">
        <v>1286</v>
      </c>
      <c r="FY44" s="339">
        <v>26</v>
      </c>
      <c r="FZ44" s="339">
        <v>13</v>
      </c>
      <c r="GA44" s="339">
        <v>4</v>
      </c>
      <c r="GB44" s="339">
        <v>3</v>
      </c>
      <c r="GC44" s="339">
        <v>6</v>
      </c>
      <c r="GD44" s="352">
        <v>3.4562500000000003</v>
      </c>
      <c r="GE44" s="351">
        <v>50</v>
      </c>
      <c r="GF44" s="339">
        <v>34</v>
      </c>
      <c r="GG44" s="339" t="s">
        <v>1938</v>
      </c>
      <c r="GH44" s="339">
        <v>17</v>
      </c>
      <c r="GI44" s="339" t="s">
        <v>2376</v>
      </c>
      <c r="GJ44" s="339">
        <v>5</v>
      </c>
      <c r="GM44" s="339">
        <v>8</v>
      </c>
      <c r="GN44" s="339" t="s">
        <v>1286</v>
      </c>
      <c r="GO44" s="339">
        <v>26</v>
      </c>
      <c r="GP44" s="339">
        <v>15</v>
      </c>
      <c r="GQ44" s="339">
        <v>2</v>
      </c>
      <c r="GR44" s="339">
        <v>2</v>
      </c>
      <c r="GS44" s="339">
        <v>7</v>
      </c>
      <c r="GT44" s="352">
        <v>3.4548611111111112</v>
      </c>
      <c r="GU44" s="351">
        <v>51</v>
      </c>
      <c r="GV44" s="339">
        <v>21</v>
      </c>
      <c r="GW44" s="339" t="s">
        <v>1400</v>
      </c>
      <c r="GX44" s="339">
        <v>17</v>
      </c>
      <c r="GY44" s="339" t="s">
        <v>2456</v>
      </c>
      <c r="GZ44" s="339">
        <v>4</v>
      </c>
      <c r="HC44" s="339">
        <v>8</v>
      </c>
      <c r="HD44" s="339" t="s">
        <v>1303</v>
      </c>
      <c r="HE44" s="339">
        <v>26</v>
      </c>
      <c r="HF44" s="339">
        <v>14</v>
      </c>
      <c r="HG44" s="339">
        <v>0</v>
      </c>
      <c r="HH44" s="339">
        <v>4</v>
      </c>
      <c r="HI44" s="339">
        <v>1</v>
      </c>
      <c r="HJ44" s="339">
        <v>7</v>
      </c>
      <c r="HK44" s="352">
        <v>3.0791666666666671</v>
      </c>
      <c r="HL44" s="351">
        <v>47</v>
      </c>
      <c r="HM44" s="339">
        <v>28</v>
      </c>
      <c r="HN44" s="339" t="s">
        <v>2534</v>
      </c>
      <c r="HO44" s="339">
        <v>9</v>
      </c>
      <c r="HP44" s="339" t="s">
        <v>2535</v>
      </c>
      <c r="HQ44" s="339">
        <v>2</v>
      </c>
      <c r="HT44" s="339">
        <v>8</v>
      </c>
      <c r="HU44" s="339" t="s">
        <v>1303</v>
      </c>
      <c r="HV44" s="339">
        <v>26</v>
      </c>
      <c r="HW44" s="339">
        <v>12</v>
      </c>
      <c r="HX44" s="339">
        <v>1</v>
      </c>
      <c r="HY44" s="339">
        <v>3</v>
      </c>
      <c r="HZ44" s="339">
        <v>0</v>
      </c>
      <c r="IA44" s="339">
        <v>10</v>
      </c>
      <c r="IB44" s="352">
        <v>3.2076388888888889</v>
      </c>
      <c r="IC44" s="351">
        <v>41</v>
      </c>
      <c r="ID44" s="339">
        <v>26</v>
      </c>
      <c r="IE44" s="339" t="s">
        <v>2599</v>
      </c>
      <c r="IF44" s="339">
        <v>12</v>
      </c>
      <c r="IG44" s="339" t="s">
        <v>2600</v>
      </c>
      <c r="IH44" s="339">
        <v>2</v>
      </c>
      <c r="IK44" s="339">
        <v>8</v>
      </c>
      <c r="IL44" s="339" t="s">
        <v>2402</v>
      </c>
      <c r="IM44" s="339">
        <v>26</v>
      </c>
      <c r="IN44" s="339">
        <v>15</v>
      </c>
      <c r="IO44" s="339">
        <v>1</v>
      </c>
      <c r="IP44" s="339">
        <v>0</v>
      </c>
      <c r="IQ44" s="339">
        <v>2</v>
      </c>
      <c r="IR44" s="339">
        <v>8</v>
      </c>
      <c r="IS44" s="352">
        <v>2.8722222222222222</v>
      </c>
      <c r="IT44" s="351">
        <v>49</v>
      </c>
      <c r="IU44" s="339">
        <v>24</v>
      </c>
      <c r="IV44" s="339" t="s">
        <v>1525</v>
      </c>
      <c r="IW44" s="339">
        <v>19</v>
      </c>
      <c r="IX44" s="339" t="s">
        <v>2168</v>
      </c>
      <c r="IY44" s="339">
        <v>2</v>
      </c>
      <c r="JB44" s="339">
        <v>8</v>
      </c>
      <c r="JC44" s="339" t="s">
        <v>1303</v>
      </c>
      <c r="JD44" s="339">
        <v>26</v>
      </c>
      <c r="JE44" s="339">
        <v>12</v>
      </c>
      <c r="JF44" s="339">
        <v>3</v>
      </c>
      <c r="JG44" s="339">
        <v>2</v>
      </c>
      <c r="JH44" s="339">
        <v>3</v>
      </c>
      <c r="JI44" s="339">
        <v>6</v>
      </c>
      <c r="JJ44" s="339" t="s">
        <v>2743</v>
      </c>
      <c r="JK44" s="351">
        <v>47</v>
      </c>
      <c r="JL44" s="339">
        <v>19</v>
      </c>
      <c r="JM44" s="339" t="s">
        <v>1743</v>
      </c>
      <c r="JN44" s="339">
        <v>19</v>
      </c>
      <c r="JO44" s="339" t="s">
        <v>1440</v>
      </c>
      <c r="JP44" s="339">
        <v>4</v>
      </c>
      <c r="JS44" s="339">
        <v>8</v>
      </c>
      <c r="JT44" s="339" t="s">
        <v>1286</v>
      </c>
      <c r="JU44" s="339">
        <v>26</v>
      </c>
      <c r="JV44" s="339">
        <v>12</v>
      </c>
      <c r="JW44" s="339">
        <v>1</v>
      </c>
      <c r="JX44" s="339">
        <v>2</v>
      </c>
      <c r="JY44" s="339">
        <v>2</v>
      </c>
      <c r="JZ44" s="339">
        <v>9</v>
      </c>
      <c r="KA44" s="339" t="s">
        <v>1954</v>
      </c>
      <c r="KB44" s="351">
        <v>42</v>
      </c>
      <c r="KC44" s="339">
        <v>0</v>
      </c>
      <c r="KD44" s="339" t="s">
        <v>78</v>
      </c>
      <c r="KE44" s="339">
        <v>0</v>
      </c>
      <c r="KF44" s="339" t="s">
        <v>2757</v>
      </c>
      <c r="KG44" s="339">
        <v>0</v>
      </c>
      <c r="KJ44" s="339">
        <v>8</v>
      </c>
      <c r="KK44" s="339" t="s">
        <v>1286</v>
      </c>
      <c r="KL44" s="339">
        <v>26</v>
      </c>
      <c r="KM44" s="339">
        <v>13</v>
      </c>
      <c r="KN44" s="339">
        <v>0</v>
      </c>
      <c r="KO44" s="339">
        <v>7</v>
      </c>
      <c r="KP44" s="339">
        <v>1</v>
      </c>
      <c r="KQ44" s="339">
        <v>5</v>
      </c>
      <c r="KR44" s="352">
        <v>3.119444444444444</v>
      </c>
      <c r="KS44" s="351">
        <v>47</v>
      </c>
      <c r="KT44" s="339">
        <v>0</v>
      </c>
      <c r="KU44" s="339" t="s">
        <v>78</v>
      </c>
      <c r="KV44" s="339">
        <v>0</v>
      </c>
      <c r="KW44" s="339" t="s">
        <v>2757</v>
      </c>
      <c r="KX44" s="339">
        <v>0</v>
      </c>
      <c r="LA44" s="339">
        <v>8</v>
      </c>
      <c r="LB44" s="339" t="s">
        <v>1311</v>
      </c>
      <c r="LC44" s="339">
        <v>26</v>
      </c>
      <c r="LD44" s="339">
        <v>12</v>
      </c>
      <c r="LE44" s="339">
        <v>0</v>
      </c>
      <c r="LF44" s="339">
        <v>6</v>
      </c>
      <c r="LG44" s="339">
        <v>0</v>
      </c>
      <c r="LH44" s="339">
        <v>8</v>
      </c>
      <c r="LI44" s="339" t="s">
        <v>2854</v>
      </c>
      <c r="LJ44" s="351">
        <v>30</v>
      </c>
      <c r="LK44" s="339">
        <v>0</v>
      </c>
      <c r="LL44" s="339" t="s">
        <v>78</v>
      </c>
      <c r="LM44" s="339">
        <v>0</v>
      </c>
      <c r="LN44" s="339" t="s">
        <v>2757</v>
      </c>
      <c r="LO44" s="339">
        <v>0</v>
      </c>
      <c r="LR44" s="339">
        <v>8</v>
      </c>
      <c r="LS44" s="339" t="s">
        <v>1311</v>
      </c>
      <c r="LT44" s="339">
        <v>26</v>
      </c>
      <c r="LU44" s="339">
        <v>14</v>
      </c>
      <c r="LV44" s="339">
        <v>0</v>
      </c>
      <c r="LW44" s="339">
        <v>5</v>
      </c>
      <c r="LX44" s="339">
        <v>0</v>
      </c>
      <c r="LY44" s="339">
        <v>7</v>
      </c>
      <c r="LZ44" s="352">
        <v>3.0805555555555557</v>
      </c>
      <c r="MA44" s="351">
        <v>33</v>
      </c>
      <c r="MB44" s="339">
        <v>25</v>
      </c>
      <c r="MC44" s="339" t="s">
        <v>1602</v>
      </c>
      <c r="MD44" s="339">
        <v>11</v>
      </c>
      <c r="ME44" s="339" t="s">
        <v>2915</v>
      </c>
      <c r="MF44" s="339">
        <v>4</v>
      </c>
    </row>
    <row r="45" spans="2:344" ht="55.8" thickBot="1" x14ac:dyDescent="0.35">
      <c r="B45" s="339">
        <v>9</v>
      </c>
      <c r="C45" s="339" t="s">
        <v>1290</v>
      </c>
      <c r="D45" s="339">
        <v>26</v>
      </c>
      <c r="E45" s="339">
        <v>14</v>
      </c>
      <c r="F45" s="339">
        <v>1</v>
      </c>
      <c r="G45" s="339"/>
      <c r="H45" s="339">
        <v>0</v>
      </c>
      <c r="I45" s="339">
        <v>11</v>
      </c>
      <c r="J45" s="352">
        <v>2.786111111111111</v>
      </c>
      <c r="K45" s="351">
        <v>44</v>
      </c>
      <c r="L45" s="339">
        <v>19</v>
      </c>
      <c r="M45" s="339" t="s">
        <v>1369</v>
      </c>
      <c r="N45" s="339">
        <v>15</v>
      </c>
      <c r="O45" s="339" t="s">
        <v>1370</v>
      </c>
      <c r="P45" s="339">
        <v>5</v>
      </c>
      <c r="Q45" s="342"/>
      <c r="S45" s="339">
        <v>9</v>
      </c>
      <c r="T45" s="339" t="s">
        <v>1297</v>
      </c>
      <c r="U45" s="339">
        <v>26</v>
      </c>
      <c r="V45" s="339">
        <v>10</v>
      </c>
      <c r="W45" s="339">
        <v>4</v>
      </c>
      <c r="X45" s="339">
        <v>3</v>
      </c>
      <c r="Y45" s="339">
        <v>9</v>
      </c>
      <c r="Z45" s="339" t="s">
        <v>1480</v>
      </c>
      <c r="AA45" s="351">
        <v>41</v>
      </c>
      <c r="AB45" s="339">
        <v>19</v>
      </c>
      <c r="AC45" s="339" t="s">
        <v>1481</v>
      </c>
      <c r="AD45" s="339">
        <v>12</v>
      </c>
      <c r="AE45" s="339" t="s">
        <v>1482</v>
      </c>
      <c r="AF45" s="339">
        <v>2</v>
      </c>
      <c r="AI45" s="339">
        <v>9</v>
      </c>
      <c r="AJ45" s="339" t="s">
        <v>1293</v>
      </c>
      <c r="AK45" s="339">
        <v>26</v>
      </c>
      <c r="AL45" s="339">
        <v>10</v>
      </c>
      <c r="AM45" s="339">
        <v>7</v>
      </c>
      <c r="AN45" s="339">
        <v>1</v>
      </c>
      <c r="AO45" s="339">
        <v>8</v>
      </c>
      <c r="AP45" s="339" t="s">
        <v>1571</v>
      </c>
      <c r="AQ45" s="351">
        <v>45</v>
      </c>
      <c r="AR45" s="339">
        <v>21</v>
      </c>
      <c r="AS45" s="366">
        <v>43663</v>
      </c>
      <c r="AT45" s="339">
        <v>15</v>
      </c>
      <c r="AU45" s="339" t="s">
        <v>1377</v>
      </c>
      <c r="AV45" s="339">
        <v>2</v>
      </c>
      <c r="AY45" s="339">
        <v>9</v>
      </c>
      <c r="AZ45" s="339" t="s">
        <v>1266</v>
      </c>
      <c r="BA45" s="339">
        <v>26</v>
      </c>
      <c r="BB45" s="339">
        <v>10</v>
      </c>
      <c r="BC45" s="339">
        <v>5</v>
      </c>
      <c r="BD45" s="339">
        <v>3</v>
      </c>
      <c r="BE45" s="339">
        <v>8</v>
      </c>
      <c r="BF45" s="352">
        <v>2.9097222222222219</v>
      </c>
      <c r="BG45" s="351">
        <v>43</v>
      </c>
      <c r="BH45" s="339">
        <v>21</v>
      </c>
      <c r="BI45" s="339" t="s">
        <v>1682</v>
      </c>
      <c r="BJ45" s="339">
        <v>8</v>
      </c>
      <c r="BK45" s="339" t="s">
        <v>1683</v>
      </c>
      <c r="BL45" s="339">
        <v>5</v>
      </c>
      <c r="BO45" s="339">
        <v>9</v>
      </c>
      <c r="BP45" s="339" t="s">
        <v>1270</v>
      </c>
      <c r="BQ45" s="339">
        <v>26</v>
      </c>
      <c r="BR45" s="339">
        <v>12</v>
      </c>
      <c r="BS45" s="339">
        <v>4</v>
      </c>
      <c r="BT45" s="339">
        <v>2</v>
      </c>
      <c r="BU45" s="339">
        <v>8</v>
      </c>
      <c r="BV45" s="339" t="s">
        <v>1772</v>
      </c>
      <c r="BW45" s="351">
        <v>46</v>
      </c>
      <c r="BX45" s="339">
        <v>31</v>
      </c>
      <c r="BY45" s="339" t="s">
        <v>1773</v>
      </c>
      <c r="BZ45" s="339">
        <v>21</v>
      </c>
      <c r="CA45" s="339" t="s">
        <v>1774</v>
      </c>
      <c r="CB45" s="339">
        <v>5</v>
      </c>
      <c r="CE45" s="339">
        <v>9</v>
      </c>
      <c r="CF45" s="339" t="s">
        <v>1293</v>
      </c>
      <c r="CG45" s="339">
        <v>26</v>
      </c>
      <c r="CH45" s="339">
        <v>14</v>
      </c>
      <c r="CI45" s="339">
        <v>2</v>
      </c>
      <c r="CJ45" s="339">
        <v>3</v>
      </c>
      <c r="CK45" s="339">
        <v>7</v>
      </c>
      <c r="CL45" s="339" t="s">
        <v>1862</v>
      </c>
      <c r="CM45" s="351">
        <v>49</v>
      </c>
      <c r="CN45" s="339">
        <v>24</v>
      </c>
      <c r="CO45" s="339" t="s">
        <v>1863</v>
      </c>
      <c r="CP45" s="339">
        <v>22</v>
      </c>
      <c r="CQ45" s="339" t="s">
        <v>1864</v>
      </c>
      <c r="CR45" s="339">
        <v>1</v>
      </c>
      <c r="CU45" s="339">
        <v>9</v>
      </c>
      <c r="CV45" s="339" t="s">
        <v>1270</v>
      </c>
      <c r="CW45" s="339">
        <v>26</v>
      </c>
      <c r="CX45" s="339">
        <v>12</v>
      </c>
      <c r="CY45" s="339">
        <v>5</v>
      </c>
      <c r="CZ45" s="339">
        <v>3</v>
      </c>
      <c r="DA45" s="339">
        <v>6</v>
      </c>
      <c r="DB45" s="339" t="s">
        <v>1961</v>
      </c>
      <c r="DC45" s="351">
        <v>49</v>
      </c>
      <c r="DD45" s="339">
        <v>25</v>
      </c>
      <c r="DE45" s="339" t="s">
        <v>1859</v>
      </c>
      <c r="DF45" s="339">
        <v>15</v>
      </c>
      <c r="DG45" s="339" t="s">
        <v>1962</v>
      </c>
      <c r="DH45" s="339">
        <v>1</v>
      </c>
      <c r="DK45" s="339">
        <v>9</v>
      </c>
      <c r="DL45" s="339" t="s">
        <v>1303</v>
      </c>
      <c r="DM45" s="339">
        <v>26</v>
      </c>
      <c r="DN45" s="339">
        <v>13</v>
      </c>
      <c r="DO45" s="339">
        <v>3</v>
      </c>
      <c r="DP45" s="339">
        <v>2</v>
      </c>
      <c r="DQ45" s="339">
        <v>8</v>
      </c>
      <c r="DR45" s="339" t="s">
        <v>2051</v>
      </c>
      <c r="DS45" s="351">
        <v>47</v>
      </c>
      <c r="DT45" s="339">
        <v>22</v>
      </c>
      <c r="DU45" s="339" t="s">
        <v>1554</v>
      </c>
      <c r="DV45" s="339">
        <v>20</v>
      </c>
      <c r="DW45" s="339" t="s">
        <v>1685</v>
      </c>
      <c r="DX45" s="339">
        <v>2</v>
      </c>
      <c r="EA45" s="339">
        <v>9</v>
      </c>
      <c r="EB45" s="339" t="s">
        <v>1978</v>
      </c>
      <c r="EC45" s="339">
        <v>26</v>
      </c>
      <c r="ED45" s="339">
        <v>17</v>
      </c>
      <c r="EE45" s="339">
        <v>2</v>
      </c>
      <c r="EF45" s="339">
        <v>2</v>
      </c>
      <c r="EG45" s="339">
        <v>5</v>
      </c>
      <c r="EH45" s="339" t="s">
        <v>2126</v>
      </c>
      <c r="EI45" s="351">
        <v>43</v>
      </c>
      <c r="EJ45" s="339">
        <v>36</v>
      </c>
      <c r="EK45" s="339" t="s">
        <v>2127</v>
      </c>
      <c r="EL45" s="339">
        <v>21</v>
      </c>
      <c r="EM45" s="339" t="s">
        <v>1868</v>
      </c>
      <c r="EN45" s="339">
        <v>4</v>
      </c>
      <c r="EQ45" s="339">
        <v>9</v>
      </c>
      <c r="ER45" s="339" t="s">
        <v>2169</v>
      </c>
      <c r="ES45" s="339">
        <v>26</v>
      </c>
      <c r="ET45" s="339">
        <v>12</v>
      </c>
      <c r="EU45" s="339">
        <v>3</v>
      </c>
      <c r="EV45" s="339">
        <v>1</v>
      </c>
      <c r="EW45" s="339">
        <v>10</v>
      </c>
      <c r="EX45" s="339" t="s">
        <v>2208</v>
      </c>
      <c r="EY45" s="351">
        <v>43</v>
      </c>
      <c r="EZ45" s="339">
        <v>18</v>
      </c>
      <c r="FA45" s="367">
        <v>25173</v>
      </c>
      <c r="FB45" s="339">
        <v>11</v>
      </c>
      <c r="FC45" s="339" t="s">
        <v>2209</v>
      </c>
      <c r="FD45" s="339">
        <v>2</v>
      </c>
      <c r="FG45" s="339">
        <v>9</v>
      </c>
      <c r="FH45" s="339" t="s">
        <v>1286</v>
      </c>
      <c r="FI45" s="339">
        <v>26</v>
      </c>
      <c r="FJ45" s="339">
        <v>14</v>
      </c>
      <c r="FK45" s="339">
        <v>2</v>
      </c>
      <c r="FL45" s="339">
        <v>2</v>
      </c>
      <c r="FM45" s="339">
        <v>8</v>
      </c>
      <c r="FN45" s="352">
        <v>3.3722222222222222</v>
      </c>
      <c r="FO45" s="351">
        <v>48</v>
      </c>
      <c r="FP45" s="339">
        <v>24</v>
      </c>
      <c r="FQ45" s="339" t="s">
        <v>2296</v>
      </c>
      <c r="FR45" s="339">
        <v>13</v>
      </c>
      <c r="FS45" s="339" t="s">
        <v>2297</v>
      </c>
      <c r="FT45" s="339">
        <v>1</v>
      </c>
      <c r="FW45" s="339">
        <v>9</v>
      </c>
      <c r="FX45" s="339" t="s">
        <v>1303</v>
      </c>
      <c r="FY45" s="339">
        <v>26</v>
      </c>
      <c r="FZ45" s="339">
        <v>12</v>
      </c>
      <c r="GA45" s="339">
        <v>4</v>
      </c>
      <c r="GB45" s="339">
        <v>5</v>
      </c>
      <c r="GC45" s="339">
        <v>5</v>
      </c>
      <c r="GD45" s="339" t="s">
        <v>2377</v>
      </c>
      <c r="GE45" s="351">
        <v>49</v>
      </c>
      <c r="GF45" s="339">
        <v>40</v>
      </c>
      <c r="GG45" s="339" t="s">
        <v>2378</v>
      </c>
      <c r="GH45" s="339">
        <v>20</v>
      </c>
      <c r="GI45" s="339" t="s">
        <v>1405</v>
      </c>
      <c r="GJ45" s="339">
        <v>3</v>
      </c>
      <c r="GM45" s="339">
        <v>9</v>
      </c>
      <c r="GN45" s="339" t="s">
        <v>1303</v>
      </c>
      <c r="GO45" s="339">
        <v>26</v>
      </c>
      <c r="GP45" s="339">
        <v>13</v>
      </c>
      <c r="GQ45" s="339">
        <v>5</v>
      </c>
      <c r="GR45" s="339">
        <v>2</v>
      </c>
      <c r="GS45" s="339">
        <v>6</v>
      </c>
      <c r="GT45" s="352">
        <v>3.244444444444444</v>
      </c>
      <c r="GU45" s="351">
        <v>51</v>
      </c>
      <c r="GV45" s="339">
        <v>30</v>
      </c>
      <c r="GW45" s="339" t="s">
        <v>2457</v>
      </c>
      <c r="GX45" s="339">
        <v>23</v>
      </c>
      <c r="GY45" s="339" t="s">
        <v>2458</v>
      </c>
      <c r="GZ45" s="339">
        <v>5</v>
      </c>
      <c r="HC45" s="339">
        <v>9</v>
      </c>
      <c r="HD45" s="339" t="s">
        <v>2490</v>
      </c>
      <c r="HE45" s="339">
        <v>26</v>
      </c>
      <c r="HF45" s="339">
        <v>12</v>
      </c>
      <c r="HG45" s="339">
        <v>0</v>
      </c>
      <c r="HH45" s="339">
        <v>8</v>
      </c>
      <c r="HI45" s="339">
        <v>1</v>
      </c>
      <c r="HJ45" s="339">
        <v>5</v>
      </c>
      <c r="HK45" s="352">
        <v>2.5326388888888887</v>
      </c>
      <c r="HL45" s="351">
        <v>45</v>
      </c>
      <c r="HM45" s="339">
        <v>21</v>
      </c>
      <c r="HN45" s="367">
        <v>35400</v>
      </c>
      <c r="HO45" s="339">
        <v>8</v>
      </c>
      <c r="HP45" s="339" t="s">
        <v>1273</v>
      </c>
      <c r="HQ45" s="339">
        <v>2</v>
      </c>
      <c r="HT45" s="339">
        <v>9</v>
      </c>
      <c r="HU45" s="339" t="s">
        <v>2236</v>
      </c>
      <c r="HV45" s="339">
        <v>26</v>
      </c>
      <c r="HW45" s="339">
        <v>12</v>
      </c>
      <c r="HX45" s="339">
        <v>0</v>
      </c>
      <c r="HY45" s="339">
        <v>1</v>
      </c>
      <c r="HZ45" s="339">
        <v>2</v>
      </c>
      <c r="IA45" s="339">
        <v>11</v>
      </c>
      <c r="IB45" s="339" t="s">
        <v>2601</v>
      </c>
      <c r="IC45" s="351">
        <v>39</v>
      </c>
      <c r="ID45" s="339">
        <v>15</v>
      </c>
      <c r="IE45" s="367">
        <v>20029</v>
      </c>
      <c r="IF45" s="339">
        <v>15</v>
      </c>
      <c r="IG45" s="339" t="s">
        <v>2043</v>
      </c>
      <c r="IH45" s="339">
        <v>3</v>
      </c>
      <c r="IK45" s="339">
        <v>9</v>
      </c>
      <c r="IL45" s="339" t="s">
        <v>2236</v>
      </c>
      <c r="IM45" s="339">
        <v>26</v>
      </c>
      <c r="IN45" s="339">
        <v>13</v>
      </c>
      <c r="IO45" s="339">
        <v>2</v>
      </c>
      <c r="IP45" s="339">
        <v>4</v>
      </c>
      <c r="IQ45" s="339">
        <v>0</v>
      </c>
      <c r="IR45" s="339">
        <v>7</v>
      </c>
      <c r="IS45" s="339" t="s">
        <v>2678</v>
      </c>
      <c r="IT45" s="351">
        <v>47</v>
      </c>
      <c r="IU45" s="339">
        <v>23</v>
      </c>
      <c r="IV45" s="339" t="s">
        <v>2679</v>
      </c>
      <c r="IW45" s="339">
        <v>17</v>
      </c>
      <c r="IX45" s="339" t="s">
        <v>2334</v>
      </c>
      <c r="IY45" s="339">
        <v>3</v>
      </c>
      <c r="JB45" s="339">
        <v>9</v>
      </c>
      <c r="JC45" s="339" t="s">
        <v>2418</v>
      </c>
      <c r="JD45" s="339">
        <v>26</v>
      </c>
      <c r="JE45" s="339">
        <v>13</v>
      </c>
      <c r="JF45" s="339">
        <v>2</v>
      </c>
      <c r="JG45" s="339">
        <v>3</v>
      </c>
      <c r="JH45" s="339">
        <v>0</v>
      </c>
      <c r="JI45" s="339">
        <v>8</v>
      </c>
      <c r="JJ45" s="339" t="s">
        <v>2744</v>
      </c>
      <c r="JK45" s="351">
        <v>46</v>
      </c>
      <c r="JL45" s="339">
        <v>38</v>
      </c>
      <c r="JM45" s="339" t="s">
        <v>2745</v>
      </c>
      <c r="JN45" s="339">
        <v>12</v>
      </c>
      <c r="JO45" s="339" t="s">
        <v>1372</v>
      </c>
      <c r="JP45" s="339">
        <v>2</v>
      </c>
      <c r="JS45" s="339">
        <v>9</v>
      </c>
      <c r="JT45" s="339" t="s">
        <v>2412</v>
      </c>
      <c r="JU45" s="339">
        <v>26</v>
      </c>
      <c r="JV45" s="339">
        <v>12</v>
      </c>
      <c r="JW45" s="339">
        <v>0</v>
      </c>
      <c r="JX45" s="339">
        <v>2</v>
      </c>
      <c r="JY45" s="339">
        <v>4</v>
      </c>
      <c r="JZ45" s="339">
        <v>8</v>
      </c>
      <c r="KA45" s="339" t="s">
        <v>1486</v>
      </c>
      <c r="KB45" s="351">
        <v>42</v>
      </c>
      <c r="KC45" s="339">
        <v>0</v>
      </c>
      <c r="KD45" s="339" t="s">
        <v>78</v>
      </c>
      <c r="KE45" s="339">
        <v>0</v>
      </c>
      <c r="KF45" s="339" t="s">
        <v>2757</v>
      </c>
      <c r="KG45" s="339">
        <v>0</v>
      </c>
      <c r="KJ45" s="339">
        <v>9</v>
      </c>
      <c r="KK45" s="339" t="s">
        <v>2412</v>
      </c>
      <c r="KL45" s="339">
        <v>26</v>
      </c>
      <c r="KM45" s="339">
        <v>12</v>
      </c>
      <c r="KN45" s="339">
        <v>3</v>
      </c>
      <c r="KO45" s="339">
        <v>3</v>
      </c>
      <c r="KP45" s="339">
        <v>2</v>
      </c>
      <c r="KQ45" s="339">
        <v>6</v>
      </c>
      <c r="KR45" s="352">
        <v>3.3277777777777775</v>
      </c>
      <c r="KS45" s="351">
        <v>47</v>
      </c>
      <c r="KT45" s="339">
        <v>0</v>
      </c>
      <c r="KU45" s="339" t="s">
        <v>78</v>
      </c>
      <c r="KV45" s="339">
        <v>0</v>
      </c>
      <c r="KW45" s="339" t="s">
        <v>2757</v>
      </c>
      <c r="KX45" s="339">
        <v>0</v>
      </c>
      <c r="LA45" s="339">
        <v>9</v>
      </c>
      <c r="LB45" s="339" t="s">
        <v>2089</v>
      </c>
      <c r="LC45" s="339">
        <v>26</v>
      </c>
      <c r="LD45" s="339">
        <v>10</v>
      </c>
      <c r="LE45" s="339">
        <v>0</v>
      </c>
      <c r="LF45" s="339">
        <v>8</v>
      </c>
      <c r="LG45" s="339">
        <v>0</v>
      </c>
      <c r="LH45" s="339">
        <v>8</v>
      </c>
      <c r="LI45" s="339" t="s">
        <v>2855</v>
      </c>
      <c r="LJ45" s="351">
        <v>28</v>
      </c>
      <c r="LK45" s="339">
        <v>0</v>
      </c>
      <c r="LL45" s="339" t="s">
        <v>78</v>
      </c>
      <c r="LM45" s="339">
        <v>0</v>
      </c>
      <c r="LN45" s="339" t="s">
        <v>2757</v>
      </c>
      <c r="LO45" s="339">
        <v>0</v>
      </c>
      <c r="LR45" s="339">
        <v>9</v>
      </c>
      <c r="LS45" s="339" t="s">
        <v>1286</v>
      </c>
      <c r="LT45" s="339">
        <v>26</v>
      </c>
      <c r="LU45" s="339">
        <v>13</v>
      </c>
      <c r="LV45" s="339">
        <v>0</v>
      </c>
      <c r="LW45" s="339">
        <v>3</v>
      </c>
      <c r="LX45" s="339">
        <v>0</v>
      </c>
      <c r="LY45" s="339">
        <v>10</v>
      </c>
      <c r="LZ45" s="352">
        <v>3.3305555555555557</v>
      </c>
      <c r="MA45" s="351">
        <v>29</v>
      </c>
      <c r="MB45" s="339">
        <v>25</v>
      </c>
      <c r="MC45" s="339" t="s">
        <v>2916</v>
      </c>
      <c r="MD45" s="339">
        <v>19</v>
      </c>
      <c r="ME45" s="339" t="s">
        <v>2917</v>
      </c>
      <c r="MF45" s="339">
        <v>4</v>
      </c>
    </row>
    <row r="46" spans="2:344" ht="69.599999999999994" thickBot="1" x14ac:dyDescent="0.35">
      <c r="B46" s="339">
        <v>10</v>
      </c>
      <c r="C46" s="339" t="s">
        <v>80</v>
      </c>
      <c r="D46" s="339">
        <v>26</v>
      </c>
      <c r="E46" s="339">
        <v>12</v>
      </c>
      <c r="F46" s="339">
        <v>1</v>
      </c>
      <c r="G46" s="339"/>
      <c r="H46" s="339">
        <v>1</v>
      </c>
      <c r="I46" s="339">
        <v>12</v>
      </c>
      <c r="J46" s="339" t="s">
        <v>1122</v>
      </c>
      <c r="K46" s="351">
        <v>39</v>
      </c>
      <c r="L46" s="339">
        <v>18</v>
      </c>
      <c r="M46" s="339" t="s">
        <v>1371</v>
      </c>
      <c r="N46" s="339">
        <v>12</v>
      </c>
      <c r="O46" s="339" t="s">
        <v>1372</v>
      </c>
      <c r="P46" s="339">
        <v>3</v>
      </c>
      <c r="Q46" s="342"/>
      <c r="S46" s="339">
        <v>10</v>
      </c>
      <c r="T46" s="339" t="s">
        <v>1293</v>
      </c>
      <c r="U46" s="339">
        <v>26</v>
      </c>
      <c r="V46" s="339">
        <v>11</v>
      </c>
      <c r="W46" s="339">
        <v>2</v>
      </c>
      <c r="X46" s="339">
        <v>3</v>
      </c>
      <c r="Y46" s="339">
        <v>10</v>
      </c>
      <c r="Z46" s="339" t="s">
        <v>1483</v>
      </c>
      <c r="AA46" s="351">
        <v>40</v>
      </c>
      <c r="AB46" s="339">
        <v>22</v>
      </c>
      <c r="AC46" s="339" t="s">
        <v>1484</v>
      </c>
      <c r="AD46" s="339">
        <v>18</v>
      </c>
      <c r="AE46" s="339" t="s">
        <v>1485</v>
      </c>
      <c r="AF46" s="339">
        <v>2</v>
      </c>
      <c r="AI46" s="339">
        <v>10</v>
      </c>
      <c r="AJ46" s="339" t="s">
        <v>1270</v>
      </c>
      <c r="AK46" s="339">
        <v>26</v>
      </c>
      <c r="AL46" s="339">
        <v>11</v>
      </c>
      <c r="AM46" s="339">
        <v>2</v>
      </c>
      <c r="AN46" s="339">
        <v>4</v>
      </c>
      <c r="AO46" s="339">
        <v>9</v>
      </c>
      <c r="AP46" s="339" t="s">
        <v>1572</v>
      </c>
      <c r="AQ46" s="351">
        <v>41</v>
      </c>
      <c r="AR46" s="339">
        <v>21</v>
      </c>
      <c r="AS46" s="339" t="s">
        <v>1573</v>
      </c>
      <c r="AT46" s="339">
        <v>11</v>
      </c>
      <c r="AU46" s="339" t="s">
        <v>1574</v>
      </c>
      <c r="AV46" s="339">
        <v>3</v>
      </c>
      <c r="AY46" s="339">
        <v>10</v>
      </c>
      <c r="AZ46" s="339" t="s">
        <v>1293</v>
      </c>
      <c r="BA46" s="339">
        <v>26</v>
      </c>
      <c r="BB46" s="339">
        <v>12</v>
      </c>
      <c r="BC46" s="339">
        <v>3</v>
      </c>
      <c r="BD46" s="339">
        <v>1</v>
      </c>
      <c r="BE46" s="339">
        <v>10</v>
      </c>
      <c r="BF46" s="339" t="s">
        <v>1684</v>
      </c>
      <c r="BG46" s="351">
        <v>43</v>
      </c>
      <c r="BH46" s="339">
        <v>22</v>
      </c>
      <c r="BI46" s="339" t="s">
        <v>1367</v>
      </c>
      <c r="BJ46" s="339">
        <v>20</v>
      </c>
      <c r="BK46" s="339" t="s">
        <v>1685</v>
      </c>
      <c r="BL46" s="339">
        <v>2</v>
      </c>
      <c r="BO46" s="339">
        <v>10</v>
      </c>
      <c r="BP46" s="339" t="s">
        <v>1262</v>
      </c>
      <c r="BQ46" s="339">
        <v>26</v>
      </c>
      <c r="BR46" s="339">
        <v>12</v>
      </c>
      <c r="BS46" s="339">
        <v>4</v>
      </c>
      <c r="BT46" s="339">
        <v>1</v>
      </c>
      <c r="BU46" s="339">
        <v>9</v>
      </c>
      <c r="BV46" s="352">
        <v>2.9145833333333333</v>
      </c>
      <c r="BW46" s="351">
        <v>45</v>
      </c>
      <c r="BX46" s="339">
        <v>23</v>
      </c>
      <c r="BY46" s="339" t="s">
        <v>1711</v>
      </c>
      <c r="BZ46" s="339">
        <v>17</v>
      </c>
      <c r="CA46" s="339" t="s">
        <v>1775</v>
      </c>
      <c r="CB46" s="339">
        <v>5</v>
      </c>
      <c r="CE46" s="339">
        <v>10</v>
      </c>
      <c r="CF46" s="339" t="s">
        <v>1591</v>
      </c>
      <c r="CG46" s="339">
        <v>26</v>
      </c>
      <c r="CH46" s="339">
        <v>10</v>
      </c>
      <c r="CI46" s="339">
        <v>7</v>
      </c>
      <c r="CJ46" s="339">
        <v>3</v>
      </c>
      <c r="CK46" s="339">
        <v>6</v>
      </c>
      <c r="CL46" s="352">
        <v>3.1638888888888892</v>
      </c>
      <c r="CM46" s="351">
        <v>47</v>
      </c>
      <c r="CN46" s="339">
        <v>17</v>
      </c>
      <c r="CO46" s="339" t="s">
        <v>1865</v>
      </c>
      <c r="CP46" s="339">
        <v>19</v>
      </c>
      <c r="CQ46" s="339" t="s">
        <v>1866</v>
      </c>
      <c r="CR46" s="339">
        <v>3</v>
      </c>
      <c r="CU46" s="339">
        <v>10</v>
      </c>
      <c r="CV46" s="339" t="s">
        <v>1311</v>
      </c>
      <c r="CW46" s="339">
        <v>26</v>
      </c>
      <c r="CX46" s="339">
        <v>14</v>
      </c>
      <c r="CY46" s="339">
        <v>1</v>
      </c>
      <c r="CZ46" s="339">
        <v>3</v>
      </c>
      <c r="DA46" s="339">
        <v>8</v>
      </c>
      <c r="DB46" s="339" t="s">
        <v>1963</v>
      </c>
      <c r="DC46" s="351">
        <v>47</v>
      </c>
      <c r="DD46" s="339">
        <v>30</v>
      </c>
      <c r="DE46" s="339" t="s">
        <v>1964</v>
      </c>
      <c r="DF46" s="339">
        <v>20</v>
      </c>
      <c r="DG46" s="339" t="s">
        <v>1965</v>
      </c>
      <c r="DH46" s="339">
        <v>3</v>
      </c>
      <c r="DK46" s="339">
        <v>10</v>
      </c>
      <c r="DL46" s="339" t="s">
        <v>1293</v>
      </c>
      <c r="DM46" s="339">
        <v>26</v>
      </c>
      <c r="DN46" s="339">
        <v>13</v>
      </c>
      <c r="DO46" s="339">
        <v>1</v>
      </c>
      <c r="DP46" s="339">
        <v>4</v>
      </c>
      <c r="DQ46" s="339">
        <v>8</v>
      </c>
      <c r="DR46" s="352">
        <v>2.5826388888888889</v>
      </c>
      <c r="DS46" s="351">
        <v>45</v>
      </c>
      <c r="DT46" s="339">
        <v>11</v>
      </c>
      <c r="DU46" s="367">
        <v>11933</v>
      </c>
      <c r="DV46" s="339">
        <v>15</v>
      </c>
      <c r="DW46" s="339" t="s">
        <v>1673</v>
      </c>
      <c r="DX46" s="339">
        <v>2</v>
      </c>
      <c r="EA46" s="339">
        <v>10</v>
      </c>
      <c r="EB46" s="339" t="s">
        <v>1297</v>
      </c>
      <c r="EC46" s="339">
        <v>26</v>
      </c>
      <c r="ED46" s="339">
        <v>10</v>
      </c>
      <c r="EE46" s="339">
        <v>5</v>
      </c>
      <c r="EF46" s="339">
        <v>2</v>
      </c>
      <c r="EG46" s="339">
        <v>9</v>
      </c>
      <c r="EH46" s="339" t="s">
        <v>2128</v>
      </c>
      <c r="EI46" s="351">
        <v>42</v>
      </c>
      <c r="EJ46" s="339">
        <v>18</v>
      </c>
      <c r="EK46" s="366">
        <v>43568</v>
      </c>
      <c r="EL46" s="339">
        <v>13</v>
      </c>
      <c r="EM46" s="339" t="s">
        <v>2129</v>
      </c>
      <c r="EN46" s="339">
        <v>1</v>
      </c>
      <c r="EQ46" s="339">
        <v>10</v>
      </c>
      <c r="ER46" s="339" t="s">
        <v>1262</v>
      </c>
      <c r="ES46" s="339">
        <v>26</v>
      </c>
      <c r="ET46" s="339">
        <v>13</v>
      </c>
      <c r="EU46" s="339">
        <v>0</v>
      </c>
      <c r="EV46" s="339">
        <v>2</v>
      </c>
      <c r="EW46" s="339">
        <v>11</v>
      </c>
      <c r="EX46" s="339" t="s">
        <v>2210</v>
      </c>
      <c r="EY46" s="351">
        <v>41</v>
      </c>
      <c r="EZ46" s="339">
        <v>24</v>
      </c>
      <c r="FA46" s="339" t="s">
        <v>1474</v>
      </c>
      <c r="FB46" s="339">
        <v>18</v>
      </c>
      <c r="FC46" s="339" t="s">
        <v>1647</v>
      </c>
      <c r="FD46" s="339">
        <v>4</v>
      </c>
      <c r="FG46" s="339">
        <v>10</v>
      </c>
      <c r="FH46" s="339" t="s">
        <v>2236</v>
      </c>
      <c r="FI46" s="339">
        <v>26</v>
      </c>
      <c r="FJ46" s="339">
        <v>14</v>
      </c>
      <c r="FK46" s="339">
        <v>2</v>
      </c>
      <c r="FL46" s="339">
        <v>2</v>
      </c>
      <c r="FM46" s="339">
        <v>8</v>
      </c>
      <c r="FN46" s="339" t="s">
        <v>2298</v>
      </c>
      <c r="FO46" s="351">
        <v>48</v>
      </c>
      <c r="FP46" s="339">
        <v>29</v>
      </c>
      <c r="FQ46" s="339" t="s">
        <v>2020</v>
      </c>
      <c r="FR46" s="339">
        <v>19</v>
      </c>
      <c r="FS46" s="339" t="s">
        <v>1277</v>
      </c>
      <c r="FT46" s="339">
        <v>4</v>
      </c>
      <c r="FW46" s="339">
        <v>10</v>
      </c>
      <c r="FX46" s="339" t="s">
        <v>2169</v>
      </c>
      <c r="FY46" s="339">
        <v>26</v>
      </c>
      <c r="FZ46" s="339">
        <v>13</v>
      </c>
      <c r="GA46" s="339">
        <v>4</v>
      </c>
      <c r="GB46" s="339">
        <v>1</v>
      </c>
      <c r="GC46" s="339">
        <v>8</v>
      </c>
      <c r="GD46" s="352">
        <v>3.3708333333333336</v>
      </c>
      <c r="GE46" s="351">
        <v>48</v>
      </c>
      <c r="GF46" s="339">
        <v>24</v>
      </c>
      <c r="GG46" s="339" t="s">
        <v>2242</v>
      </c>
      <c r="GH46" s="339">
        <v>16</v>
      </c>
      <c r="GI46" s="339" t="s">
        <v>1835</v>
      </c>
      <c r="GJ46" s="339">
        <v>2</v>
      </c>
      <c r="GM46" s="339">
        <v>10</v>
      </c>
      <c r="GN46" s="339" t="s">
        <v>1266</v>
      </c>
      <c r="GO46" s="339">
        <v>26</v>
      </c>
      <c r="GP46" s="339">
        <v>13</v>
      </c>
      <c r="GQ46" s="339">
        <v>3</v>
      </c>
      <c r="GR46" s="339">
        <v>3</v>
      </c>
      <c r="GS46" s="339">
        <v>7</v>
      </c>
      <c r="GT46" s="339" t="s">
        <v>2459</v>
      </c>
      <c r="GU46" s="351">
        <v>48</v>
      </c>
      <c r="GV46" s="339">
        <v>33</v>
      </c>
      <c r="GW46" s="339" t="s">
        <v>2460</v>
      </c>
      <c r="GX46" s="339">
        <v>22</v>
      </c>
      <c r="GY46" s="339" t="s">
        <v>2461</v>
      </c>
      <c r="GZ46" s="339">
        <v>4</v>
      </c>
      <c r="HC46" s="339">
        <v>10</v>
      </c>
      <c r="HD46" s="339" t="s">
        <v>2412</v>
      </c>
      <c r="HE46" s="339">
        <v>26</v>
      </c>
      <c r="HF46" s="339">
        <v>9</v>
      </c>
      <c r="HG46" s="339">
        <v>4</v>
      </c>
      <c r="HH46" s="339">
        <v>3</v>
      </c>
      <c r="HI46" s="339">
        <v>2</v>
      </c>
      <c r="HJ46" s="339">
        <v>8</v>
      </c>
      <c r="HK46" s="339" t="s">
        <v>2536</v>
      </c>
      <c r="HL46" s="351">
        <v>40</v>
      </c>
      <c r="HM46" s="339">
        <v>17</v>
      </c>
      <c r="HN46" s="366">
        <v>43628</v>
      </c>
      <c r="HO46" s="339">
        <v>18</v>
      </c>
      <c r="HP46" s="339" t="s">
        <v>1645</v>
      </c>
      <c r="HQ46" s="339">
        <v>7</v>
      </c>
      <c r="HT46" s="339">
        <v>10</v>
      </c>
      <c r="HU46" s="339" t="s">
        <v>2412</v>
      </c>
      <c r="HV46" s="339">
        <v>26</v>
      </c>
      <c r="HW46" s="339">
        <v>11</v>
      </c>
      <c r="HX46" s="339">
        <v>0</v>
      </c>
      <c r="HY46" s="339">
        <v>3</v>
      </c>
      <c r="HZ46" s="339">
        <v>2</v>
      </c>
      <c r="IA46" s="339">
        <v>10</v>
      </c>
      <c r="IB46" s="339" t="s">
        <v>2602</v>
      </c>
      <c r="IC46" s="351">
        <v>38</v>
      </c>
      <c r="ID46" s="339">
        <v>18</v>
      </c>
      <c r="IE46" s="339" t="s">
        <v>2603</v>
      </c>
      <c r="IF46" s="339">
        <v>8</v>
      </c>
      <c r="IG46" s="339" t="s">
        <v>2604</v>
      </c>
      <c r="IH46" s="339">
        <v>4</v>
      </c>
      <c r="IK46" s="339">
        <v>10</v>
      </c>
      <c r="IL46" s="339" t="s">
        <v>2412</v>
      </c>
      <c r="IM46" s="339">
        <v>26</v>
      </c>
      <c r="IN46" s="339">
        <v>12</v>
      </c>
      <c r="IO46" s="339">
        <v>1</v>
      </c>
      <c r="IP46" s="339">
        <v>5</v>
      </c>
      <c r="IQ46" s="339">
        <v>1</v>
      </c>
      <c r="IR46" s="339">
        <v>7</v>
      </c>
      <c r="IS46" s="339" t="s">
        <v>2680</v>
      </c>
      <c r="IT46" s="351">
        <v>44</v>
      </c>
      <c r="IU46" s="339">
        <v>28</v>
      </c>
      <c r="IV46" s="339" t="s">
        <v>2681</v>
      </c>
      <c r="IW46" s="339">
        <v>21</v>
      </c>
      <c r="IX46" s="339" t="s">
        <v>2682</v>
      </c>
      <c r="IY46" s="339">
        <v>3</v>
      </c>
      <c r="JB46" s="339">
        <v>10</v>
      </c>
      <c r="JC46" s="339" t="s">
        <v>2412</v>
      </c>
      <c r="JD46" s="339">
        <v>26</v>
      </c>
      <c r="JE46" s="339">
        <v>12</v>
      </c>
      <c r="JF46" s="339">
        <v>1</v>
      </c>
      <c r="JG46" s="339">
        <v>5</v>
      </c>
      <c r="JH46" s="339">
        <v>3</v>
      </c>
      <c r="JI46" s="339">
        <v>5</v>
      </c>
      <c r="JJ46" s="352">
        <v>2.911111111111111</v>
      </c>
      <c r="JK46" s="351">
        <v>46</v>
      </c>
      <c r="JL46" s="339">
        <v>21</v>
      </c>
      <c r="JM46" s="339" t="s">
        <v>2720</v>
      </c>
      <c r="JN46" s="339">
        <v>11</v>
      </c>
      <c r="JO46" s="339" t="s">
        <v>2746</v>
      </c>
      <c r="JP46" s="339">
        <v>3</v>
      </c>
      <c r="JS46" s="339">
        <v>10</v>
      </c>
      <c r="JT46" s="339" t="s">
        <v>2490</v>
      </c>
      <c r="JU46" s="339">
        <v>26</v>
      </c>
      <c r="JV46" s="339">
        <v>12</v>
      </c>
      <c r="JW46" s="339">
        <v>0</v>
      </c>
      <c r="JX46" s="339">
        <v>2</v>
      </c>
      <c r="JY46" s="339">
        <v>1</v>
      </c>
      <c r="JZ46" s="339">
        <v>11</v>
      </c>
      <c r="KA46" s="339" t="s">
        <v>2787</v>
      </c>
      <c r="KB46" s="351">
        <v>39</v>
      </c>
      <c r="KC46" s="339">
        <v>0</v>
      </c>
      <c r="KD46" s="339" t="s">
        <v>78</v>
      </c>
      <c r="KE46" s="339">
        <v>0</v>
      </c>
      <c r="KF46" s="339" t="s">
        <v>2757</v>
      </c>
      <c r="KG46" s="339">
        <v>0</v>
      </c>
      <c r="KJ46" s="339">
        <v>10</v>
      </c>
      <c r="KK46" s="339" t="s">
        <v>2715</v>
      </c>
      <c r="KL46" s="339">
        <v>26</v>
      </c>
      <c r="KM46" s="339">
        <v>14</v>
      </c>
      <c r="KN46" s="339">
        <v>1</v>
      </c>
      <c r="KO46" s="339">
        <v>1</v>
      </c>
      <c r="KP46" s="339">
        <v>1</v>
      </c>
      <c r="KQ46" s="339">
        <v>9</v>
      </c>
      <c r="KR46" s="339" t="s">
        <v>2821</v>
      </c>
      <c r="KS46" s="351">
        <v>46</v>
      </c>
      <c r="KT46" s="339">
        <v>0</v>
      </c>
      <c r="KU46" s="339" t="s">
        <v>78</v>
      </c>
      <c r="KV46" s="339">
        <v>0</v>
      </c>
      <c r="KW46" s="339" t="s">
        <v>2757</v>
      </c>
      <c r="KX46" s="339">
        <v>0</v>
      </c>
      <c r="LA46" s="339">
        <v>10</v>
      </c>
      <c r="LB46" s="339" t="s">
        <v>1591</v>
      </c>
      <c r="LC46" s="339">
        <v>26</v>
      </c>
      <c r="LD46" s="339">
        <v>11</v>
      </c>
      <c r="LE46" s="339">
        <v>0</v>
      </c>
      <c r="LF46" s="339">
        <v>4</v>
      </c>
      <c r="LG46" s="339">
        <v>0</v>
      </c>
      <c r="LH46" s="339">
        <v>11</v>
      </c>
      <c r="LI46" s="352">
        <v>2.0826388888888889</v>
      </c>
      <c r="LJ46" s="351">
        <v>26</v>
      </c>
      <c r="LK46" s="339">
        <v>0</v>
      </c>
      <c r="LL46" s="339" t="s">
        <v>78</v>
      </c>
      <c r="LM46" s="339">
        <v>0</v>
      </c>
      <c r="LN46" s="339" t="s">
        <v>2757</v>
      </c>
      <c r="LO46" s="339">
        <v>0</v>
      </c>
      <c r="LR46" s="339">
        <v>10</v>
      </c>
      <c r="LS46" s="339" t="s">
        <v>1591</v>
      </c>
      <c r="LT46" s="339">
        <v>26</v>
      </c>
      <c r="LU46" s="339">
        <v>11</v>
      </c>
      <c r="LV46" s="339">
        <v>0</v>
      </c>
      <c r="LW46" s="339">
        <v>7</v>
      </c>
      <c r="LX46" s="339">
        <v>0</v>
      </c>
      <c r="LY46" s="339">
        <v>8</v>
      </c>
      <c r="LZ46" s="339" t="s">
        <v>2918</v>
      </c>
      <c r="MA46" s="351">
        <v>29</v>
      </c>
      <c r="MB46" s="339">
        <v>19</v>
      </c>
      <c r="MC46" s="339" t="s">
        <v>2919</v>
      </c>
      <c r="MD46" s="339">
        <v>19</v>
      </c>
      <c r="ME46" s="339" t="s">
        <v>2920</v>
      </c>
      <c r="MF46" s="339">
        <v>6</v>
      </c>
    </row>
    <row r="47" spans="2:344" ht="55.8" thickBot="1" x14ac:dyDescent="0.35">
      <c r="B47" s="339">
        <v>11</v>
      </c>
      <c r="C47" s="339" t="s">
        <v>1297</v>
      </c>
      <c r="D47" s="339">
        <v>26</v>
      </c>
      <c r="E47" s="339">
        <v>10</v>
      </c>
      <c r="F47" s="339">
        <v>1</v>
      </c>
      <c r="G47" s="339"/>
      <c r="H47" s="339">
        <v>2</v>
      </c>
      <c r="I47" s="339">
        <v>13</v>
      </c>
      <c r="J47" s="339" t="s">
        <v>1373</v>
      </c>
      <c r="K47" s="351">
        <v>34</v>
      </c>
      <c r="L47" s="339">
        <v>16</v>
      </c>
      <c r="M47" s="366">
        <v>43723</v>
      </c>
      <c r="N47" s="339">
        <v>18</v>
      </c>
      <c r="O47" s="339" t="s">
        <v>1374</v>
      </c>
      <c r="P47" s="339">
        <v>2</v>
      </c>
      <c r="Q47" s="342"/>
      <c r="S47" s="339">
        <v>11</v>
      </c>
      <c r="T47" s="339" t="s">
        <v>1307</v>
      </c>
      <c r="U47" s="339">
        <v>26</v>
      </c>
      <c r="V47" s="339">
        <v>7</v>
      </c>
      <c r="W47" s="339">
        <v>7</v>
      </c>
      <c r="X47" s="339">
        <v>5</v>
      </c>
      <c r="Y47" s="339">
        <v>7</v>
      </c>
      <c r="Z47" s="339" t="s">
        <v>1486</v>
      </c>
      <c r="AA47" s="351">
        <v>40</v>
      </c>
      <c r="AB47" s="339">
        <v>16</v>
      </c>
      <c r="AC47" s="339" t="s">
        <v>1288</v>
      </c>
      <c r="AD47" s="339">
        <v>19</v>
      </c>
      <c r="AE47" s="339" t="s">
        <v>1487</v>
      </c>
      <c r="AF47" s="339">
        <v>1</v>
      </c>
      <c r="AI47" s="339">
        <v>11</v>
      </c>
      <c r="AJ47" s="339" t="s">
        <v>1282</v>
      </c>
      <c r="AK47" s="339">
        <v>26</v>
      </c>
      <c r="AL47" s="339">
        <v>11</v>
      </c>
      <c r="AM47" s="339">
        <v>3</v>
      </c>
      <c r="AN47" s="339">
        <v>1</v>
      </c>
      <c r="AO47" s="339">
        <v>11</v>
      </c>
      <c r="AP47" s="352">
        <v>2.6659722222222224</v>
      </c>
      <c r="AQ47" s="351">
        <v>40</v>
      </c>
      <c r="AR47" s="339">
        <v>20</v>
      </c>
      <c r="AS47" s="339" t="s">
        <v>1575</v>
      </c>
      <c r="AT47" s="339">
        <v>13</v>
      </c>
      <c r="AU47" s="339" t="s">
        <v>1576</v>
      </c>
      <c r="AV47" s="339">
        <v>2</v>
      </c>
      <c r="AY47" s="339">
        <v>11</v>
      </c>
      <c r="AZ47" s="339" t="s">
        <v>1286</v>
      </c>
      <c r="BA47" s="339">
        <v>26</v>
      </c>
      <c r="BB47" s="339">
        <v>10</v>
      </c>
      <c r="BC47" s="339">
        <v>4</v>
      </c>
      <c r="BD47" s="339">
        <v>0</v>
      </c>
      <c r="BE47" s="339">
        <v>12</v>
      </c>
      <c r="BF47" s="339" t="s">
        <v>1639</v>
      </c>
      <c r="BG47" s="351">
        <v>38</v>
      </c>
      <c r="BH47" s="339">
        <v>18</v>
      </c>
      <c r="BI47" s="339" t="s">
        <v>1686</v>
      </c>
      <c r="BJ47" s="339">
        <v>20</v>
      </c>
      <c r="BK47" s="339" t="s">
        <v>1687</v>
      </c>
      <c r="BL47" s="339">
        <v>1</v>
      </c>
      <c r="BO47" s="339">
        <v>11</v>
      </c>
      <c r="BP47" s="339" t="s">
        <v>1311</v>
      </c>
      <c r="BQ47" s="339">
        <v>26</v>
      </c>
      <c r="BR47" s="339">
        <v>13</v>
      </c>
      <c r="BS47" s="339">
        <v>1</v>
      </c>
      <c r="BT47" s="339">
        <v>4</v>
      </c>
      <c r="BU47" s="339">
        <v>8</v>
      </c>
      <c r="BV47" s="339" t="s">
        <v>1776</v>
      </c>
      <c r="BW47" s="351">
        <v>45</v>
      </c>
      <c r="BX47" s="339">
        <v>27</v>
      </c>
      <c r="BY47" s="339" t="s">
        <v>1777</v>
      </c>
      <c r="BZ47" s="339">
        <v>23</v>
      </c>
      <c r="CA47" s="339" t="s">
        <v>1778</v>
      </c>
      <c r="CB47" s="339">
        <v>2</v>
      </c>
      <c r="CE47" s="339">
        <v>11</v>
      </c>
      <c r="CF47" s="339" t="s">
        <v>1303</v>
      </c>
      <c r="CG47" s="339">
        <v>26</v>
      </c>
      <c r="CH47" s="339">
        <v>12</v>
      </c>
      <c r="CI47" s="339">
        <v>1</v>
      </c>
      <c r="CJ47" s="339">
        <v>2</v>
      </c>
      <c r="CK47" s="339">
        <v>11</v>
      </c>
      <c r="CL47" s="339" t="s">
        <v>1867</v>
      </c>
      <c r="CM47" s="351">
        <v>40</v>
      </c>
      <c r="CN47" s="339">
        <v>23</v>
      </c>
      <c r="CO47" s="339" t="s">
        <v>217</v>
      </c>
      <c r="CP47" s="339">
        <v>21</v>
      </c>
      <c r="CQ47" s="339" t="s">
        <v>1868</v>
      </c>
      <c r="CR47" s="339">
        <v>2</v>
      </c>
      <c r="CU47" s="339">
        <v>11</v>
      </c>
      <c r="CV47" s="339" t="s">
        <v>1303</v>
      </c>
      <c r="CW47" s="339">
        <v>26</v>
      </c>
      <c r="CX47" s="339">
        <v>12</v>
      </c>
      <c r="CY47" s="339">
        <v>2</v>
      </c>
      <c r="CZ47" s="339">
        <v>4</v>
      </c>
      <c r="DA47" s="339">
        <v>8</v>
      </c>
      <c r="DB47" s="339" t="s">
        <v>1966</v>
      </c>
      <c r="DC47" s="351">
        <v>44</v>
      </c>
      <c r="DD47" s="339">
        <v>25</v>
      </c>
      <c r="DE47" s="339" t="s">
        <v>1967</v>
      </c>
      <c r="DF47" s="339">
        <v>23</v>
      </c>
      <c r="DG47" s="339" t="s">
        <v>1968</v>
      </c>
      <c r="DH47" s="339">
        <v>1</v>
      </c>
      <c r="DK47" s="339">
        <v>11</v>
      </c>
      <c r="DL47" s="339" t="s">
        <v>80</v>
      </c>
      <c r="DM47" s="339">
        <v>26</v>
      </c>
      <c r="DN47" s="339">
        <v>9</v>
      </c>
      <c r="DO47" s="339">
        <v>7</v>
      </c>
      <c r="DP47" s="339">
        <v>3</v>
      </c>
      <c r="DQ47" s="339">
        <v>7</v>
      </c>
      <c r="DR47" s="339" t="s">
        <v>2052</v>
      </c>
      <c r="DS47" s="351">
        <v>44</v>
      </c>
      <c r="DT47" s="339">
        <v>23</v>
      </c>
      <c r="DU47" s="339" t="s">
        <v>1908</v>
      </c>
      <c r="DV47" s="339">
        <v>21</v>
      </c>
      <c r="DW47" s="339" t="s">
        <v>2053</v>
      </c>
      <c r="DX47" s="339">
        <v>4</v>
      </c>
      <c r="EA47" s="339">
        <v>11</v>
      </c>
      <c r="EB47" s="339" t="s">
        <v>1278</v>
      </c>
      <c r="EC47" s="339">
        <v>26</v>
      </c>
      <c r="ED47" s="339">
        <v>12</v>
      </c>
      <c r="EE47" s="339">
        <v>1</v>
      </c>
      <c r="EF47" s="339">
        <v>1</v>
      </c>
      <c r="EG47" s="339">
        <v>12</v>
      </c>
      <c r="EH47" s="339" t="s">
        <v>2130</v>
      </c>
      <c r="EI47" s="351">
        <v>39</v>
      </c>
      <c r="EJ47" s="339">
        <v>23</v>
      </c>
      <c r="EK47" s="339" t="s">
        <v>2131</v>
      </c>
      <c r="EL47" s="339">
        <v>18</v>
      </c>
      <c r="EM47" s="339" t="s">
        <v>2132</v>
      </c>
      <c r="EN47" s="339">
        <v>2</v>
      </c>
      <c r="EQ47" s="339">
        <v>11</v>
      </c>
      <c r="ER47" s="339" t="s">
        <v>1290</v>
      </c>
      <c r="ES47" s="339">
        <v>26</v>
      </c>
      <c r="ET47" s="339">
        <v>8</v>
      </c>
      <c r="EU47" s="339">
        <v>5</v>
      </c>
      <c r="EV47" s="339">
        <v>3</v>
      </c>
      <c r="EW47" s="339">
        <v>10</v>
      </c>
      <c r="EX47" s="339" t="s">
        <v>2211</v>
      </c>
      <c r="EY47" s="351">
        <v>37</v>
      </c>
      <c r="EZ47" s="339">
        <v>20</v>
      </c>
      <c r="FA47" s="339" t="s">
        <v>2212</v>
      </c>
      <c r="FB47" s="339">
        <v>19</v>
      </c>
      <c r="FC47" s="339" t="s">
        <v>2213</v>
      </c>
      <c r="FD47" s="339">
        <v>3</v>
      </c>
      <c r="FG47" s="339">
        <v>11</v>
      </c>
      <c r="FH47" s="339" t="s">
        <v>1266</v>
      </c>
      <c r="FI47" s="339">
        <v>26</v>
      </c>
      <c r="FJ47" s="339">
        <v>13</v>
      </c>
      <c r="FK47" s="339">
        <v>3</v>
      </c>
      <c r="FL47" s="339">
        <v>3</v>
      </c>
      <c r="FM47" s="339">
        <v>7</v>
      </c>
      <c r="FN47" s="339" t="s">
        <v>2299</v>
      </c>
      <c r="FO47" s="351">
        <v>48</v>
      </c>
      <c r="FP47" s="339">
        <v>32</v>
      </c>
      <c r="FQ47" s="339" t="s">
        <v>2300</v>
      </c>
      <c r="FR47" s="339">
        <v>12</v>
      </c>
      <c r="FS47" s="339" t="s">
        <v>2301</v>
      </c>
      <c r="FT47" s="339">
        <v>1</v>
      </c>
      <c r="FW47" s="339">
        <v>11</v>
      </c>
      <c r="FX47" s="339" t="s">
        <v>1266</v>
      </c>
      <c r="FY47" s="339">
        <v>26</v>
      </c>
      <c r="FZ47" s="339">
        <v>14</v>
      </c>
      <c r="GA47" s="339">
        <v>1</v>
      </c>
      <c r="GB47" s="339">
        <v>3</v>
      </c>
      <c r="GC47" s="339">
        <v>8</v>
      </c>
      <c r="GD47" s="339" t="s">
        <v>2379</v>
      </c>
      <c r="GE47" s="351">
        <v>47</v>
      </c>
      <c r="GF47" s="339">
        <v>37</v>
      </c>
      <c r="GG47" s="339" t="s">
        <v>217</v>
      </c>
      <c r="GH47" s="339">
        <v>18</v>
      </c>
      <c r="GI47" s="339" t="s">
        <v>2380</v>
      </c>
      <c r="GJ47" s="339">
        <v>4</v>
      </c>
      <c r="GM47" s="339">
        <v>11</v>
      </c>
      <c r="GN47" s="339" t="s">
        <v>1591</v>
      </c>
      <c r="GO47" s="339">
        <v>26</v>
      </c>
      <c r="GP47" s="339">
        <v>13</v>
      </c>
      <c r="GQ47" s="339">
        <v>2</v>
      </c>
      <c r="GR47" s="339">
        <v>3</v>
      </c>
      <c r="GS47" s="339">
        <v>8</v>
      </c>
      <c r="GT47" s="339" t="s">
        <v>2462</v>
      </c>
      <c r="GU47" s="351">
        <v>46</v>
      </c>
      <c r="GV47" s="339">
        <v>34</v>
      </c>
      <c r="GW47" s="339" t="s">
        <v>2463</v>
      </c>
      <c r="GX47" s="339">
        <v>31</v>
      </c>
      <c r="GY47" s="339" t="s">
        <v>2464</v>
      </c>
      <c r="GZ47" s="339">
        <v>1</v>
      </c>
      <c r="HC47" s="339">
        <v>11</v>
      </c>
      <c r="HD47" s="339" t="s">
        <v>2402</v>
      </c>
      <c r="HE47" s="339">
        <v>26</v>
      </c>
      <c r="HF47" s="339">
        <v>8</v>
      </c>
      <c r="HG47" s="339">
        <v>4</v>
      </c>
      <c r="HH47" s="339">
        <v>2</v>
      </c>
      <c r="HI47" s="339">
        <v>3</v>
      </c>
      <c r="HJ47" s="339">
        <v>9</v>
      </c>
      <c r="HK47" s="339" t="s">
        <v>1438</v>
      </c>
      <c r="HL47" s="351">
        <v>37</v>
      </c>
      <c r="HM47" s="339">
        <v>23</v>
      </c>
      <c r="HN47" s="339" t="s">
        <v>2537</v>
      </c>
      <c r="HO47" s="339">
        <v>14</v>
      </c>
      <c r="HP47" s="339" t="s">
        <v>2538</v>
      </c>
      <c r="HQ47" s="339">
        <v>3</v>
      </c>
      <c r="HT47" s="339">
        <v>11</v>
      </c>
      <c r="HU47" s="339" t="s">
        <v>2249</v>
      </c>
      <c r="HV47" s="339">
        <v>26</v>
      </c>
      <c r="HW47" s="339">
        <v>11</v>
      </c>
      <c r="HX47" s="339">
        <v>1</v>
      </c>
      <c r="HY47" s="339">
        <v>1</v>
      </c>
      <c r="HZ47" s="339">
        <v>2</v>
      </c>
      <c r="IA47" s="339">
        <v>11</v>
      </c>
      <c r="IB47" s="339" t="s">
        <v>2605</v>
      </c>
      <c r="IC47" s="351">
        <v>38</v>
      </c>
      <c r="ID47" s="339">
        <v>25</v>
      </c>
      <c r="IE47" s="339" t="s">
        <v>1973</v>
      </c>
      <c r="IF47" s="339">
        <v>12</v>
      </c>
      <c r="IG47" s="339" t="s">
        <v>1277</v>
      </c>
      <c r="IH47" s="339">
        <v>4</v>
      </c>
      <c r="IK47" s="339">
        <v>11</v>
      </c>
      <c r="IL47" s="339" t="s">
        <v>1303</v>
      </c>
      <c r="IM47" s="339">
        <v>26</v>
      </c>
      <c r="IN47" s="339">
        <v>12</v>
      </c>
      <c r="IO47" s="339">
        <v>1</v>
      </c>
      <c r="IP47" s="339">
        <v>4</v>
      </c>
      <c r="IQ47" s="339">
        <v>1</v>
      </c>
      <c r="IR47" s="339">
        <v>8</v>
      </c>
      <c r="IS47" s="352">
        <v>2.6618055555555555</v>
      </c>
      <c r="IT47" s="351">
        <v>43</v>
      </c>
      <c r="IU47" s="339">
        <v>15</v>
      </c>
      <c r="IV47" s="367">
        <v>33178</v>
      </c>
      <c r="IW47" s="339">
        <v>10</v>
      </c>
      <c r="IX47" s="339" t="s">
        <v>2683</v>
      </c>
      <c r="IY47" s="339">
        <v>2</v>
      </c>
      <c r="JB47" s="339">
        <v>11</v>
      </c>
      <c r="JC47" s="339" t="s">
        <v>2490</v>
      </c>
      <c r="JD47" s="339">
        <v>26</v>
      </c>
      <c r="JE47" s="339">
        <v>12</v>
      </c>
      <c r="JF47" s="339">
        <v>2</v>
      </c>
      <c r="JG47" s="339">
        <v>2</v>
      </c>
      <c r="JH47" s="339">
        <v>2</v>
      </c>
      <c r="JI47" s="339">
        <v>8</v>
      </c>
      <c r="JJ47" s="339" t="s">
        <v>2747</v>
      </c>
      <c r="JK47" s="351">
        <v>44</v>
      </c>
      <c r="JL47" s="339">
        <v>23</v>
      </c>
      <c r="JM47" s="339" t="s">
        <v>1280</v>
      </c>
      <c r="JN47" s="339">
        <v>16</v>
      </c>
      <c r="JO47" s="339" t="s">
        <v>2748</v>
      </c>
      <c r="JP47" s="339">
        <v>2</v>
      </c>
      <c r="JS47" s="339">
        <v>11</v>
      </c>
      <c r="JT47" s="339" t="s">
        <v>1266</v>
      </c>
      <c r="JU47" s="339">
        <v>26</v>
      </c>
      <c r="JV47" s="339">
        <v>11</v>
      </c>
      <c r="JW47" s="339">
        <v>1</v>
      </c>
      <c r="JX47" s="339">
        <v>0</v>
      </c>
      <c r="JY47" s="339">
        <v>3</v>
      </c>
      <c r="JZ47" s="339">
        <v>11</v>
      </c>
      <c r="KA47" s="339" t="s">
        <v>2788</v>
      </c>
      <c r="KB47" s="351">
        <v>38</v>
      </c>
      <c r="KC47" s="339">
        <v>0</v>
      </c>
      <c r="KD47" s="339" t="s">
        <v>78</v>
      </c>
      <c r="KE47" s="339">
        <v>0</v>
      </c>
      <c r="KF47" s="339" t="s">
        <v>2757</v>
      </c>
      <c r="KG47" s="339">
        <v>0</v>
      </c>
      <c r="KJ47" s="339">
        <v>11</v>
      </c>
      <c r="KK47" s="339" t="s">
        <v>2249</v>
      </c>
      <c r="KL47" s="339">
        <v>26</v>
      </c>
      <c r="KM47" s="339">
        <v>12</v>
      </c>
      <c r="KN47" s="339">
        <v>4</v>
      </c>
      <c r="KO47" s="339">
        <v>2</v>
      </c>
      <c r="KP47" s="339">
        <v>0</v>
      </c>
      <c r="KQ47" s="339">
        <v>8</v>
      </c>
      <c r="KR47" s="339" t="s">
        <v>2822</v>
      </c>
      <c r="KS47" s="351">
        <v>46</v>
      </c>
      <c r="KT47" s="339">
        <v>0</v>
      </c>
      <c r="KU47" s="339" t="s">
        <v>78</v>
      </c>
      <c r="KV47" s="339">
        <v>0</v>
      </c>
      <c r="KW47" s="339" t="s">
        <v>2757</v>
      </c>
      <c r="KX47" s="339">
        <v>0</v>
      </c>
      <c r="LA47" s="339">
        <v>11</v>
      </c>
      <c r="LB47" s="339" t="s">
        <v>1303</v>
      </c>
      <c r="LC47" s="339">
        <v>26</v>
      </c>
      <c r="LD47" s="339">
        <v>9</v>
      </c>
      <c r="LE47" s="339">
        <v>0</v>
      </c>
      <c r="LF47" s="339">
        <v>7</v>
      </c>
      <c r="LG47" s="339">
        <v>0</v>
      </c>
      <c r="LH47" s="339">
        <v>10</v>
      </c>
      <c r="LI47" s="339" t="s">
        <v>2856</v>
      </c>
      <c r="LJ47" s="351">
        <v>25</v>
      </c>
      <c r="LK47" s="339">
        <v>0</v>
      </c>
      <c r="LL47" s="339" t="s">
        <v>78</v>
      </c>
      <c r="LM47" s="339">
        <v>0</v>
      </c>
      <c r="LN47" s="339" t="s">
        <v>2757</v>
      </c>
      <c r="LO47" s="339">
        <v>0</v>
      </c>
      <c r="LR47" s="339">
        <v>11</v>
      </c>
      <c r="LS47" s="339" t="s">
        <v>2089</v>
      </c>
      <c r="LT47" s="339">
        <v>26</v>
      </c>
      <c r="LU47" s="339">
        <v>7</v>
      </c>
      <c r="LV47" s="339">
        <v>0</v>
      </c>
      <c r="LW47" s="339">
        <v>11</v>
      </c>
      <c r="LX47" s="339">
        <v>0</v>
      </c>
      <c r="LY47" s="339">
        <v>8</v>
      </c>
      <c r="LZ47" s="339" t="s">
        <v>1689</v>
      </c>
      <c r="MA47" s="351">
        <v>25</v>
      </c>
      <c r="MB47" s="339">
        <v>20</v>
      </c>
      <c r="MC47" s="339" t="s">
        <v>1903</v>
      </c>
      <c r="MD47" s="339">
        <v>13</v>
      </c>
      <c r="ME47" s="339" t="s">
        <v>2461</v>
      </c>
      <c r="MF47" s="339">
        <v>1</v>
      </c>
    </row>
    <row r="48" spans="2:344" ht="69.599999999999994" thickBot="1" x14ac:dyDescent="0.35">
      <c r="B48" s="339">
        <v>12</v>
      </c>
      <c r="C48" s="339" t="s">
        <v>1303</v>
      </c>
      <c r="D48" s="339">
        <v>26</v>
      </c>
      <c r="E48" s="339">
        <v>9</v>
      </c>
      <c r="F48" s="339">
        <v>2</v>
      </c>
      <c r="G48" s="339"/>
      <c r="H48" s="339">
        <v>2</v>
      </c>
      <c r="I48" s="339">
        <v>13</v>
      </c>
      <c r="J48" s="339" t="s">
        <v>1375</v>
      </c>
      <c r="K48" s="351">
        <v>33</v>
      </c>
      <c r="L48" s="339">
        <v>17</v>
      </c>
      <c r="M48" s="339" t="s">
        <v>1376</v>
      </c>
      <c r="N48" s="339">
        <v>15</v>
      </c>
      <c r="O48" s="339" t="s">
        <v>1377</v>
      </c>
      <c r="P48" s="339">
        <v>4</v>
      </c>
      <c r="Q48" s="342"/>
      <c r="S48" s="339">
        <v>12</v>
      </c>
      <c r="T48" s="339" t="s">
        <v>1386</v>
      </c>
      <c r="U48" s="339">
        <v>26</v>
      </c>
      <c r="V48" s="339">
        <v>9</v>
      </c>
      <c r="W48" s="339">
        <v>5</v>
      </c>
      <c r="X48" s="339">
        <v>2</v>
      </c>
      <c r="Y48" s="339">
        <v>10</v>
      </c>
      <c r="Z48" s="352">
        <v>2.3298611111111112</v>
      </c>
      <c r="AA48" s="351">
        <v>39</v>
      </c>
      <c r="AB48" s="339">
        <v>16</v>
      </c>
      <c r="AC48" s="367">
        <v>29556</v>
      </c>
      <c r="AD48" s="339">
        <v>10</v>
      </c>
      <c r="AE48" s="339" t="s">
        <v>1488</v>
      </c>
      <c r="AF48" s="339">
        <v>2</v>
      </c>
      <c r="AI48" s="339">
        <v>12</v>
      </c>
      <c r="AJ48" s="339" t="s">
        <v>1290</v>
      </c>
      <c r="AK48" s="339">
        <v>26</v>
      </c>
      <c r="AL48" s="339">
        <v>12</v>
      </c>
      <c r="AM48" s="339">
        <v>1</v>
      </c>
      <c r="AN48" s="339">
        <v>2</v>
      </c>
      <c r="AO48" s="339">
        <v>11</v>
      </c>
      <c r="AP48" s="339" t="s">
        <v>1577</v>
      </c>
      <c r="AQ48" s="351">
        <v>40</v>
      </c>
      <c r="AR48" s="339">
        <v>18</v>
      </c>
      <c r="AS48" s="339" t="s">
        <v>1371</v>
      </c>
      <c r="AT48" s="339">
        <v>23</v>
      </c>
      <c r="AU48" s="339" t="s">
        <v>1578</v>
      </c>
      <c r="AV48" s="339">
        <v>3</v>
      </c>
      <c r="AY48" s="339">
        <v>12</v>
      </c>
      <c r="AZ48" s="339" t="s">
        <v>80</v>
      </c>
      <c r="BA48" s="339">
        <v>26</v>
      </c>
      <c r="BB48" s="339">
        <v>7</v>
      </c>
      <c r="BC48" s="339">
        <v>7</v>
      </c>
      <c r="BD48" s="339">
        <v>2</v>
      </c>
      <c r="BE48" s="339">
        <v>10</v>
      </c>
      <c r="BF48" s="352">
        <v>2.5826388888888889</v>
      </c>
      <c r="BG48" s="351">
        <v>37</v>
      </c>
      <c r="BH48" s="339">
        <v>25</v>
      </c>
      <c r="BI48" s="366">
        <v>43482</v>
      </c>
      <c r="BJ48" s="339">
        <v>15</v>
      </c>
      <c r="BK48" s="339" t="s">
        <v>1688</v>
      </c>
      <c r="BL48" s="339">
        <v>0</v>
      </c>
      <c r="BO48" s="339">
        <v>12</v>
      </c>
      <c r="BP48" s="339" t="s">
        <v>1290</v>
      </c>
      <c r="BQ48" s="339">
        <v>26</v>
      </c>
      <c r="BR48" s="339">
        <v>10</v>
      </c>
      <c r="BS48" s="339">
        <v>0</v>
      </c>
      <c r="BT48" s="339">
        <v>6</v>
      </c>
      <c r="BU48" s="339">
        <v>10</v>
      </c>
      <c r="BV48" s="339" t="s">
        <v>1779</v>
      </c>
      <c r="BW48" s="351">
        <v>36</v>
      </c>
      <c r="BX48" s="339">
        <v>36</v>
      </c>
      <c r="BY48" s="366">
        <v>43730</v>
      </c>
      <c r="BZ48" s="339">
        <v>22</v>
      </c>
      <c r="CA48" s="339" t="s">
        <v>1780</v>
      </c>
      <c r="CB48" s="339">
        <v>2</v>
      </c>
      <c r="CE48" s="339">
        <v>12</v>
      </c>
      <c r="CF48" s="339" t="s">
        <v>1286</v>
      </c>
      <c r="CG48" s="339">
        <v>26</v>
      </c>
      <c r="CH48" s="339">
        <v>9</v>
      </c>
      <c r="CI48" s="339">
        <v>3</v>
      </c>
      <c r="CJ48" s="339">
        <v>2</v>
      </c>
      <c r="CK48" s="339">
        <v>12</v>
      </c>
      <c r="CL48" s="339" t="s">
        <v>1869</v>
      </c>
      <c r="CM48" s="351">
        <v>35</v>
      </c>
      <c r="CN48" s="339">
        <v>21</v>
      </c>
      <c r="CO48" s="339" t="s">
        <v>1870</v>
      </c>
      <c r="CP48" s="339">
        <v>16</v>
      </c>
      <c r="CQ48" s="339" t="s">
        <v>1365</v>
      </c>
      <c r="CR48" s="339">
        <v>0</v>
      </c>
      <c r="CU48" s="339">
        <v>12</v>
      </c>
      <c r="CV48" s="339" t="s">
        <v>1895</v>
      </c>
      <c r="CW48" s="339">
        <v>26</v>
      </c>
      <c r="CX48" s="339">
        <v>13</v>
      </c>
      <c r="CY48" s="339">
        <v>2</v>
      </c>
      <c r="CZ48" s="339">
        <v>1</v>
      </c>
      <c r="DA48" s="339">
        <v>10</v>
      </c>
      <c r="DB48" s="339" t="s">
        <v>1918</v>
      </c>
      <c r="DC48" s="351">
        <v>44</v>
      </c>
      <c r="DD48" s="339">
        <v>25</v>
      </c>
      <c r="DE48" s="339" t="s">
        <v>1969</v>
      </c>
      <c r="DF48" s="339">
        <v>16</v>
      </c>
      <c r="DG48" s="339" t="s">
        <v>1970</v>
      </c>
      <c r="DH48" s="339">
        <v>2</v>
      </c>
      <c r="DK48" s="339">
        <v>12</v>
      </c>
      <c r="DL48" s="339" t="s">
        <v>1290</v>
      </c>
      <c r="DM48" s="339">
        <v>26</v>
      </c>
      <c r="DN48" s="339">
        <v>11</v>
      </c>
      <c r="DO48" s="339">
        <v>2</v>
      </c>
      <c r="DP48" s="339">
        <v>3</v>
      </c>
      <c r="DQ48" s="339">
        <v>10</v>
      </c>
      <c r="DR48" s="339" t="s">
        <v>2054</v>
      </c>
      <c r="DS48" s="351">
        <v>40</v>
      </c>
      <c r="DT48" s="339">
        <v>25</v>
      </c>
      <c r="DU48" s="339" t="s">
        <v>2055</v>
      </c>
      <c r="DV48" s="339">
        <v>21</v>
      </c>
      <c r="DW48" s="339" t="s">
        <v>1906</v>
      </c>
      <c r="DX48" s="339">
        <v>2</v>
      </c>
      <c r="EA48" s="339">
        <v>12</v>
      </c>
      <c r="EB48" s="339" t="s">
        <v>1303</v>
      </c>
      <c r="EC48" s="339">
        <v>26</v>
      </c>
      <c r="ED48" s="339">
        <v>7</v>
      </c>
      <c r="EE48" s="339">
        <v>3</v>
      </c>
      <c r="EF48" s="339">
        <v>6</v>
      </c>
      <c r="EG48" s="339">
        <v>10</v>
      </c>
      <c r="EH48" s="339" t="s">
        <v>2133</v>
      </c>
      <c r="EI48" s="351">
        <v>33</v>
      </c>
      <c r="EJ48" s="339">
        <v>27</v>
      </c>
      <c r="EK48" s="339" t="s">
        <v>1682</v>
      </c>
      <c r="EL48" s="339">
        <v>22</v>
      </c>
      <c r="EM48" s="339" t="s">
        <v>1603</v>
      </c>
      <c r="EN48" s="339">
        <v>0</v>
      </c>
      <c r="EQ48" s="339">
        <v>12</v>
      </c>
      <c r="ER48" s="339" t="s">
        <v>1591</v>
      </c>
      <c r="ES48" s="339">
        <v>26</v>
      </c>
      <c r="ET48" s="339">
        <v>10</v>
      </c>
      <c r="EU48" s="339">
        <v>3</v>
      </c>
      <c r="EV48" s="339">
        <v>1</v>
      </c>
      <c r="EW48" s="339">
        <v>12</v>
      </c>
      <c r="EX48" s="339" t="s">
        <v>2214</v>
      </c>
      <c r="EY48" s="351">
        <v>37</v>
      </c>
      <c r="EZ48" s="339">
        <v>16</v>
      </c>
      <c r="FA48" s="367">
        <v>13089</v>
      </c>
      <c r="FB48" s="339">
        <v>24</v>
      </c>
      <c r="FC48" s="339" t="s">
        <v>2215</v>
      </c>
      <c r="FD48" s="339">
        <v>7</v>
      </c>
      <c r="FG48" s="339">
        <v>12</v>
      </c>
      <c r="FH48" s="339" t="s">
        <v>2249</v>
      </c>
      <c r="FI48" s="339">
        <v>26</v>
      </c>
      <c r="FJ48" s="339">
        <v>12</v>
      </c>
      <c r="FK48" s="339">
        <v>3</v>
      </c>
      <c r="FL48" s="339">
        <v>4</v>
      </c>
      <c r="FM48" s="339">
        <v>7</v>
      </c>
      <c r="FN48" s="339" t="s">
        <v>2302</v>
      </c>
      <c r="FO48" s="351">
        <v>46</v>
      </c>
      <c r="FP48" s="339">
        <v>30</v>
      </c>
      <c r="FQ48" s="339" t="s">
        <v>2245</v>
      </c>
      <c r="FR48" s="339">
        <v>22</v>
      </c>
      <c r="FS48" s="339" t="s">
        <v>2303</v>
      </c>
      <c r="FT48" s="339">
        <v>1</v>
      </c>
      <c r="FW48" s="339">
        <v>12</v>
      </c>
      <c r="FX48" s="339" t="s">
        <v>1297</v>
      </c>
      <c r="FY48" s="339">
        <v>26</v>
      </c>
      <c r="FZ48" s="339">
        <v>12</v>
      </c>
      <c r="GA48" s="339">
        <v>2</v>
      </c>
      <c r="GB48" s="339">
        <v>5</v>
      </c>
      <c r="GC48" s="339">
        <v>7</v>
      </c>
      <c r="GD48" s="339" t="s">
        <v>2381</v>
      </c>
      <c r="GE48" s="351">
        <v>45</v>
      </c>
      <c r="GF48" s="339">
        <v>29</v>
      </c>
      <c r="GG48" s="366">
        <v>43483</v>
      </c>
      <c r="GH48" s="339">
        <v>18</v>
      </c>
      <c r="GI48" s="339" t="s">
        <v>1645</v>
      </c>
      <c r="GJ48" s="339">
        <v>0</v>
      </c>
      <c r="GM48" s="339">
        <v>12</v>
      </c>
      <c r="GN48" s="339" t="s">
        <v>2412</v>
      </c>
      <c r="GO48" s="339">
        <v>26</v>
      </c>
      <c r="GP48" s="339">
        <v>14</v>
      </c>
      <c r="GQ48" s="339">
        <v>1</v>
      </c>
      <c r="GR48" s="339">
        <v>2</v>
      </c>
      <c r="GS48" s="339">
        <v>9</v>
      </c>
      <c r="GT48" s="339" t="s">
        <v>2299</v>
      </c>
      <c r="GU48" s="351">
        <v>46</v>
      </c>
      <c r="GV48" s="339">
        <v>37</v>
      </c>
      <c r="GW48" s="339" t="s">
        <v>1991</v>
      </c>
      <c r="GX48" s="339">
        <v>32</v>
      </c>
      <c r="GY48" s="339" t="s">
        <v>1600</v>
      </c>
      <c r="GZ48" s="339">
        <v>5</v>
      </c>
      <c r="HC48" s="339">
        <v>12</v>
      </c>
      <c r="HD48" s="339" t="s">
        <v>2224</v>
      </c>
      <c r="HE48" s="339">
        <v>26</v>
      </c>
      <c r="HF48" s="339">
        <v>11</v>
      </c>
      <c r="HG48" s="339">
        <v>0</v>
      </c>
      <c r="HH48" s="339">
        <v>2</v>
      </c>
      <c r="HI48" s="339">
        <v>1</v>
      </c>
      <c r="HJ48" s="339">
        <v>12</v>
      </c>
      <c r="HK48" s="339" t="s">
        <v>2539</v>
      </c>
      <c r="HL48" s="351">
        <v>36</v>
      </c>
      <c r="HM48" s="339">
        <v>30</v>
      </c>
      <c r="HN48" s="366">
        <v>43602</v>
      </c>
      <c r="HO48" s="339">
        <v>20</v>
      </c>
      <c r="HP48" s="339" t="s">
        <v>2540</v>
      </c>
      <c r="HQ48" s="339">
        <v>4</v>
      </c>
      <c r="HT48" s="339">
        <v>12</v>
      </c>
      <c r="HU48" s="339" t="s">
        <v>2418</v>
      </c>
      <c r="HV48" s="339">
        <v>26</v>
      </c>
      <c r="HW48" s="339">
        <v>12</v>
      </c>
      <c r="HX48" s="339">
        <v>0</v>
      </c>
      <c r="HY48" s="339">
        <v>1</v>
      </c>
      <c r="HZ48" s="339">
        <v>0</v>
      </c>
      <c r="IA48" s="339">
        <v>13</v>
      </c>
      <c r="IB48" s="339" t="s">
        <v>2014</v>
      </c>
      <c r="IC48" s="351">
        <v>37</v>
      </c>
      <c r="ID48" s="339">
        <v>20</v>
      </c>
      <c r="IE48" s="339" t="s">
        <v>1442</v>
      </c>
      <c r="IF48" s="339">
        <v>20</v>
      </c>
      <c r="IG48" s="339" t="s">
        <v>2606</v>
      </c>
      <c r="IH48" s="339">
        <v>3</v>
      </c>
      <c r="IK48" s="339">
        <v>12</v>
      </c>
      <c r="IL48" s="339" t="s">
        <v>1262</v>
      </c>
      <c r="IM48" s="339">
        <v>26</v>
      </c>
      <c r="IN48" s="339">
        <v>10</v>
      </c>
      <c r="IO48" s="339">
        <v>2</v>
      </c>
      <c r="IP48" s="339">
        <v>5</v>
      </c>
      <c r="IQ48" s="339">
        <v>2</v>
      </c>
      <c r="IR48" s="339">
        <v>7</v>
      </c>
      <c r="IS48" s="339" t="s">
        <v>2042</v>
      </c>
      <c r="IT48" s="351">
        <v>41</v>
      </c>
      <c r="IU48" s="339">
        <v>23</v>
      </c>
      <c r="IV48" s="339" t="s">
        <v>2508</v>
      </c>
      <c r="IW48" s="339">
        <v>20</v>
      </c>
      <c r="IX48" s="339" t="s">
        <v>2684</v>
      </c>
      <c r="IY48" s="339">
        <v>2</v>
      </c>
      <c r="JB48" s="339">
        <v>12</v>
      </c>
      <c r="JC48" s="339" t="s">
        <v>1293</v>
      </c>
      <c r="JD48" s="339">
        <v>26</v>
      </c>
      <c r="JE48" s="339">
        <v>12</v>
      </c>
      <c r="JF48" s="339">
        <v>0</v>
      </c>
      <c r="JG48" s="339">
        <v>2</v>
      </c>
      <c r="JH48" s="339">
        <v>4</v>
      </c>
      <c r="JI48" s="339">
        <v>8</v>
      </c>
      <c r="JJ48" s="339" t="s">
        <v>2749</v>
      </c>
      <c r="JK48" s="351">
        <v>42</v>
      </c>
      <c r="JL48" s="339">
        <v>34</v>
      </c>
      <c r="JM48" s="339" t="s">
        <v>2750</v>
      </c>
      <c r="JN48" s="339">
        <v>11</v>
      </c>
      <c r="JO48" s="339" t="s">
        <v>2751</v>
      </c>
      <c r="JP48" s="339">
        <v>4</v>
      </c>
      <c r="JS48" s="339">
        <v>12</v>
      </c>
      <c r="JT48" s="339" t="s">
        <v>2715</v>
      </c>
      <c r="JU48" s="339">
        <v>26</v>
      </c>
      <c r="JV48" s="339">
        <v>10</v>
      </c>
      <c r="JW48" s="339">
        <v>2</v>
      </c>
      <c r="JX48" s="339">
        <v>2</v>
      </c>
      <c r="JY48" s="339">
        <v>2</v>
      </c>
      <c r="JZ48" s="339">
        <v>10</v>
      </c>
      <c r="KA48" s="339" t="s">
        <v>2789</v>
      </c>
      <c r="KB48" s="351">
        <v>38</v>
      </c>
      <c r="KC48" s="339">
        <v>0</v>
      </c>
      <c r="KD48" s="339" t="s">
        <v>78</v>
      </c>
      <c r="KE48" s="339">
        <v>0</v>
      </c>
      <c r="KF48" s="339" t="s">
        <v>2757</v>
      </c>
      <c r="KG48" s="339">
        <v>0</v>
      </c>
      <c r="KJ48" s="339">
        <v>12</v>
      </c>
      <c r="KK48" s="339" t="s">
        <v>2490</v>
      </c>
      <c r="KL48" s="339">
        <v>26</v>
      </c>
      <c r="KM48" s="339">
        <v>12</v>
      </c>
      <c r="KN48" s="339">
        <v>1</v>
      </c>
      <c r="KO48" s="339">
        <v>3</v>
      </c>
      <c r="KP48" s="339">
        <v>3</v>
      </c>
      <c r="KQ48" s="339">
        <v>7</v>
      </c>
      <c r="KR48" s="339" t="s">
        <v>2823</v>
      </c>
      <c r="KS48" s="351">
        <v>44</v>
      </c>
      <c r="KT48" s="339">
        <v>0</v>
      </c>
      <c r="KU48" s="339" t="s">
        <v>78</v>
      </c>
      <c r="KV48" s="339">
        <v>0</v>
      </c>
      <c r="KW48" s="339" t="s">
        <v>2757</v>
      </c>
      <c r="KX48" s="339">
        <v>0</v>
      </c>
      <c r="LA48" s="339">
        <v>12</v>
      </c>
      <c r="LB48" s="339" t="s">
        <v>2715</v>
      </c>
      <c r="LC48" s="339">
        <v>26</v>
      </c>
      <c r="LD48" s="339">
        <v>10</v>
      </c>
      <c r="LE48" s="339">
        <v>0</v>
      </c>
      <c r="LF48" s="339">
        <v>4</v>
      </c>
      <c r="LG48" s="339">
        <v>0</v>
      </c>
      <c r="LH48" s="339">
        <v>12</v>
      </c>
      <c r="LI48" s="339" t="s">
        <v>2857</v>
      </c>
      <c r="LJ48" s="351">
        <v>24</v>
      </c>
      <c r="LK48" s="339">
        <v>0</v>
      </c>
      <c r="LL48" s="339" t="s">
        <v>78</v>
      </c>
      <c r="LM48" s="339">
        <v>0</v>
      </c>
      <c r="LN48" s="339" t="s">
        <v>2757</v>
      </c>
      <c r="LO48" s="339">
        <v>0</v>
      </c>
      <c r="LR48" s="339">
        <v>12</v>
      </c>
      <c r="LS48" s="339" t="s">
        <v>1303</v>
      </c>
      <c r="LT48" s="339">
        <v>26</v>
      </c>
      <c r="LU48" s="339">
        <v>8</v>
      </c>
      <c r="LV48" s="339">
        <v>0</v>
      </c>
      <c r="LW48" s="339">
        <v>6</v>
      </c>
      <c r="LX48" s="339">
        <v>0</v>
      </c>
      <c r="LY48" s="339">
        <v>12</v>
      </c>
      <c r="LZ48" s="339" t="s">
        <v>2921</v>
      </c>
      <c r="MA48" s="351">
        <v>22</v>
      </c>
      <c r="MB48" s="339">
        <v>21</v>
      </c>
      <c r="MC48" s="339" t="s">
        <v>1418</v>
      </c>
      <c r="MD48" s="339">
        <v>15</v>
      </c>
      <c r="ME48" s="339" t="s">
        <v>2424</v>
      </c>
      <c r="MF48" s="339">
        <v>2</v>
      </c>
    </row>
    <row r="49" spans="2:344" ht="55.8" thickBot="1" x14ac:dyDescent="0.35">
      <c r="B49" s="339">
        <v>13</v>
      </c>
      <c r="C49" s="339" t="s">
        <v>1307</v>
      </c>
      <c r="D49" s="339">
        <v>26</v>
      </c>
      <c r="E49" s="339">
        <v>9</v>
      </c>
      <c r="F49" s="339">
        <v>1</v>
      </c>
      <c r="G49" s="339"/>
      <c r="H49" s="339">
        <v>4</v>
      </c>
      <c r="I49" s="339">
        <v>12</v>
      </c>
      <c r="J49" s="339" t="s">
        <v>1378</v>
      </c>
      <c r="K49" s="351">
        <v>33</v>
      </c>
      <c r="L49" s="339">
        <v>19</v>
      </c>
      <c r="M49" s="366">
        <v>43816</v>
      </c>
      <c r="N49" s="339">
        <v>25</v>
      </c>
      <c r="O49" s="339" t="s">
        <v>1379</v>
      </c>
      <c r="P49" s="339">
        <v>2</v>
      </c>
      <c r="Q49" s="342"/>
      <c r="S49" s="339">
        <v>13</v>
      </c>
      <c r="T49" s="339" t="s">
        <v>1290</v>
      </c>
      <c r="U49" s="339">
        <v>26</v>
      </c>
      <c r="V49" s="339">
        <v>8</v>
      </c>
      <c r="W49" s="339">
        <v>5</v>
      </c>
      <c r="X49" s="339">
        <v>4</v>
      </c>
      <c r="Y49" s="339">
        <v>9</v>
      </c>
      <c r="Z49" s="352">
        <v>2.5812500000000003</v>
      </c>
      <c r="AA49" s="351">
        <v>38</v>
      </c>
      <c r="AB49" s="339">
        <v>18</v>
      </c>
      <c r="AC49" s="339" t="s">
        <v>1489</v>
      </c>
      <c r="AD49" s="339">
        <v>12</v>
      </c>
      <c r="AE49" s="339" t="s">
        <v>1490</v>
      </c>
      <c r="AF49" s="339">
        <v>1</v>
      </c>
      <c r="AI49" s="339">
        <v>13</v>
      </c>
      <c r="AJ49" s="339" t="s">
        <v>1303</v>
      </c>
      <c r="AK49" s="339">
        <v>26</v>
      </c>
      <c r="AL49" s="339">
        <v>10</v>
      </c>
      <c r="AM49" s="339">
        <v>1</v>
      </c>
      <c r="AN49" s="339">
        <v>4</v>
      </c>
      <c r="AO49" s="339">
        <v>11</v>
      </c>
      <c r="AP49" s="339" t="s">
        <v>1579</v>
      </c>
      <c r="AQ49" s="351">
        <v>36</v>
      </c>
      <c r="AR49" s="339">
        <v>22</v>
      </c>
      <c r="AS49" s="339" t="s">
        <v>1581</v>
      </c>
      <c r="AT49" s="339">
        <v>18</v>
      </c>
      <c r="AU49" s="339" t="s">
        <v>1582</v>
      </c>
      <c r="AV49" s="339">
        <v>3</v>
      </c>
      <c r="AY49" s="339">
        <v>13</v>
      </c>
      <c r="AZ49" s="339" t="s">
        <v>1311</v>
      </c>
      <c r="BA49" s="339">
        <v>26</v>
      </c>
      <c r="BB49" s="339">
        <v>9</v>
      </c>
      <c r="BC49" s="339">
        <v>2</v>
      </c>
      <c r="BD49" s="339">
        <v>2</v>
      </c>
      <c r="BE49" s="339">
        <v>13</v>
      </c>
      <c r="BF49" s="339" t="s">
        <v>1689</v>
      </c>
      <c r="BG49" s="351">
        <v>33</v>
      </c>
      <c r="BH49" s="339">
        <v>24</v>
      </c>
      <c r="BI49" s="339" t="s">
        <v>1690</v>
      </c>
      <c r="BJ49" s="339">
        <v>16</v>
      </c>
      <c r="BK49" s="339" t="s">
        <v>1691</v>
      </c>
      <c r="BL49" s="339">
        <v>1</v>
      </c>
      <c r="BO49" s="339">
        <v>13</v>
      </c>
      <c r="BP49" s="339" t="s">
        <v>1282</v>
      </c>
      <c r="BQ49" s="339">
        <v>26</v>
      </c>
      <c r="BR49" s="339">
        <v>8</v>
      </c>
      <c r="BS49" s="339">
        <v>3</v>
      </c>
      <c r="BT49" s="339">
        <v>4</v>
      </c>
      <c r="BU49" s="339">
        <v>11</v>
      </c>
      <c r="BV49" s="339" t="s">
        <v>1781</v>
      </c>
      <c r="BW49" s="351">
        <v>34</v>
      </c>
      <c r="BX49" s="339">
        <v>28</v>
      </c>
      <c r="BY49" s="339" t="s">
        <v>1782</v>
      </c>
      <c r="BZ49" s="339">
        <v>23</v>
      </c>
      <c r="CA49" s="339" t="s">
        <v>1347</v>
      </c>
      <c r="CB49" s="339">
        <v>1</v>
      </c>
      <c r="CE49" s="339">
        <v>13</v>
      </c>
      <c r="CF49" s="339" t="s">
        <v>332</v>
      </c>
      <c r="CG49" s="339">
        <v>26</v>
      </c>
      <c r="CH49" s="339">
        <v>5</v>
      </c>
      <c r="CI49" s="339">
        <v>5</v>
      </c>
      <c r="CJ49" s="339">
        <v>1</v>
      </c>
      <c r="CK49" s="339">
        <v>15</v>
      </c>
      <c r="CL49" s="339" t="s">
        <v>1871</v>
      </c>
      <c r="CM49" s="351">
        <v>26</v>
      </c>
      <c r="CN49" s="339">
        <v>14</v>
      </c>
      <c r="CO49" s="367">
        <v>28065</v>
      </c>
      <c r="CP49" s="339">
        <v>17</v>
      </c>
      <c r="CQ49" s="339" t="s">
        <v>1872</v>
      </c>
      <c r="CR49" s="339">
        <v>1</v>
      </c>
      <c r="CU49" s="339">
        <v>13</v>
      </c>
      <c r="CV49" s="339" t="s">
        <v>1307</v>
      </c>
      <c r="CW49" s="339">
        <v>26</v>
      </c>
      <c r="CX49" s="339">
        <v>10</v>
      </c>
      <c r="CY49" s="339">
        <v>4</v>
      </c>
      <c r="CZ49" s="339">
        <v>1</v>
      </c>
      <c r="DA49" s="339">
        <v>11</v>
      </c>
      <c r="DB49" s="339" t="s">
        <v>1971</v>
      </c>
      <c r="DC49" s="351">
        <v>39</v>
      </c>
      <c r="DD49" s="339">
        <v>25</v>
      </c>
      <c r="DE49" s="339" t="s">
        <v>1558</v>
      </c>
      <c r="DF49" s="339">
        <v>20</v>
      </c>
      <c r="DG49" s="339" t="s">
        <v>1310</v>
      </c>
      <c r="DH49" s="339">
        <v>2</v>
      </c>
      <c r="DK49" s="339">
        <v>13</v>
      </c>
      <c r="DL49" s="339" t="s">
        <v>1266</v>
      </c>
      <c r="DM49" s="339">
        <v>26</v>
      </c>
      <c r="DN49" s="339">
        <v>10</v>
      </c>
      <c r="DO49" s="339">
        <v>3</v>
      </c>
      <c r="DP49" s="339">
        <v>2</v>
      </c>
      <c r="DQ49" s="339">
        <v>11</v>
      </c>
      <c r="DR49" s="339" t="s">
        <v>1577</v>
      </c>
      <c r="DS49" s="351">
        <v>38</v>
      </c>
      <c r="DT49" s="339">
        <v>25</v>
      </c>
      <c r="DU49" s="339" t="s">
        <v>2056</v>
      </c>
      <c r="DV49" s="339">
        <v>9</v>
      </c>
      <c r="DW49" s="339" t="s">
        <v>2057</v>
      </c>
      <c r="DX49" s="339">
        <v>2</v>
      </c>
      <c r="EA49" s="339">
        <v>13</v>
      </c>
      <c r="EB49" s="339" t="s">
        <v>2089</v>
      </c>
      <c r="EC49" s="339">
        <v>26</v>
      </c>
      <c r="ED49" s="339">
        <v>7</v>
      </c>
      <c r="EE49" s="339">
        <v>2</v>
      </c>
      <c r="EF49" s="339">
        <v>3</v>
      </c>
      <c r="EG49" s="339">
        <v>14</v>
      </c>
      <c r="EH49" s="339" t="s">
        <v>2134</v>
      </c>
      <c r="EI49" s="351">
        <v>25</v>
      </c>
      <c r="EJ49" s="339">
        <v>19</v>
      </c>
      <c r="EK49" s="339" t="s">
        <v>2135</v>
      </c>
      <c r="EL49" s="339">
        <v>16</v>
      </c>
      <c r="EM49" s="339" t="s">
        <v>1468</v>
      </c>
      <c r="EN49" s="339">
        <v>3</v>
      </c>
      <c r="EQ49" s="339">
        <v>13</v>
      </c>
      <c r="ER49" s="339" t="s">
        <v>2078</v>
      </c>
      <c r="ES49" s="339">
        <v>26</v>
      </c>
      <c r="ET49" s="339">
        <v>10</v>
      </c>
      <c r="EU49" s="339">
        <v>2</v>
      </c>
      <c r="EV49" s="339">
        <v>3</v>
      </c>
      <c r="EW49" s="339">
        <v>11</v>
      </c>
      <c r="EX49" s="339" t="s">
        <v>2216</v>
      </c>
      <c r="EY49" s="351">
        <v>37</v>
      </c>
      <c r="EZ49" s="339">
        <v>27</v>
      </c>
      <c r="FA49" s="339" t="s">
        <v>2217</v>
      </c>
      <c r="FB49" s="339">
        <v>27</v>
      </c>
      <c r="FC49" s="339" t="s">
        <v>2218</v>
      </c>
      <c r="FD49" s="339">
        <v>6</v>
      </c>
      <c r="FG49" s="339">
        <v>13</v>
      </c>
      <c r="FH49" s="339" t="s">
        <v>1895</v>
      </c>
      <c r="FI49" s="339">
        <v>26</v>
      </c>
      <c r="FJ49" s="339">
        <v>12</v>
      </c>
      <c r="FK49" s="339">
        <v>2</v>
      </c>
      <c r="FL49" s="339">
        <v>3</v>
      </c>
      <c r="FM49" s="339">
        <v>9</v>
      </c>
      <c r="FN49" s="339" t="s">
        <v>2304</v>
      </c>
      <c r="FO49" s="351">
        <v>43</v>
      </c>
      <c r="FP49" s="339">
        <v>16</v>
      </c>
      <c r="FQ49" s="367">
        <v>18933</v>
      </c>
      <c r="FR49" s="339">
        <v>15</v>
      </c>
      <c r="FS49" s="339" t="s">
        <v>2305</v>
      </c>
      <c r="FT49" s="339">
        <v>2</v>
      </c>
      <c r="FW49" s="339">
        <v>13</v>
      </c>
      <c r="FX49" s="339" t="s">
        <v>1293</v>
      </c>
      <c r="FY49" s="339">
        <v>26</v>
      </c>
      <c r="FZ49" s="339">
        <v>13</v>
      </c>
      <c r="GA49" s="339">
        <v>1</v>
      </c>
      <c r="GB49" s="339">
        <v>2</v>
      </c>
      <c r="GC49" s="339">
        <v>10</v>
      </c>
      <c r="GD49" s="339" t="s">
        <v>2382</v>
      </c>
      <c r="GE49" s="351">
        <v>43</v>
      </c>
      <c r="GF49" s="339">
        <v>28</v>
      </c>
      <c r="GG49" s="339" t="s">
        <v>2059</v>
      </c>
      <c r="GH49" s="339">
        <v>34</v>
      </c>
      <c r="GI49" s="339" t="s">
        <v>2383</v>
      </c>
      <c r="GJ49" s="339">
        <v>1</v>
      </c>
      <c r="GM49" s="339">
        <v>13</v>
      </c>
      <c r="GN49" s="339" t="s">
        <v>2236</v>
      </c>
      <c r="GO49" s="339">
        <v>26</v>
      </c>
      <c r="GP49" s="339">
        <v>13</v>
      </c>
      <c r="GQ49" s="339">
        <v>0</v>
      </c>
      <c r="GR49" s="339">
        <v>1</v>
      </c>
      <c r="GS49" s="339">
        <v>12</v>
      </c>
      <c r="GT49" s="339" t="s">
        <v>2465</v>
      </c>
      <c r="GU49" s="351">
        <v>40</v>
      </c>
      <c r="GV49" s="339">
        <v>32</v>
      </c>
      <c r="GW49" s="339" t="s">
        <v>2253</v>
      </c>
      <c r="GX49" s="339">
        <v>31</v>
      </c>
      <c r="GY49" s="339" t="s">
        <v>2466</v>
      </c>
      <c r="GZ49" s="339">
        <v>7</v>
      </c>
      <c r="HC49" s="339">
        <v>13</v>
      </c>
      <c r="HD49" s="339" t="s">
        <v>2236</v>
      </c>
      <c r="HE49" s="339">
        <v>26</v>
      </c>
      <c r="HF49" s="339">
        <v>10</v>
      </c>
      <c r="HG49" s="339">
        <v>0</v>
      </c>
      <c r="HH49" s="339">
        <v>5</v>
      </c>
      <c r="HI49" s="339">
        <v>1</v>
      </c>
      <c r="HJ49" s="339">
        <v>10</v>
      </c>
      <c r="HK49" s="352">
        <v>3.1208333333333336</v>
      </c>
      <c r="HL49" s="351">
        <v>36</v>
      </c>
      <c r="HM49" s="339">
        <v>21</v>
      </c>
      <c r="HN49" s="367">
        <v>47088</v>
      </c>
      <c r="HO49" s="339">
        <v>18</v>
      </c>
      <c r="HP49" s="339" t="s">
        <v>1760</v>
      </c>
      <c r="HQ49" s="339">
        <v>5</v>
      </c>
      <c r="HT49" s="339">
        <v>13</v>
      </c>
      <c r="HU49" s="339" t="s">
        <v>1266</v>
      </c>
      <c r="HV49" s="339">
        <v>26</v>
      </c>
      <c r="HW49" s="339">
        <v>6</v>
      </c>
      <c r="HX49" s="339">
        <v>3</v>
      </c>
      <c r="HY49" s="339">
        <v>4</v>
      </c>
      <c r="HZ49" s="339">
        <v>1</v>
      </c>
      <c r="IA49" s="339">
        <v>12</v>
      </c>
      <c r="IB49" s="339" t="s">
        <v>2607</v>
      </c>
      <c r="IC49" s="351">
        <v>29</v>
      </c>
      <c r="ID49" s="339">
        <v>19</v>
      </c>
      <c r="IE49" s="366">
        <v>43660</v>
      </c>
      <c r="IF49" s="339">
        <v>16</v>
      </c>
      <c r="IG49" s="339" t="s">
        <v>1947</v>
      </c>
      <c r="IH49" s="339">
        <v>2</v>
      </c>
      <c r="IK49" s="339">
        <v>13</v>
      </c>
      <c r="IL49" s="339" t="s">
        <v>2418</v>
      </c>
      <c r="IM49" s="339">
        <v>26</v>
      </c>
      <c r="IN49" s="339">
        <v>12</v>
      </c>
      <c r="IO49" s="339">
        <v>0</v>
      </c>
      <c r="IP49" s="339">
        <v>3</v>
      </c>
      <c r="IQ49" s="339">
        <v>1</v>
      </c>
      <c r="IR49" s="339">
        <v>10</v>
      </c>
      <c r="IS49" s="352">
        <v>2.6631944444444442</v>
      </c>
      <c r="IT49" s="351">
        <v>40</v>
      </c>
      <c r="IU49" s="339">
        <v>25</v>
      </c>
      <c r="IV49" s="339" t="s">
        <v>2685</v>
      </c>
      <c r="IW49" s="339">
        <v>17</v>
      </c>
      <c r="IX49" s="339" t="s">
        <v>2197</v>
      </c>
      <c r="IY49" s="339">
        <v>2</v>
      </c>
      <c r="JB49" s="339">
        <v>13</v>
      </c>
      <c r="JC49" s="339" t="s">
        <v>1262</v>
      </c>
      <c r="JD49" s="339">
        <v>26</v>
      </c>
      <c r="JE49" s="339">
        <v>11</v>
      </c>
      <c r="JF49" s="339">
        <v>0</v>
      </c>
      <c r="JG49" s="339">
        <v>2</v>
      </c>
      <c r="JH49" s="339">
        <v>0</v>
      </c>
      <c r="JI49" s="339">
        <v>13</v>
      </c>
      <c r="JJ49" s="339" t="s">
        <v>1579</v>
      </c>
      <c r="JK49" s="351">
        <v>35</v>
      </c>
      <c r="JL49" s="339">
        <v>23</v>
      </c>
      <c r="JM49" s="339" t="s">
        <v>1295</v>
      </c>
      <c r="JN49" s="339">
        <v>25</v>
      </c>
      <c r="JO49" s="339" t="s">
        <v>2752</v>
      </c>
      <c r="JP49" s="339">
        <v>1</v>
      </c>
      <c r="JS49" s="339">
        <v>13</v>
      </c>
      <c r="JT49" s="339" t="s">
        <v>2089</v>
      </c>
      <c r="JU49" s="339">
        <v>26</v>
      </c>
      <c r="JV49" s="339">
        <v>8</v>
      </c>
      <c r="JW49" s="339">
        <v>3</v>
      </c>
      <c r="JX49" s="339">
        <v>5</v>
      </c>
      <c r="JY49" s="339">
        <v>1</v>
      </c>
      <c r="JZ49" s="339">
        <v>9</v>
      </c>
      <c r="KA49" s="339" t="s">
        <v>1916</v>
      </c>
      <c r="KB49" s="351">
        <v>36</v>
      </c>
      <c r="KC49" s="339">
        <v>0</v>
      </c>
      <c r="KD49" s="339" t="s">
        <v>78</v>
      </c>
      <c r="KE49" s="339">
        <v>0</v>
      </c>
      <c r="KF49" s="339" t="s">
        <v>2757</v>
      </c>
      <c r="KG49" s="339">
        <v>0</v>
      </c>
      <c r="KJ49" s="339">
        <v>13</v>
      </c>
      <c r="KK49" s="339" t="s">
        <v>2089</v>
      </c>
      <c r="KL49" s="339">
        <v>26</v>
      </c>
      <c r="KM49" s="339">
        <v>9</v>
      </c>
      <c r="KN49" s="339">
        <v>4</v>
      </c>
      <c r="KO49" s="339">
        <v>1</v>
      </c>
      <c r="KP49" s="339">
        <v>3</v>
      </c>
      <c r="KQ49" s="339">
        <v>9</v>
      </c>
      <c r="KR49" s="339" t="s">
        <v>2824</v>
      </c>
      <c r="KS49" s="351">
        <v>39</v>
      </c>
      <c r="KT49" s="339">
        <v>0</v>
      </c>
      <c r="KU49" s="339" t="s">
        <v>78</v>
      </c>
      <c r="KV49" s="339">
        <v>0</v>
      </c>
      <c r="KW49" s="339" t="s">
        <v>2757</v>
      </c>
      <c r="KX49" s="339">
        <v>0</v>
      </c>
      <c r="LA49" s="339">
        <v>13</v>
      </c>
      <c r="LB49" s="339" t="s">
        <v>2249</v>
      </c>
      <c r="LC49" s="339">
        <v>26</v>
      </c>
      <c r="LD49" s="339">
        <v>9</v>
      </c>
      <c r="LE49" s="339">
        <v>0</v>
      </c>
      <c r="LF49" s="339">
        <v>6</v>
      </c>
      <c r="LG49" s="339">
        <v>0</v>
      </c>
      <c r="LH49" s="339">
        <v>11</v>
      </c>
      <c r="LI49" s="339" t="s">
        <v>2011</v>
      </c>
      <c r="LJ49" s="351">
        <v>24</v>
      </c>
      <c r="LK49" s="339">
        <v>0</v>
      </c>
      <c r="LL49" s="339" t="s">
        <v>78</v>
      </c>
      <c r="LM49" s="339">
        <v>2</v>
      </c>
      <c r="LN49" s="339" t="s">
        <v>2858</v>
      </c>
      <c r="LO49" s="339">
        <v>1</v>
      </c>
      <c r="LR49" s="339">
        <v>13</v>
      </c>
      <c r="LS49" s="339" t="s">
        <v>2883</v>
      </c>
      <c r="LT49" s="339">
        <v>26</v>
      </c>
      <c r="LU49" s="339">
        <v>7</v>
      </c>
      <c r="LV49" s="339">
        <v>0</v>
      </c>
      <c r="LW49" s="339">
        <v>5</v>
      </c>
      <c r="LX49" s="339">
        <v>0</v>
      </c>
      <c r="LY49" s="339">
        <v>14</v>
      </c>
      <c r="LZ49" s="339" t="s">
        <v>2922</v>
      </c>
      <c r="MA49" s="351">
        <v>19</v>
      </c>
      <c r="MB49" s="339">
        <v>12</v>
      </c>
      <c r="MC49" s="339" t="s">
        <v>1727</v>
      </c>
      <c r="MD49" s="339">
        <v>14</v>
      </c>
      <c r="ME49" s="339" t="s">
        <v>2587</v>
      </c>
      <c r="MF49" s="339">
        <v>1</v>
      </c>
    </row>
    <row r="50" spans="2:344" ht="69.599999999999994" thickBot="1" x14ac:dyDescent="0.35">
      <c r="B50" s="339">
        <v>14</v>
      </c>
      <c r="C50" s="339" t="s">
        <v>1311</v>
      </c>
      <c r="D50" s="339">
        <v>26</v>
      </c>
      <c r="E50" s="339">
        <v>5</v>
      </c>
      <c r="F50" s="339">
        <v>1</v>
      </c>
      <c r="G50" s="339"/>
      <c r="H50" s="339">
        <v>4</v>
      </c>
      <c r="I50" s="339">
        <v>16</v>
      </c>
      <c r="J50" s="339" t="s">
        <v>1380</v>
      </c>
      <c r="K50" s="351">
        <v>21</v>
      </c>
      <c r="L50" s="339">
        <v>21</v>
      </c>
      <c r="M50" s="339" t="s">
        <v>1381</v>
      </c>
      <c r="N50" s="339">
        <v>23</v>
      </c>
      <c r="O50" s="339" t="s">
        <v>1382</v>
      </c>
      <c r="P50" s="339">
        <v>1</v>
      </c>
      <c r="Q50" s="342"/>
      <c r="S50" s="339">
        <v>14</v>
      </c>
      <c r="T50" s="339" t="s">
        <v>80</v>
      </c>
      <c r="U50" s="339">
        <v>26</v>
      </c>
      <c r="V50" s="339">
        <v>5</v>
      </c>
      <c r="W50" s="339">
        <v>5</v>
      </c>
      <c r="X50" s="339">
        <v>5</v>
      </c>
      <c r="Y50" s="339">
        <v>11</v>
      </c>
      <c r="Z50" s="339" t="s">
        <v>805</v>
      </c>
      <c r="AA50" s="351">
        <v>30</v>
      </c>
      <c r="AB50" s="339">
        <v>18</v>
      </c>
      <c r="AC50" s="367">
        <v>25173</v>
      </c>
      <c r="AD50" s="339">
        <v>19</v>
      </c>
      <c r="AE50" s="339" t="s">
        <v>1491</v>
      </c>
      <c r="AF50" s="339">
        <v>3</v>
      </c>
      <c r="AI50" s="339">
        <v>14</v>
      </c>
      <c r="AJ50" s="339" t="s">
        <v>1311</v>
      </c>
      <c r="AK50" s="339">
        <v>26</v>
      </c>
      <c r="AL50" s="339">
        <v>5</v>
      </c>
      <c r="AM50" s="339">
        <v>3</v>
      </c>
      <c r="AN50" s="339">
        <v>2</v>
      </c>
      <c r="AO50" s="339">
        <v>16</v>
      </c>
      <c r="AP50" s="339" t="s">
        <v>1583</v>
      </c>
      <c r="AQ50" s="351">
        <v>23</v>
      </c>
      <c r="AR50" s="339">
        <v>23</v>
      </c>
      <c r="AS50" s="339" t="s">
        <v>1584</v>
      </c>
      <c r="AT50" s="339">
        <v>17</v>
      </c>
      <c r="AU50" s="339" t="s">
        <v>1585</v>
      </c>
      <c r="AV50" s="339">
        <v>5</v>
      </c>
      <c r="AY50" s="339">
        <v>14</v>
      </c>
      <c r="AZ50" s="339" t="s">
        <v>1303</v>
      </c>
      <c r="BA50" s="339">
        <v>26</v>
      </c>
      <c r="BB50" s="339">
        <v>7</v>
      </c>
      <c r="BC50" s="339">
        <v>0</v>
      </c>
      <c r="BD50" s="339">
        <v>1</v>
      </c>
      <c r="BE50" s="339">
        <v>18</v>
      </c>
      <c r="BF50" s="339" t="s">
        <v>1692</v>
      </c>
      <c r="BG50" s="351">
        <v>22</v>
      </c>
      <c r="BH50" s="339">
        <v>14</v>
      </c>
      <c r="BI50" s="367">
        <v>22555</v>
      </c>
      <c r="BJ50" s="339">
        <v>23</v>
      </c>
      <c r="BK50" s="339" t="s">
        <v>1382</v>
      </c>
      <c r="BL50" s="339">
        <v>1</v>
      </c>
      <c r="BO50" s="339">
        <v>14</v>
      </c>
      <c r="BP50" s="339" t="s">
        <v>1591</v>
      </c>
      <c r="BQ50" s="339">
        <v>26</v>
      </c>
      <c r="BR50" s="339">
        <v>7</v>
      </c>
      <c r="BS50" s="339">
        <v>2</v>
      </c>
      <c r="BT50" s="339">
        <v>2</v>
      </c>
      <c r="BU50" s="339">
        <v>15</v>
      </c>
      <c r="BV50" s="339" t="s">
        <v>1783</v>
      </c>
      <c r="BW50" s="351">
        <v>27</v>
      </c>
      <c r="BX50" s="339">
        <v>19</v>
      </c>
      <c r="BY50" s="367">
        <v>18598</v>
      </c>
      <c r="BZ50" s="339">
        <v>37</v>
      </c>
      <c r="CA50" s="339" t="s">
        <v>1784</v>
      </c>
      <c r="CB50" s="339">
        <v>3</v>
      </c>
      <c r="CE50" s="339">
        <v>14</v>
      </c>
      <c r="CF50" s="339" t="s">
        <v>1307</v>
      </c>
      <c r="CG50" s="339">
        <v>26</v>
      </c>
      <c r="CH50" s="339">
        <v>3</v>
      </c>
      <c r="CI50" s="339">
        <v>0</v>
      </c>
      <c r="CJ50" s="339">
        <v>6</v>
      </c>
      <c r="CK50" s="339">
        <v>17</v>
      </c>
      <c r="CL50" s="339" t="s">
        <v>1873</v>
      </c>
      <c r="CM50" s="351">
        <v>15</v>
      </c>
      <c r="CN50" s="339">
        <v>18</v>
      </c>
      <c r="CO50" s="339" t="s">
        <v>1874</v>
      </c>
      <c r="CP50" s="339">
        <v>27</v>
      </c>
      <c r="CQ50" s="339" t="s">
        <v>1875</v>
      </c>
      <c r="CR50" s="339">
        <v>2</v>
      </c>
      <c r="CU50" s="339">
        <v>14</v>
      </c>
      <c r="CV50" s="339" t="s">
        <v>1262</v>
      </c>
      <c r="CW50" s="339">
        <v>26</v>
      </c>
      <c r="CX50" s="339">
        <v>9</v>
      </c>
      <c r="CY50" s="339">
        <v>2</v>
      </c>
      <c r="CZ50" s="339">
        <v>3</v>
      </c>
      <c r="DA50" s="339">
        <v>12</v>
      </c>
      <c r="DB50" s="339" t="s">
        <v>1972</v>
      </c>
      <c r="DC50" s="351">
        <v>34</v>
      </c>
      <c r="DD50" s="339">
        <v>25</v>
      </c>
      <c r="DE50" s="339" t="s">
        <v>1973</v>
      </c>
      <c r="DF50" s="339">
        <v>26</v>
      </c>
      <c r="DG50" s="339" t="s">
        <v>1843</v>
      </c>
      <c r="DH50" s="339">
        <v>3</v>
      </c>
      <c r="DK50" s="339">
        <v>14</v>
      </c>
      <c r="DL50" s="339" t="s">
        <v>1591</v>
      </c>
      <c r="DM50" s="339">
        <v>26</v>
      </c>
      <c r="DN50" s="339">
        <v>7</v>
      </c>
      <c r="DO50" s="339">
        <v>4</v>
      </c>
      <c r="DP50" s="339">
        <v>1</v>
      </c>
      <c r="DQ50" s="339">
        <v>14</v>
      </c>
      <c r="DR50" s="339" t="s">
        <v>2058</v>
      </c>
      <c r="DS50" s="351">
        <v>30</v>
      </c>
      <c r="DT50" s="339">
        <v>21</v>
      </c>
      <c r="DU50" s="339" t="s">
        <v>2059</v>
      </c>
      <c r="DV50" s="339">
        <v>24</v>
      </c>
      <c r="DW50" s="339" t="s">
        <v>2060</v>
      </c>
      <c r="DX50" s="339">
        <v>1</v>
      </c>
      <c r="EA50" s="339">
        <v>14</v>
      </c>
      <c r="EB50" s="339" t="s">
        <v>1290</v>
      </c>
      <c r="EC50" s="339">
        <v>26</v>
      </c>
      <c r="ED50" s="339">
        <v>8</v>
      </c>
      <c r="EE50" s="339">
        <v>2</v>
      </c>
      <c r="EF50" s="339">
        <v>4</v>
      </c>
      <c r="EG50" s="339">
        <v>12</v>
      </c>
      <c r="EH50" s="339" t="s">
        <v>2136</v>
      </c>
      <c r="EI50" s="351">
        <v>19</v>
      </c>
      <c r="EJ50" s="339">
        <v>18</v>
      </c>
      <c r="EK50" s="339" t="s">
        <v>1429</v>
      </c>
      <c r="EL50" s="339">
        <v>28</v>
      </c>
      <c r="EM50" s="339" t="s">
        <v>2137</v>
      </c>
      <c r="EN50" s="339">
        <v>5</v>
      </c>
      <c r="EQ50" s="339">
        <v>14</v>
      </c>
      <c r="ER50" s="339" t="s">
        <v>1303</v>
      </c>
      <c r="ES50" s="339">
        <v>26</v>
      </c>
      <c r="ET50" s="339">
        <v>8</v>
      </c>
      <c r="EU50" s="339">
        <v>2</v>
      </c>
      <c r="EV50" s="339">
        <v>5</v>
      </c>
      <c r="EW50" s="339">
        <v>11</v>
      </c>
      <c r="EX50" s="339" t="s">
        <v>2219</v>
      </c>
      <c r="EY50" s="351">
        <v>33</v>
      </c>
      <c r="EZ50" s="339">
        <v>29</v>
      </c>
      <c r="FA50" s="339" t="s">
        <v>2220</v>
      </c>
      <c r="FB50" s="339">
        <v>26</v>
      </c>
      <c r="FC50" s="339" t="s">
        <v>1657</v>
      </c>
      <c r="FD50" s="339">
        <v>2</v>
      </c>
      <c r="FG50" s="339">
        <v>14</v>
      </c>
      <c r="FH50" s="339" t="s">
        <v>1290</v>
      </c>
      <c r="FI50" s="339">
        <v>26</v>
      </c>
      <c r="FJ50" s="339">
        <v>7</v>
      </c>
      <c r="FK50" s="339">
        <v>4</v>
      </c>
      <c r="FL50" s="339">
        <v>2</v>
      </c>
      <c r="FM50" s="339">
        <v>13</v>
      </c>
      <c r="FN50" s="339" t="s">
        <v>2306</v>
      </c>
      <c r="FO50" s="351">
        <v>31</v>
      </c>
      <c r="FP50" s="339">
        <v>24</v>
      </c>
      <c r="FQ50" s="339" t="s">
        <v>216</v>
      </c>
      <c r="FR50" s="339">
        <v>26</v>
      </c>
      <c r="FS50" s="339" t="s">
        <v>2307</v>
      </c>
      <c r="FT50" s="339">
        <v>0</v>
      </c>
      <c r="FW50" s="339">
        <v>14</v>
      </c>
      <c r="FX50" s="339" t="s">
        <v>2339</v>
      </c>
      <c r="FY50" s="339">
        <v>26</v>
      </c>
      <c r="FZ50" s="339">
        <v>4</v>
      </c>
      <c r="GA50" s="339">
        <v>5</v>
      </c>
      <c r="GB50" s="339">
        <v>4</v>
      </c>
      <c r="GC50" s="339">
        <v>13</v>
      </c>
      <c r="GD50" s="339" t="s">
        <v>2384</v>
      </c>
      <c r="GE50" s="351">
        <v>26</v>
      </c>
      <c r="GF50" s="339">
        <v>22</v>
      </c>
      <c r="GG50" s="339" t="s">
        <v>2385</v>
      </c>
      <c r="GH50" s="339">
        <v>26</v>
      </c>
      <c r="GI50" s="339" t="s">
        <v>2386</v>
      </c>
      <c r="GJ50" s="339">
        <v>5</v>
      </c>
      <c r="GM50" s="339">
        <v>14</v>
      </c>
      <c r="GN50" s="339" t="s">
        <v>2418</v>
      </c>
      <c r="GO50" s="339">
        <v>26</v>
      </c>
      <c r="GP50" s="339">
        <v>5</v>
      </c>
      <c r="GQ50" s="339">
        <v>3</v>
      </c>
      <c r="GR50" s="339">
        <v>2</v>
      </c>
      <c r="GS50" s="339">
        <v>16</v>
      </c>
      <c r="GT50" s="339" t="s">
        <v>2467</v>
      </c>
      <c r="GU50" s="351">
        <v>23</v>
      </c>
      <c r="GV50" s="339">
        <v>25</v>
      </c>
      <c r="GW50" s="367">
        <v>44166</v>
      </c>
      <c r="GX50" s="339">
        <v>31</v>
      </c>
      <c r="GY50" s="339" t="s">
        <v>2468</v>
      </c>
      <c r="GZ50" s="339">
        <v>2</v>
      </c>
      <c r="HC50" s="339">
        <v>14</v>
      </c>
      <c r="HD50" s="339" t="s">
        <v>2418</v>
      </c>
      <c r="HE50" s="339">
        <v>26</v>
      </c>
      <c r="HF50" s="339">
        <v>5</v>
      </c>
      <c r="HG50" s="339">
        <v>0</v>
      </c>
      <c r="HH50" s="339">
        <v>5</v>
      </c>
      <c r="HI50" s="339">
        <v>2</v>
      </c>
      <c r="HJ50" s="339">
        <v>14</v>
      </c>
      <c r="HK50" s="339" t="s">
        <v>2541</v>
      </c>
      <c r="HL50" s="351">
        <v>22</v>
      </c>
      <c r="HM50" s="339">
        <v>21</v>
      </c>
      <c r="HN50" s="339" t="s">
        <v>1400</v>
      </c>
      <c r="HO50" s="339">
        <v>19</v>
      </c>
      <c r="HP50" s="339" t="s">
        <v>1764</v>
      </c>
      <c r="HQ50" s="339">
        <v>1</v>
      </c>
      <c r="HT50" s="339">
        <v>14</v>
      </c>
      <c r="HU50" s="339" t="s">
        <v>1386</v>
      </c>
      <c r="HV50" s="339">
        <v>26</v>
      </c>
      <c r="HW50" s="339">
        <v>5</v>
      </c>
      <c r="HX50" s="339">
        <v>0</v>
      </c>
      <c r="HY50" s="339">
        <v>4</v>
      </c>
      <c r="HZ50" s="339">
        <v>0</v>
      </c>
      <c r="IA50" s="339">
        <v>17</v>
      </c>
      <c r="IB50" s="339" t="s">
        <v>2608</v>
      </c>
      <c r="IC50" s="351">
        <v>19</v>
      </c>
      <c r="ID50" s="339">
        <v>16</v>
      </c>
      <c r="IE50" s="367">
        <v>29556</v>
      </c>
      <c r="IF50" s="339">
        <v>19</v>
      </c>
      <c r="IG50" s="339" t="s">
        <v>1594</v>
      </c>
      <c r="IH50" s="339">
        <v>2</v>
      </c>
      <c r="IK50" s="339">
        <v>14</v>
      </c>
      <c r="IL50" s="339" t="s">
        <v>2490</v>
      </c>
      <c r="IM50" s="339">
        <v>26</v>
      </c>
      <c r="IN50" s="339">
        <v>10</v>
      </c>
      <c r="IO50" s="339">
        <v>0</v>
      </c>
      <c r="IP50" s="339">
        <v>4</v>
      </c>
      <c r="IQ50" s="339">
        <v>1</v>
      </c>
      <c r="IR50" s="339">
        <v>11</v>
      </c>
      <c r="IS50" s="339" t="s">
        <v>2686</v>
      </c>
      <c r="IT50" s="351">
        <v>35</v>
      </c>
      <c r="IU50" s="339">
        <v>20</v>
      </c>
      <c r="IV50" s="339" t="s">
        <v>2687</v>
      </c>
      <c r="IW50" s="339">
        <v>12</v>
      </c>
      <c r="IX50" s="339" t="s">
        <v>2688</v>
      </c>
      <c r="IY50" s="339">
        <v>1</v>
      </c>
      <c r="JB50" s="339">
        <v>14</v>
      </c>
      <c r="JC50" s="339" t="s">
        <v>2715</v>
      </c>
      <c r="JD50" s="339">
        <v>26</v>
      </c>
      <c r="JE50" s="339">
        <v>4</v>
      </c>
      <c r="JF50" s="339">
        <v>2</v>
      </c>
      <c r="JG50" s="339">
        <v>0</v>
      </c>
      <c r="JH50" s="339">
        <v>0</v>
      </c>
      <c r="JI50" s="339">
        <v>20</v>
      </c>
      <c r="JJ50" s="339" t="s">
        <v>2753</v>
      </c>
      <c r="JK50" s="351">
        <v>16</v>
      </c>
      <c r="JL50" s="339">
        <v>14</v>
      </c>
      <c r="JM50" s="367">
        <v>47423</v>
      </c>
      <c r="JN50" s="339">
        <v>24</v>
      </c>
      <c r="JO50" s="339" t="s">
        <v>2754</v>
      </c>
      <c r="JP50" s="339">
        <v>2</v>
      </c>
      <c r="JS50" s="339">
        <v>14</v>
      </c>
      <c r="JT50" s="339" t="s">
        <v>1303</v>
      </c>
      <c r="JU50" s="339">
        <v>26</v>
      </c>
      <c r="JV50" s="339">
        <v>8</v>
      </c>
      <c r="JW50" s="339">
        <v>3</v>
      </c>
      <c r="JX50" s="339">
        <v>1</v>
      </c>
      <c r="JY50" s="339">
        <v>3</v>
      </c>
      <c r="JZ50" s="339">
        <v>11</v>
      </c>
      <c r="KA50" s="339" t="s">
        <v>2790</v>
      </c>
      <c r="KB50" s="351">
        <v>34</v>
      </c>
      <c r="KC50" s="339">
        <v>0</v>
      </c>
      <c r="KD50" s="339" t="s">
        <v>78</v>
      </c>
      <c r="KE50" s="339">
        <v>0</v>
      </c>
      <c r="KF50" s="339" t="s">
        <v>2757</v>
      </c>
      <c r="KG50" s="339">
        <v>0</v>
      </c>
      <c r="KJ50" s="339">
        <v>14</v>
      </c>
      <c r="KK50" s="339" t="s">
        <v>1303</v>
      </c>
      <c r="KL50" s="339">
        <v>26</v>
      </c>
      <c r="KM50" s="339">
        <v>10</v>
      </c>
      <c r="KN50" s="339">
        <v>1</v>
      </c>
      <c r="KO50" s="339">
        <v>1</v>
      </c>
      <c r="KP50" s="339">
        <v>2</v>
      </c>
      <c r="KQ50" s="339">
        <v>12</v>
      </c>
      <c r="KR50" s="339" t="s">
        <v>2210</v>
      </c>
      <c r="KS50" s="351">
        <v>35</v>
      </c>
      <c r="KT50" s="339">
        <v>0</v>
      </c>
      <c r="KU50" s="339" t="s">
        <v>78</v>
      </c>
      <c r="KV50" s="339">
        <v>0</v>
      </c>
      <c r="KW50" s="339" t="s">
        <v>2757</v>
      </c>
      <c r="KX50" s="339">
        <v>0</v>
      </c>
      <c r="LA50" s="339">
        <v>14</v>
      </c>
      <c r="LB50" s="339" t="s">
        <v>1286</v>
      </c>
      <c r="LC50" s="339">
        <v>26</v>
      </c>
      <c r="LD50" s="339">
        <v>6</v>
      </c>
      <c r="LE50" s="339">
        <v>0</v>
      </c>
      <c r="LF50" s="339">
        <v>9</v>
      </c>
      <c r="LG50" s="339">
        <v>0</v>
      </c>
      <c r="LH50" s="339">
        <v>11</v>
      </c>
      <c r="LI50" s="339" t="s">
        <v>2859</v>
      </c>
      <c r="LJ50" s="351">
        <v>21</v>
      </c>
      <c r="LK50" s="339">
        <v>0</v>
      </c>
      <c r="LL50" s="339" t="s">
        <v>78</v>
      </c>
      <c r="LM50" s="339">
        <v>0</v>
      </c>
      <c r="LN50" s="339" t="s">
        <v>2757</v>
      </c>
      <c r="LO50" s="339">
        <v>0</v>
      </c>
      <c r="LR50" s="339">
        <v>14</v>
      </c>
      <c r="LS50" s="339" t="s">
        <v>1386</v>
      </c>
      <c r="LT50" s="339">
        <v>26</v>
      </c>
      <c r="LU50" s="339">
        <v>5</v>
      </c>
      <c r="LV50" s="339">
        <v>0</v>
      </c>
      <c r="LW50" s="339">
        <v>8</v>
      </c>
      <c r="LX50" s="339">
        <v>0</v>
      </c>
      <c r="LY50" s="339">
        <v>13</v>
      </c>
      <c r="LZ50" s="339" t="s">
        <v>2923</v>
      </c>
      <c r="MA50" s="351">
        <v>18</v>
      </c>
      <c r="MB50" s="339">
        <v>13</v>
      </c>
      <c r="MC50" s="339" t="s">
        <v>1338</v>
      </c>
      <c r="MD50" s="339">
        <v>23</v>
      </c>
      <c r="ME50" s="339" t="s">
        <v>2924</v>
      </c>
      <c r="MF50" s="339">
        <v>1</v>
      </c>
    </row>
    <row r="53" spans="2:344" ht="19.2" thickBot="1" x14ac:dyDescent="0.35">
      <c r="S53" s="363" t="s">
        <v>1383</v>
      </c>
      <c r="AY53" s="363" t="s">
        <v>1383</v>
      </c>
    </row>
    <row r="54" spans="2:344" ht="15.6" thickTop="1" thickBot="1" x14ac:dyDescent="0.35">
      <c r="S54" s="357" t="s">
        <v>1254</v>
      </c>
      <c r="T54" s="357" t="s">
        <v>813</v>
      </c>
      <c r="U54" s="357" t="s">
        <v>1255</v>
      </c>
      <c r="V54" s="357" t="s">
        <v>16</v>
      </c>
      <c r="W54" s="357" t="s">
        <v>793</v>
      </c>
      <c r="X54" s="357" t="s">
        <v>794</v>
      </c>
      <c r="Y54" s="357" t="s">
        <v>743</v>
      </c>
      <c r="Z54" s="357" t="s">
        <v>795</v>
      </c>
      <c r="AA54" s="365" t="s">
        <v>1256</v>
      </c>
      <c r="AB54" s="357" t="s">
        <v>1257</v>
      </c>
      <c r="AC54" s="357" t="s">
        <v>1258</v>
      </c>
      <c r="AD54" s="357" t="s">
        <v>1259</v>
      </c>
      <c r="AE54" s="357" t="s">
        <v>1260</v>
      </c>
      <c r="AF54" s="357" t="s">
        <v>1261</v>
      </c>
      <c r="AY54" s="357" t="s">
        <v>1254</v>
      </c>
      <c r="AZ54" s="357" t="s">
        <v>813</v>
      </c>
      <c r="BA54" s="357" t="s">
        <v>1255</v>
      </c>
      <c r="BB54" s="357" t="s">
        <v>16</v>
      </c>
      <c r="BC54" s="357" t="s">
        <v>793</v>
      </c>
      <c r="BD54" s="357" t="s">
        <v>794</v>
      </c>
      <c r="BE54" s="357" t="s">
        <v>743</v>
      </c>
      <c r="BF54" s="357" t="s">
        <v>795</v>
      </c>
      <c r="BG54" s="365" t="s">
        <v>1256</v>
      </c>
      <c r="BH54" s="357" t="s">
        <v>1257</v>
      </c>
      <c r="BI54" s="357" t="s">
        <v>1258</v>
      </c>
      <c r="BJ54" s="357" t="s">
        <v>1259</v>
      </c>
      <c r="BK54" s="357" t="s">
        <v>1260</v>
      </c>
      <c r="BL54" s="357" t="s">
        <v>1261</v>
      </c>
    </row>
    <row r="55" spans="2:344" ht="28.2" thickBot="1" x14ac:dyDescent="0.35">
      <c r="S55" s="339">
        <v>1</v>
      </c>
      <c r="T55" s="339" t="s">
        <v>80</v>
      </c>
      <c r="U55" s="339">
        <v>12</v>
      </c>
      <c r="V55" s="339">
        <v>5</v>
      </c>
      <c r="W55" s="339">
        <v>2</v>
      </c>
      <c r="X55" s="339">
        <v>1</v>
      </c>
      <c r="Y55" s="339">
        <v>4</v>
      </c>
      <c r="Z55" s="352">
        <v>1.14375</v>
      </c>
      <c r="AA55" s="351">
        <v>20</v>
      </c>
      <c r="AB55" s="339">
        <v>8</v>
      </c>
      <c r="AC55" s="366">
        <v>43606</v>
      </c>
      <c r="AD55" s="339">
        <v>8</v>
      </c>
      <c r="AE55" s="339" t="s">
        <v>1384</v>
      </c>
      <c r="AF55" s="339">
        <v>1</v>
      </c>
      <c r="AY55" s="339">
        <v>1</v>
      </c>
      <c r="AZ55" s="339" t="s">
        <v>80</v>
      </c>
      <c r="BA55" s="339">
        <v>12</v>
      </c>
      <c r="BB55" s="339">
        <v>7</v>
      </c>
      <c r="BC55" s="339">
        <v>1</v>
      </c>
      <c r="BD55" s="339">
        <v>2</v>
      </c>
      <c r="BE55" s="339">
        <v>2</v>
      </c>
      <c r="BF55" s="352">
        <v>1.76875</v>
      </c>
      <c r="BG55" s="351">
        <v>25</v>
      </c>
      <c r="BH55" s="339">
        <v>13</v>
      </c>
      <c r="BI55" s="339" t="s">
        <v>1588</v>
      </c>
      <c r="BJ55" s="339">
        <v>8</v>
      </c>
      <c r="BK55" s="339" t="s">
        <v>1589</v>
      </c>
      <c r="BL55" s="339">
        <v>1</v>
      </c>
    </row>
    <row r="56" spans="2:344" ht="55.8" thickBot="1" x14ac:dyDescent="0.35">
      <c r="S56" s="339">
        <v>2</v>
      </c>
      <c r="T56" s="339" t="s">
        <v>1303</v>
      </c>
      <c r="U56" s="339">
        <v>12</v>
      </c>
      <c r="V56" s="339">
        <v>4</v>
      </c>
      <c r="W56" s="339">
        <v>3</v>
      </c>
      <c r="X56" s="339">
        <v>2</v>
      </c>
      <c r="Y56" s="339">
        <v>3</v>
      </c>
      <c r="Z56" s="352">
        <v>1.2666666666666666</v>
      </c>
      <c r="AA56" s="351">
        <v>20</v>
      </c>
      <c r="AB56" s="339">
        <v>3</v>
      </c>
      <c r="AC56" s="367">
        <v>24624</v>
      </c>
      <c r="AD56" s="339">
        <v>3</v>
      </c>
      <c r="AE56" s="339" t="s">
        <v>1385</v>
      </c>
      <c r="AF56" s="339">
        <v>1</v>
      </c>
      <c r="AY56" s="339">
        <v>2</v>
      </c>
      <c r="AZ56" s="339" t="s">
        <v>1303</v>
      </c>
      <c r="BA56" s="339">
        <v>12</v>
      </c>
      <c r="BB56" s="339">
        <v>6</v>
      </c>
      <c r="BC56" s="339">
        <v>1</v>
      </c>
      <c r="BD56" s="339">
        <v>0</v>
      </c>
      <c r="BE56" s="339">
        <v>5</v>
      </c>
      <c r="BF56" s="352">
        <v>1.7736111111111112</v>
      </c>
      <c r="BG56" s="351">
        <v>20</v>
      </c>
      <c r="BH56" s="339">
        <v>9</v>
      </c>
      <c r="BI56" s="339" t="s">
        <v>1367</v>
      </c>
      <c r="BJ56" s="339">
        <v>11</v>
      </c>
      <c r="BK56" s="339" t="s">
        <v>1590</v>
      </c>
      <c r="BL56" s="339">
        <v>0</v>
      </c>
    </row>
    <row r="57" spans="2:344" ht="28.2" thickBot="1" x14ac:dyDescent="0.35">
      <c r="S57" s="339">
        <v>3</v>
      </c>
      <c r="T57" s="339" t="s">
        <v>1386</v>
      </c>
      <c r="U57" s="339">
        <v>12</v>
      </c>
      <c r="V57" s="339">
        <v>5</v>
      </c>
      <c r="W57" s="339">
        <v>1</v>
      </c>
      <c r="X57" s="339">
        <v>2</v>
      </c>
      <c r="Y57" s="339">
        <v>4</v>
      </c>
      <c r="Z57" s="352">
        <v>1.2256944444444444</v>
      </c>
      <c r="AA57" s="351">
        <v>19</v>
      </c>
      <c r="AB57" s="339">
        <v>6</v>
      </c>
      <c r="AC57" s="339" t="s">
        <v>1387</v>
      </c>
      <c r="AD57" s="339">
        <v>7</v>
      </c>
      <c r="AE57" s="339" t="s">
        <v>1388</v>
      </c>
      <c r="AF57" s="339">
        <v>1</v>
      </c>
      <c r="AY57" s="339">
        <v>3</v>
      </c>
      <c r="AZ57" s="339" t="s">
        <v>1591</v>
      </c>
      <c r="BA57" s="339">
        <v>12</v>
      </c>
      <c r="BB57" s="339">
        <v>3</v>
      </c>
      <c r="BC57" s="339">
        <v>3</v>
      </c>
      <c r="BD57" s="339">
        <v>2</v>
      </c>
      <c r="BE57" s="339">
        <v>4</v>
      </c>
      <c r="BF57" s="352">
        <v>1.4416666666666667</v>
      </c>
      <c r="BG57" s="351">
        <v>17</v>
      </c>
      <c r="BH57" s="339">
        <v>6</v>
      </c>
      <c r="BI57" s="367">
        <v>12693</v>
      </c>
      <c r="BJ57" s="339">
        <v>10</v>
      </c>
      <c r="BK57" s="339" t="s">
        <v>1370</v>
      </c>
      <c r="BL57" s="339">
        <v>0</v>
      </c>
    </row>
    <row r="58" spans="2:344" ht="28.2" thickBot="1" x14ac:dyDescent="0.35">
      <c r="S58" s="339">
        <v>4</v>
      </c>
      <c r="T58" s="339" t="s">
        <v>332</v>
      </c>
      <c r="U58" s="339">
        <v>12</v>
      </c>
      <c r="V58" s="339">
        <v>4</v>
      </c>
      <c r="W58" s="339">
        <v>0</v>
      </c>
      <c r="X58" s="339">
        <v>1</v>
      </c>
      <c r="Y58" s="339">
        <v>7</v>
      </c>
      <c r="Z58" s="350">
        <v>0.7270833333333333</v>
      </c>
      <c r="AA58" s="351">
        <v>13</v>
      </c>
      <c r="AB58" s="339">
        <v>4</v>
      </c>
      <c r="AC58" s="367">
        <v>18841</v>
      </c>
      <c r="AD58" s="339">
        <v>3</v>
      </c>
      <c r="AE58" s="339" t="s">
        <v>1389</v>
      </c>
      <c r="AF58" s="339">
        <v>0</v>
      </c>
      <c r="AY58" s="339">
        <v>4</v>
      </c>
      <c r="AZ58" s="339" t="s">
        <v>1386</v>
      </c>
      <c r="BA58" s="339">
        <v>12</v>
      </c>
      <c r="BB58" s="339">
        <v>2</v>
      </c>
      <c r="BC58" s="339">
        <v>1</v>
      </c>
      <c r="BD58" s="339">
        <v>2</v>
      </c>
      <c r="BE58" s="339">
        <v>7</v>
      </c>
      <c r="BF58" s="352">
        <v>1.0736111111111111</v>
      </c>
      <c r="BG58" s="351">
        <v>10</v>
      </c>
      <c r="BH58" s="339">
        <v>8</v>
      </c>
      <c r="BI58" s="339" t="s">
        <v>1592</v>
      </c>
      <c r="BJ58" s="339">
        <v>7</v>
      </c>
      <c r="BK58" s="339" t="s">
        <v>1593</v>
      </c>
      <c r="BL58" s="339">
        <v>1</v>
      </c>
    </row>
    <row r="59" spans="2:344" ht="19.2" thickBot="1" x14ac:dyDescent="0.35">
      <c r="S59" s="363" t="s">
        <v>1390</v>
      </c>
      <c r="AY59" s="363" t="s">
        <v>1390</v>
      </c>
    </row>
    <row r="60" spans="2:344" ht="15.6" thickTop="1" thickBot="1" x14ac:dyDescent="0.35">
      <c r="S60" s="357" t="s">
        <v>1254</v>
      </c>
      <c r="T60" s="357" t="s">
        <v>813</v>
      </c>
      <c r="U60" s="357" t="s">
        <v>1255</v>
      </c>
      <c r="V60" s="357" t="s">
        <v>16</v>
      </c>
      <c r="W60" s="357" t="s">
        <v>793</v>
      </c>
      <c r="X60" s="357" t="s">
        <v>794</v>
      </c>
      <c r="Y60" s="357" t="s">
        <v>743</v>
      </c>
      <c r="Z60" s="357" t="s">
        <v>795</v>
      </c>
      <c r="AA60" s="365" t="s">
        <v>1256</v>
      </c>
      <c r="AB60" s="357" t="s">
        <v>1257</v>
      </c>
      <c r="AC60" s="357" t="s">
        <v>1258</v>
      </c>
      <c r="AD60" s="357" t="s">
        <v>1259</v>
      </c>
      <c r="AE60" s="357" t="s">
        <v>1260</v>
      </c>
      <c r="AF60" s="357" t="s">
        <v>1261</v>
      </c>
      <c r="AY60" s="357" t="s">
        <v>1254</v>
      </c>
      <c r="AZ60" s="357" t="s">
        <v>813</v>
      </c>
      <c r="BA60" s="357" t="s">
        <v>1255</v>
      </c>
      <c r="BB60" s="357" t="s">
        <v>16</v>
      </c>
      <c r="BC60" s="357" t="s">
        <v>793</v>
      </c>
      <c r="BD60" s="357" t="s">
        <v>794</v>
      </c>
      <c r="BE60" s="357" t="s">
        <v>743</v>
      </c>
      <c r="BF60" s="357" t="s">
        <v>795</v>
      </c>
      <c r="BG60" s="365" t="s">
        <v>1256</v>
      </c>
      <c r="BH60" s="357" t="s">
        <v>1257</v>
      </c>
      <c r="BI60" s="357" t="s">
        <v>1258</v>
      </c>
      <c r="BJ60" s="357" t="s">
        <v>1259</v>
      </c>
      <c r="BK60" s="357" t="s">
        <v>1260</v>
      </c>
      <c r="BL60" s="357" t="s">
        <v>1261</v>
      </c>
    </row>
    <row r="61" spans="2:344" ht="28.2" thickBot="1" x14ac:dyDescent="0.35">
      <c r="S61" s="339">
        <v>1</v>
      </c>
      <c r="T61" s="339" t="s">
        <v>80</v>
      </c>
      <c r="U61" s="339">
        <v>6</v>
      </c>
      <c r="V61" s="339">
        <v>2</v>
      </c>
      <c r="W61" s="339">
        <v>2</v>
      </c>
      <c r="X61" s="339">
        <v>1</v>
      </c>
      <c r="Y61" s="339">
        <v>1</v>
      </c>
      <c r="Z61" s="350">
        <v>0.50763888888888886</v>
      </c>
      <c r="AA61" s="351">
        <v>11</v>
      </c>
      <c r="AB61" s="339">
        <v>5</v>
      </c>
      <c r="AC61" s="339" t="s">
        <v>1391</v>
      </c>
      <c r="AD61" s="339">
        <v>3</v>
      </c>
      <c r="AE61" s="339" t="s">
        <v>1385</v>
      </c>
      <c r="AF61" s="339">
        <v>0</v>
      </c>
      <c r="AY61" s="339">
        <v>1</v>
      </c>
      <c r="AZ61" s="339" t="s">
        <v>80</v>
      </c>
      <c r="BA61" s="339">
        <v>6</v>
      </c>
      <c r="BB61" s="339">
        <v>1</v>
      </c>
      <c r="BC61" s="339">
        <v>1</v>
      </c>
      <c r="BD61" s="339">
        <v>2</v>
      </c>
      <c r="BE61" s="339">
        <v>2</v>
      </c>
      <c r="BF61" s="350">
        <v>0.55277777777777781</v>
      </c>
      <c r="BG61" s="351">
        <v>7</v>
      </c>
      <c r="BH61" s="339">
        <v>2</v>
      </c>
      <c r="BI61" s="339" t="s">
        <v>121</v>
      </c>
      <c r="BJ61" s="339">
        <v>4</v>
      </c>
      <c r="BK61" s="339" t="s">
        <v>1594</v>
      </c>
      <c r="BL61" s="339">
        <v>0</v>
      </c>
    </row>
    <row r="62" spans="2:344" ht="55.8" thickBot="1" x14ac:dyDescent="0.35">
      <c r="S62" s="339">
        <v>2</v>
      </c>
      <c r="T62" s="339" t="s">
        <v>1303</v>
      </c>
      <c r="U62" s="339">
        <v>6</v>
      </c>
      <c r="V62" s="339">
        <v>2</v>
      </c>
      <c r="W62" s="339">
        <v>1</v>
      </c>
      <c r="X62" s="339">
        <v>0</v>
      </c>
      <c r="Y62" s="339">
        <v>3</v>
      </c>
      <c r="Z62" s="350">
        <v>0.54999999999999993</v>
      </c>
      <c r="AA62" s="351">
        <v>8</v>
      </c>
      <c r="AB62" s="339">
        <v>1</v>
      </c>
      <c r="AC62" s="367">
        <v>20180</v>
      </c>
      <c r="AD62" s="339">
        <v>2</v>
      </c>
      <c r="AE62" s="339" t="s">
        <v>1392</v>
      </c>
      <c r="AF62" s="339">
        <v>0</v>
      </c>
      <c r="AY62" s="339">
        <v>2</v>
      </c>
      <c r="AZ62" s="339" t="s">
        <v>1303</v>
      </c>
      <c r="BA62" s="339">
        <v>6</v>
      </c>
      <c r="BB62" s="339">
        <v>2</v>
      </c>
      <c r="BC62" s="339">
        <v>0</v>
      </c>
      <c r="BD62" s="339">
        <v>0</v>
      </c>
      <c r="BE62" s="339">
        <v>4</v>
      </c>
      <c r="BF62" s="350">
        <v>0.72013888888888899</v>
      </c>
      <c r="BG62" s="351">
        <v>6</v>
      </c>
      <c r="BH62" s="339">
        <v>6</v>
      </c>
      <c r="BI62" s="339" t="s">
        <v>1595</v>
      </c>
      <c r="BJ62" s="339">
        <v>10</v>
      </c>
      <c r="BK62" s="339" t="s">
        <v>1596</v>
      </c>
      <c r="BL62" s="339">
        <v>0</v>
      </c>
    </row>
    <row r="63" spans="2:344" ht="28.2" thickBot="1" x14ac:dyDescent="0.35">
      <c r="S63" s="339">
        <v>3</v>
      </c>
      <c r="T63" s="339" t="s">
        <v>1386</v>
      </c>
      <c r="U63" s="339">
        <v>6</v>
      </c>
      <c r="V63" s="339">
        <v>2</v>
      </c>
      <c r="W63" s="339">
        <v>0</v>
      </c>
      <c r="X63" s="339">
        <v>2</v>
      </c>
      <c r="Y63" s="339">
        <v>2</v>
      </c>
      <c r="Z63" s="350">
        <v>0.63680555555555551</v>
      </c>
      <c r="AA63" s="351">
        <v>8</v>
      </c>
      <c r="AB63" s="339">
        <v>3</v>
      </c>
      <c r="AC63" s="339" t="s">
        <v>1393</v>
      </c>
      <c r="AD63" s="339">
        <v>5</v>
      </c>
      <c r="AE63" s="339" t="s">
        <v>1394</v>
      </c>
      <c r="AF63" s="339">
        <v>0</v>
      </c>
      <c r="AY63" s="339">
        <v>3</v>
      </c>
      <c r="AZ63" s="339" t="s">
        <v>1591</v>
      </c>
      <c r="BA63" s="339">
        <v>6</v>
      </c>
      <c r="BB63" s="339">
        <v>1</v>
      </c>
      <c r="BC63" s="339">
        <v>1</v>
      </c>
      <c r="BD63" s="339">
        <v>1</v>
      </c>
      <c r="BE63" s="339">
        <v>3</v>
      </c>
      <c r="BF63" s="350">
        <v>0.68333333333333324</v>
      </c>
      <c r="BG63" s="351">
        <v>6</v>
      </c>
      <c r="BH63" s="339">
        <v>1</v>
      </c>
      <c r="BI63" s="367">
        <v>42826</v>
      </c>
      <c r="BJ63" s="339">
        <v>4</v>
      </c>
      <c r="BK63" s="339" t="s">
        <v>1597</v>
      </c>
      <c r="BL63" s="339">
        <v>0</v>
      </c>
    </row>
    <row r="64" spans="2:344" ht="28.2" thickBot="1" x14ac:dyDescent="0.35">
      <c r="S64" s="339">
        <v>4</v>
      </c>
      <c r="T64" s="339" t="s">
        <v>332</v>
      </c>
      <c r="U64" s="339">
        <v>6</v>
      </c>
      <c r="V64" s="339">
        <v>2</v>
      </c>
      <c r="W64" s="339">
        <v>0</v>
      </c>
      <c r="X64" s="339">
        <v>0</v>
      </c>
      <c r="Y64" s="339">
        <v>4</v>
      </c>
      <c r="Z64" s="350">
        <v>0.30277777777777776</v>
      </c>
      <c r="AA64" s="351">
        <v>6</v>
      </c>
      <c r="AB64" s="339">
        <v>1</v>
      </c>
      <c r="AC64" s="367">
        <v>20180</v>
      </c>
      <c r="AD64" s="339">
        <v>1</v>
      </c>
      <c r="AE64" s="339" t="s">
        <v>1396</v>
      </c>
      <c r="AF64" s="339">
        <v>0</v>
      </c>
      <c r="AY64" s="339">
        <v>4</v>
      </c>
      <c r="AZ64" s="339" t="s">
        <v>1386</v>
      </c>
      <c r="BA64" s="339">
        <v>6</v>
      </c>
      <c r="BB64" s="339">
        <v>0</v>
      </c>
      <c r="BC64" s="339">
        <v>0</v>
      </c>
      <c r="BD64" s="339">
        <v>1</v>
      </c>
      <c r="BE64" s="339">
        <v>5</v>
      </c>
      <c r="BF64" s="350">
        <v>0.4375</v>
      </c>
      <c r="BG64" s="351">
        <v>1</v>
      </c>
      <c r="BH64" s="339">
        <v>4</v>
      </c>
      <c r="BI64" s="339" t="s">
        <v>214</v>
      </c>
      <c r="BJ64" s="339">
        <v>5</v>
      </c>
      <c r="BK64" s="339" t="s">
        <v>1598</v>
      </c>
      <c r="BL64" s="339">
        <v>0</v>
      </c>
    </row>
    <row r="65" spans="1:346" ht="19.2" thickBot="1" x14ac:dyDescent="0.35">
      <c r="S65" s="363" t="s">
        <v>1397</v>
      </c>
      <c r="AY65" s="363" t="s">
        <v>1397</v>
      </c>
    </row>
    <row r="66" spans="1:346" ht="15.6" thickTop="1" thickBot="1" x14ac:dyDescent="0.35">
      <c r="S66" s="357" t="s">
        <v>1254</v>
      </c>
      <c r="T66" s="357" t="s">
        <v>813</v>
      </c>
      <c r="U66" s="357" t="s">
        <v>1255</v>
      </c>
      <c r="V66" s="357" t="s">
        <v>16</v>
      </c>
      <c r="W66" s="357" t="s">
        <v>793</v>
      </c>
      <c r="X66" s="357" t="s">
        <v>794</v>
      </c>
      <c r="Y66" s="357" t="s">
        <v>743</v>
      </c>
      <c r="Z66" s="357" t="s">
        <v>795</v>
      </c>
      <c r="AA66" s="365" t="s">
        <v>1256</v>
      </c>
      <c r="AB66" s="357" t="s">
        <v>1257</v>
      </c>
      <c r="AC66" s="357" t="s">
        <v>1258</v>
      </c>
      <c r="AD66" s="357" t="s">
        <v>1259</v>
      </c>
      <c r="AE66" s="357" t="s">
        <v>1260</v>
      </c>
      <c r="AF66" s="357" t="s">
        <v>1261</v>
      </c>
      <c r="AY66" s="357" t="s">
        <v>1254</v>
      </c>
      <c r="AZ66" s="357" t="s">
        <v>813</v>
      </c>
      <c r="BA66" s="357" t="s">
        <v>1255</v>
      </c>
      <c r="BB66" s="357" t="s">
        <v>16</v>
      </c>
      <c r="BC66" s="357" t="s">
        <v>793</v>
      </c>
      <c r="BD66" s="357" t="s">
        <v>794</v>
      </c>
      <c r="BE66" s="357" t="s">
        <v>743</v>
      </c>
      <c r="BF66" s="357" t="s">
        <v>795</v>
      </c>
      <c r="BG66" s="365" t="s">
        <v>1256</v>
      </c>
      <c r="BH66" s="357" t="s">
        <v>1257</v>
      </c>
      <c r="BI66" s="357" t="s">
        <v>1258</v>
      </c>
      <c r="BJ66" s="357" t="s">
        <v>1259</v>
      </c>
      <c r="BK66" s="357" t="s">
        <v>1260</v>
      </c>
      <c r="BL66" s="357" t="s">
        <v>1261</v>
      </c>
    </row>
    <row r="67" spans="1:346" ht="55.8" thickBot="1" x14ac:dyDescent="0.35">
      <c r="S67" s="339">
        <v>1</v>
      </c>
      <c r="T67" s="339" t="s">
        <v>1303</v>
      </c>
      <c r="U67" s="339">
        <v>6</v>
      </c>
      <c r="V67" s="339">
        <v>2</v>
      </c>
      <c r="W67" s="339">
        <v>2</v>
      </c>
      <c r="X67" s="339">
        <v>2</v>
      </c>
      <c r="Y67" s="339">
        <v>0</v>
      </c>
      <c r="Z67" s="350">
        <v>0.71666666666666667</v>
      </c>
      <c r="AA67" s="351">
        <v>12</v>
      </c>
      <c r="AB67" s="339">
        <v>2</v>
      </c>
      <c r="AC67" s="367">
        <v>25781</v>
      </c>
      <c r="AD67" s="339">
        <v>1</v>
      </c>
      <c r="AE67" s="339" t="s">
        <v>1389</v>
      </c>
      <c r="AF67" s="339">
        <v>1</v>
      </c>
      <c r="AY67" s="339">
        <v>1</v>
      </c>
      <c r="AZ67" s="339" t="s">
        <v>80</v>
      </c>
      <c r="BA67" s="339">
        <v>6</v>
      </c>
      <c r="BB67" s="339">
        <v>6</v>
      </c>
      <c r="BC67" s="339">
        <v>0</v>
      </c>
      <c r="BD67" s="339">
        <v>0</v>
      </c>
      <c r="BE67" s="339">
        <v>0</v>
      </c>
      <c r="BF67" s="352">
        <v>1.2159722222222222</v>
      </c>
      <c r="BG67" s="351">
        <v>18</v>
      </c>
      <c r="BH67" s="339">
        <v>11</v>
      </c>
      <c r="BI67" s="339" t="s">
        <v>1599</v>
      </c>
      <c r="BJ67" s="339">
        <v>4</v>
      </c>
      <c r="BK67" s="339" t="s">
        <v>1600</v>
      </c>
      <c r="BL67" s="339">
        <v>1</v>
      </c>
    </row>
    <row r="68" spans="1:346" ht="55.8" thickBot="1" x14ac:dyDescent="0.35">
      <c r="S68" s="339">
        <v>2</v>
      </c>
      <c r="T68" s="339" t="s">
        <v>1386</v>
      </c>
      <c r="U68" s="339">
        <v>6</v>
      </c>
      <c r="V68" s="339">
        <v>3</v>
      </c>
      <c r="W68" s="339">
        <v>1</v>
      </c>
      <c r="X68" s="339">
        <v>0</v>
      </c>
      <c r="Y68" s="339">
        <v>2</v>
      </c>
      <c r="Z68" s="350">
        <v>0.58888888888888891</v>
      </c>
      <c r="AA68" s="351">
        <v>11</v>
      </c>
      <c r="AB68" s="339">
        <v>3</v>
      </c>
      <c r="AC68" s="366">
        <v>43568</v>
      </c>
      <c r="AD68" s="339">
        <v>2</v>
      </c>
      <c r="AE68" s="339" t="s">
        <v>1398</v>
      </c>
      <c r="AF68" s="339">
        <v>1</v>
      </c>
      <c r="AY68" s="339">
        <v>2</v>
      </c>
      <c r="AZ68" s="339" t="s">
        <v>1303</v>
      </c>
      <c r="BA68" s="339">
        <v>6</v>
      </c>
      <c r="BB68" s="339">
        <v>4</v>
      </c>
      <c r="BC68" s="339">
        <v>1</v>
      </c>
      <c r="BD68" s="339">
        <v>0</v>
      </c>
      <c r="BE68" s="339">
        <v>1</v>
      </c>
      <c r="BF68" s="352">
        <v>1.0534722222222224</v>
      </c>
      <c r="BG68" s="351">
        <v>14</v>
      </c>
      <c r="BH68" s="339">
        <v>3</v>
      </c>
      <c r="BI68" s="339" t="s">
        <v>1400</v>
      </c>
      <c r="BJ68" s="339">
        <v>1</v>
      </c>
      <c r="BK68" s="339" t="s">
        <v>1601</v>
      </c>
      <c r="BL68" s="339">
        <v>0</v>
      </c>
    </row>
    <row r="69" spans="1:346" ht="28.2" thickBot="1" x14ac:dyDescent="0.35">
      <c r="S69" s="339">
        <v>3</v>
      </c>
      <c r="T69" s="339" t="s">
        <v>80</v>
      </c>
      <c r="U69" s="339">
        <v>6</v>
      </c>
      <c r="V69" s="339">
        <v>3</v>
      </c>
      <c r="W69" s="339">
        <v>0</v>
      </c>
      <c r="X69" s="339">
        <v>0</v>
      </c>
      <c r="Y69" s="339">
        <v>3</v>
      </c>
      <c r="Z69" s="350">
        <v>0.63611111111111118</v>
      </c>
      <c r="AA69" s="351">
        <v>9</v>
      </c>
      <c r="AB69" s="339">
        <v>3</v>
      </c>
      <c r="AC69" s="339" t="s">
        <v>1367</v>
      </c>
      <c r="AD69" s="339">
        <v>5</v>
      </c>
      <c r="AE69" s="339" t="s">
        <v>1399</v>
      </c>
      <c r="AF69" s="339">
        <v>1</v>
      </c>
      <c r="AY69" s="339">
        <v>3</v>
      </c>
      <c r="AZ69" s="339" t="s">
        <v>1591</v>
      </c>
      <c r="BA69" s="339">
        <v>6</v>
      </c>
      <c r="BB69" s="339">
        <v>2</v>
      </c>
      <c r="BC69" s="339">
        <v>2</v>
      </c>
      <c r="BD69" s="339">
        <v>1</v>
      </c>
      <c r="BE69" s="339">
        <v>1</v>
      </c>
      <c r="BF69" s="350">
        <v>0.7583333333333333</v>
      </c>
      <c r="BG69" s="351">
        <v>11</v>
      </c>
      <c r="BH69" s="339">
        <v>5</v>
      </c>
      <c r="BI69" s="339" t="s">
        <v>1602</v>
      </c>
      <c r="BJ69" s="339">
        <v>6</v>
      </c>
      <c r="BK69" s="339" t="s">
        <v>1603</v>
      </c>
      <c r="BL69" s="339">
        <v>0</v>
      </c>
    </row>
    <row r="70" spans="1:346" ht="28.2" thickBot="1" x14ac:dyDescent="0.35">
      <c r="S70" s="339">
        <v>4</v>
      </c>
      <c r="T70" s="339" t="s">
        <v>332</v>
      </c>
      <c r="U70" s="339">
        <v>6</v>
      </c>
      <c r="V70" s="339">
        <v>2</v>
      </c>
      <c r="W70" s="339">
        <v>0</v>
      </c>
      <c r="X70" s="339">
        <v>1</v>
      </c>
      <c r="Y70" s="339">
        <v>3</v>
      </c>
      <c r="Z70" s="350">
        <v>0.42430555555555555</v>
      </c>
      <c r="AA70" s="351">
        <v>7</v>
      </c>
      <c r="AB70" s="339">
        <v>3</v>
      </c>
      <c r="AC70" s="339" t="s">
        <v>1400</v>
      </c>
      <c r="AD70" s="339">
        <v>2</v>
      </c>
      <c r="AE70" s="339" t="s">
        <v>1356</v>
      </c>
      <c r="AF70" s="339">
        <v>0</v>
      </c>
      <c r="AY70" s="339">
        <v>4</v>
      </c>
      <c r="AZ70" s="339" t="s">
        <v>1386</v>
      </c>
      <c r="BA70" s="339">
        <v>6</v>
      </c>
      <c r="BB70" s="339">
        <v>2</v>
      </c>
      <c r="BC70" s="339">
        <v>1</v>
      </c>
      <c r="BD70" s="339">
        <v>1</v>
      </c>
      <c r="BE70" s="339">
        <v>2</v>
      </c>
      <c r="BF70" s="350">
        <v>0.63611111111111118</v>
      </c>
      <c r="BG70" s="351">
        <v>9</v>
      </c>
      <c r="BH70" s="339">
        <v>4</v>
      </c>
      <c r="BI70" s="366">
        <v>43811</v>
      </c>
      <c r="BJ70" s="339">
        <v>2</v>
      </c>
      <c r="BK70" s="339" t="s">
        <v>1604</v>
      </c>
      <c r="BL70" s="339">
        <v>1</v>
      </c>
    </row>
    <row r="71" spans="1:346" ht="15" thickBot="1" x14ac:dyDescent="0.35"/>
    <row r="72" spans="1:346" s="360" customFormat="1" x14ac:dyDescent="0.3">
      <c r="A72" s="368"/>
      <c r="R72" s="369"/>
      <c r="AH72" s="369"/>
      <c r="AX72" s="369"/>
      <c r="BN72" s="369"/>
      <c r="CD72" s="369"/>
      <c r="CT72" s="369"/>
      <c r="DJ72" s="369"/>
      <c r="DZ72" s="369"/>
      <c r="EP72" s="369"/>
      <c r="FF72" s="369"/>
      <c r="FV72" s="369"/>
      <c r="GL72" s="369"/>
      <c r="HB72" s="369"/>
      <c r="HS72" s="369"/>
      <c r="IJ72" s="369"/>
      <c r="JA72" s="369"/>
      <c r="JR72" s="369"/>
      <c r="KI72" s="369"/>
      <c r="KZ72" s="369"/>
      <c r="LQ72" s="369"/>
      <c r="MH72" s="369"/>
    </row>
    <row r="73" spans="1:346" s="361" customFormat="1" ht="15" thickBot="1" x14ac:dyDescent="0.35">
      <c r="A73" s="370"/>
      <c r="R73" s="371"/>
      <c r="AH73" s="371"/>
      <c r="AX73" s="371"/>
      <c r="BN73" s="371"/>
      <c r="CD73" s="371"/>
      <c r="CT73" s="371"/>
      <c r="DJ73" s="371"/>
      <c r="DZ73" s="371"/>
      <c r="EP73" s="371"/>
      <c r="FF73" s="371"/>
      <c r="FV73" s="371"/>
      <c r="GL73" s="371"/>
      <c r="HB73" s="371"/>
      <c r="HS73" s="371"/>
      <c r="IJ73" s="371"/>
      <c r="JA73" s="371"/>
      <c r="JR73" s="371"/>
      <c r="KI73" s="371"/>
      <c r="KZ73" s="371"/>
      <c r="LQ73" s="371"/>
      <c r="MH73" s="371"/>
    </row>
  </sheetData>
  <pageMargins left="0.7" right="0.7" top="0.78740157499999996" bottom="0.78740157499999996"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MH123"/>
  <sheetViews>
    <sheetView workbookViewId="0">
      <pane ySplit="3" topLeftCell="A4" activePane="bottomLeft" state="frozen"/>
      <selection activeCell="L12" sqref="L12"/>
      <selection pane="bottomLeft" activeCell="L12" sqref="L12"/>
    </sheetView>
  </sheetViews>
  <sheetFormatPr defaultRowHeight="14.4" x14ac:dyDescent="0.3"/>
  <cols>
    <col min="1" max="1" width="12.33203125" customWidth="1"/>
    <col min="2" max="2" width="16.44140625" customWidth="1"/>
    <col min="4" max="4" width="16.44140625" customWidth="1"/>
    <col min="18" max="18" width="9.109375" style="359"/>
    <col min="19" max="19" width="14" customWidth="1"/>
    <col min="20" max="20" width="17.6640625" customWidth="1"/>
    <col min="22" max="22" width="19" customWidth="1"/>
    <col min="36" max="36" width="9.109375" style="359"/>
    <col min="37" max="37" width="15.33203125" customWidth="1"/>
    <col min="38" max="38" width="18.44140625" customWidth="1"/>
    <col min="40" max="40" width="18.88671875" customWidth="1"/>
    <col min="54" max="54" width="9.109375" style="359"/>
  </cols>
  <sheetData>
    <row r="1" spans="1:346" s="2" customFormat="1" ht="18" x14ac:dyDescent="0.35">
      <c r="A1" s="1192"/>
      <c r="B1" s="1192"/>
      <c r="R1" s="168"/>
      <c r="AG1"/>
      <c r="AH1"/>
      <c r="AJ1" s="168"/>
      <c r="AW1"/>
      <c r="AX1"/>
      <c r="BB1" s="168"/>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row>
    <row r="2" spans="1:346" s="2" customFormat="1" ht="18" x14ac:dyDescent="0.35">
      <c r="A2" s="1191" t="s">
        <v>2927</v>
      </c>
      <c r="B2" s="1191"/>
      <c r="R2" s="168"/>
      <c r="S2" s="1190" t="s">
        <v>346</v>
      </c>
      <c r="T2" s="1190"/>
      <c r="AJ2" s="168"/>
      <c r="AK2" s="1189" t="s">
        <v>347</v>
      </c>
      <c r="AL2" s="1189"/>
      <c r="BB2" s="168"/>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row>
    <row r="3" spans="1:346" s="2" customFormat="1" ht="18.600000000000001" thickBot="1" x14ac:dyDescent="0.4">
      <c r="A3" s="372" t="s">
        <v>840</v>
      </c>
      <c r="B3" s="362" t="s">
        <v>1053</v>
      </c>
      <c r="C3" s="357" t="s">
        <v>2929</v>
      </c>
      <c r="D3" s="357" t="s">
        <v>813</v>
      </c>
      <c r="E3" s="357" t="s">
        <v>1255</v>
      </c>
      <c r="F3" s="357" t="s">
        <v>16</v>
      </c>
      <c r="G3" s="357" t="s">
        <v>793</v>
      </c>
      <c r="H3" s="357" t="s">
        <v>2470</v>
      </c>
      <c r="I3" s="357" t="s">
        <v>794</v>
      </c>
      <c r="J3" s="357" t="s">
        <v>743</v>
      </c>
      <c r="K3" s="357" t="s">
        <v>795</v>
      </c>
      <c r="L3" s="365" t="s">
        <v>1256</v>
      </c>
      <c r="M3" s="357" t="s">
        <v>1257</v>
      </c>
      <c r="N3" s="357" t="s">
        <v>1258</v>
      </c>
      <c r="O3" s="357" t="s">
        <v>1259</v>
      </c>
      <c r="P3" s="357" t="s">
        <v>1260</v>
      </c>
      <c r="Q3" s="357" t="s">
        <v>1261</v>
      </c>
      <c r="R3" s="168"/>
      <c r="S3" s="372" t="s">
        <v>840</v>
      </c>
      <c r="T3" s="362" t="s">
        <v>1053</v>
      </c>
      <c r="U3" s="357" t="s">
        <v>2929</v>
      </c>
      <c r="V3" s="357" t="s">
        <v>813</v>
      </c>
      <c r="W3" s="357" t="s">
        <v>1255</v>
      </c>
      <c r="X3" s="357" t="s">
        <v>16</v>
      </c>
      <c r="Y3" s="357" t="s">
        <v>793</v>
      </c>
      <c r="Z3" s="357" t="s">
        <v>2470</v>
      </c>
      <c r="AA3" s="357" t="s">
        <v>794</v>
      </c>
      <c r="AB3" s="357" t="s">
        <v>743</v>
      </c>
      <c r="AC3" s="357" t="s">
        <v>795</v>
      </c>
      <c r="AD3" s="365" t="s">
        <v>1256</v>
      </c>
      <c r="AE3" s="357" t="s">
        <v>1257</v>
      </c>
      <c r="AF3" s="357" t="s">
        <v>1258</v>
      </c>
      <c r="AG3" s="357" t="s">
        <v>1259</v>
      </c>
      <c r="AH3" s="357" t="s">
        <v>1260</v>
      </c>
      <c r="AI3" s="357" t="s">
        <v>1261</v>
      </c>
      <c r="AJ3" s="168"/>
      <c r="AK3" s="372" t="s">
        <v>840</v>
      </c>
      <c r="AL3" s="362" t="s">
        <v>1053</v>
      </c>
      <c r="AM3" s="357" t="s">
        <v>2929</v>
      </c>
      <c r="AN3" s="357" t="s">
        <v>813</v>
      </c>
      <c r="AO3" s="357" t="s">
        <v>1255</v>
      </c>
      <c r="AP3" s="357" t="s">
        <v>16</v>
      </c>
      <c r="AQ3" s="357" t="s">
        <v>793</v>
      </c>
      <c r="AR3" s="357" t="s">
        <v>2470</v>
      </c>
      <c r="AS3" s="357" t="s">
        <v>794</v>
      </c>
      <c r="AT3" s="357" t="s">
        <v>743</v>
      </c>
      <c r="AU3" s="357" t="s">
        <v>795</v>
      </c>
      <c r="AV3" s="365" t="s">
        <v>1256</v>
      </c>
      <c r="AW3" s="357" t="s">
        <v>1257</v>
      </c>
      <c r="AX3" s="357" t="s">
        <v>1258</v>
      </c>
      <c r="AY3" s="357" t="s">
        <v>1259</v>
      </c>
      <c r="AZ3" s="357" t="s">
        <v>1260</v>
      </c>
      <c r="BA3" s="357" t="s">
        <v>1261</v>
      </c>
      <c r="BB3" s="168"/>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row>
    <row r="4" spans="1:346" s="2" customFormat="1" ht="18.600000000000001" thickBot="1" x14ac:dyDescent="0.4">
      <c r="A4" s="362">
        <v>19</v>
      </c>
      <c r="B4" s="372" t="s">
        <v>1492</v>
      </c>
      <c r="C4" s="339">
        <v>11</v>
      </c>
      <c r="D4" s="339" t="s">
        <v>80</v>
      </c>
      <c r="E4" s="339">
        <v>52</v>
      </c>
      <c r="F4" s="339">
        <v>20</v>
      </c>
      <c r="G4" s="339">
        <v>5</v>
      </c>
      <c r="H4" s="339"/>
      <c r="I4" s="339">
        <v>1</v>
      </c>
      <c r="J4" s="339">
        <v>26</v>
      </c>
      <c r="K4" s="339" t="s">
        <v>1127</v>
      </c>
      <c r="L4" s="351">
        <v>71</v>
      </c>
      <c r="M4" s="339">
        <v>31</v>
      </c>
      <c r="N4" s="339" t="s">
        <v>1301</v>
      </c>
      <c r="O4" s="339">
        <v>36</v>
      </c>
      <c r="P4" s="339" t="s">
        <v>1302</v>
      </c>
      <c r="Q4" s="339">
        <v>8</v>
      </c>
      <c r="R4" s="168"/>
      <c r="S4" s="362">
        <v>19</v>
      </c>
      <c r="T4" s="372" t="s">
        <v>1492</v>
      </c>
      <c r="U4" s="339">
        <v>10</v>
      </c>
      <c r="V4" s="339" t="s">
        <v>80</v>
      </c>
      <c r="W4" s="339">
        <v>26</v>
      </c>
      <c r="X4" s="339">
        <v>12</v>
      </c>
      <c r="Y4" s="339">
        <v>1</v>
      </c>
      <c r="Z4" s="339"/>
      <c r="AA4" s="339">
        <v>1</v>
      </c>
      <c r="AB4" s="339">
        <v>12</v>
      </c>
      <c r="AC4" s="339" t="s">
        <v>1122</v>
      </c>
      <c r="AD4" s="351">
        <v>39</v>
      </c>
      <c r="AE4" s="339">
        <v>18</v>
      </c>
      <c r="AF4" s="339" t="s">
        <v>1371</v>
      </c>
      <c r="AG4" s="339">
        <v>12</v>
      </c>
      <c r="AH4" s="339" t="s">
        <v>1372</v>
      </c>
      <c r="AI4" s="339">
        <v>3</v>
      </c>
      <c r="AJ4" s="168"/>
      <c r="AK4" s="362">
        <v>19</v>
      </c>
      <c r="AL4" s="372" t="s">
        <v>1492</v>
      </c>
      <c r="AM4" s="339">
        <v>9</v>
      </c>
      <c r="AN4" s="339" t="s">
        <v>80</v>
      </c>
      <c r="AO4" s="339">
        <v>26</v>
      </c>
      <c r="AP4" s="339">
        <v>8</v>
      </c>
      <c r="AQ4" s="339">
        <v>4</v>
      </c>
      <c r="AR4" s="339"/>
      <c r="AS4" s="339">
        <v>0</v>
      </c>
      <c r="AT4" s="339">
        <v>14</v>
      </c>
      <c r="AU4" s="339" t="s">
        <v>1126</v>
      </c>
      <c r="AV4" s="351">
        <v>32</v>
      </c>
      <c r="AW4" s="339">
        <v>13</v>
      </c>
      <c r="AX4" s="339" t="s">
        <v>1338</v>
      </c>
      <c r="AY4" s="339">
        <v>24</v>
      </c>
      <c r="AZ4" s="339" t="s">
        <v>1310</v>
      </c>
      <c r="BA4" s="339">
        <v>5</v>
      </c>
      <c r="BB4" s="168"/>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row>
    <row r="5" spans="1:346" s="2" customFormat="1" ht="18.600000000000001" thickBot="1" x14ac:dyDescent="0.4">
      <c r="A5" s="362">
        <v>18</v>
      </c>
      <c r="B5" s="372" t="s">
        <v>1493</v>
      </c>
      <c r="C5" s="339">
        <v>14</v>
      </c>
      <c r="D5" s="339" t="s">
        <v>80</v>
      </c>
      <c r="E5" s="339">
        <v>52</v>
      </c>
      <c r="F5" s="339">
        <v>10</v>
      </c>
      <c r="G5" s="339">
        <v>7</v>
      </c>
      <c r="H5" s="339"/>
      <c r="I5" s="339">
        <v>6</v>
      </c>
      <c r="J5" s="339">
        <v>29</v>
      </c>
      <c r="K5" s="339" t="s">
        <v>807</v>
      </c>
      <c r="L5" s="351">
        <v>50</v>
      </c>
      <c r="M5" s="339">
        <v>34</v>
      </c>
      <c r="N5" s="339" t="s">
        <v>1436</v>
      </c>
      <c r="O5" s="339">
        <v>50</v>
      </c>
      <c r="P5" s="339" t="s">
        <v>1437</v>
      </c>
      <c r="Q5" s="339">
        <v>5</v>
      </c>
      <c r="R5" s="168"/>
      <c r="S5" s="362">
        <v>18</v>
      </c>
      <c r="T5" s="372" t="s">
        <v>1493</v>
      </c>
      <c r="U5" s="339">
        <v>14</v>
      </c>
      <c r="V5" s="339" t="s">
        <v>80</v>
      </c>
      <c r="W5" s="339">
        <v>26</v>
      </c>
      <c r="X5" s="339">
        <v>5</v>
      </c>
      <c r="Y5" s="339">
        <v>5</v>
      </c>
      <c r="Z5" s="339"/>
      <c r="AA5" s="339">
        <v>5</v>
      </c>
      <c r="AB5" s="339">
        <v>11</v>
      </c>
      <c r="AC5" s="339" t="s">
        <v>805</v>
      </c>
      <c r="AD5" s="351">
        <v>30</v>
      </c>
      <c r="AE5" s="339">
        <v>18</v>
      </c>
      <c r="AF5" s="367">
        <v>25173</v>
      </c>
      <c r="AG5" s="339">
        <v>19</v>
      </c>
      <c r="AH5" s="339" t="s">
        <v>1491</v>
      </c>
      <c r="AI5" s="339">
        <v>3</v>
      </c>
      <c r="AJ5" s="168"/>
      <c r="AK5" s="362">
        <v>18</v>
      </c>
      <c r="AL5" s="372" t="s">
        <v>1493</v>
      </c>
      <c r="AM5" s="339">
        <v>12</v>
      </c>
      <c r="AN5" s="339" t="s">
        <v>80</v>
      </c>
      <c r="AO5" s="339">
        <v>26</v>
      </c>
      <c r="AP5" s="339">
        <v>5</v>
      </c>
      <c r="AQ5" s="339">
        <v>2</v>
      </c>
      <c r="AR5" s="339"/>
      <c r="AS5" s="339">
        <v>1</v>
      </c>
      <c r="AT5" s="339">
        <v>18</v>
      </c>
      <c r="AU5" s="339" t="s">
        <v>806</v>
      </c>
      <c r="AV5" s="351">
        <v>20</v>
      </c>
      <c r="AW5" s="339">
        <v>16</v>
      </c>
      <c r="AX5" s="339" t="s">
        <v>217</v>
      </c>
      <c r="AY5" s="339">
        <v>31</v>
      </c>
      <c r="AZ5" s="339" t="s">
        <v>1341</v>
      </c>
      <c r="BA5" s="339">
        <v>2</v>
      </c>
      <c r="BB5" s="168"/>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row>
    <row r="6" spans="1:346" s="2" customFormat="1" ht="18.600000000000001" thickBot="1" x14ac:dyDescent="0.4">
      <c r="A6" s="362">
        <v>17</v>
      </c>
      <c r="B6" s="372" t="s">
        <v>1586</v>
      </c>
      <c r="C6" s="339">
        <v>5</v>
      </c>
      <c r="D6" s="339" t="s">
        <v>80</v>
      </c>
      <c r="E6" s="339">
        <v>52</v>
      </c>
      <c r="F6" s="339">
        <v>20</v>
      </c>
      <c r="G6" s="339">
        <v>13</v>
      </c>
      <c r="H6" s="339"/>
      <c r="I6" s="339">
        <v>2</v>
      </c>
      <c r="J6" s="339">
        <v>17</v>
      </c>
      <c r="K6" s="339" t="s">
        <v>1504</v>
      </c>
      <c r="L6" s="351">
        <v>88</v>
      </c>
      <c r="M6" s="339">
        <v>39</v>
      </c>
      <c r="N6" s="339" t="s">
        <v>1367</v>
      </c>
      <c r="O6" s="339">
        <v>33</v>
      </c>
      <c r="P6" s="339" t="s">
        <v>1505</v>
      </c>
      <c r="Q6" s="339">
        <v>2</v>
      </c>
      <c r="R6" s="168"/>
      <c r="S6" s="362">
        <v>17</v>
      </c>
      <c r="T6" s="372" t="s">
        <v>1586</v>
      </c>
      <c r="U6" s="339">
        <v>5</v>
      </c>
      <c r="V6" s="339" t="s">
        <v>80</v>
      </c>
      <c r="W6" s="339">
        <v>26</v>
      </c>
      <c r="X6" s="339">
        <v>9</v>
      </c>
      <c r="Y6" s="339">
        <v>11</v>
      </c>
      <c r="Z6" s="339"/>
      <c r="AA6" s="339">
        <v>1</v>
      </c>
      <c r="AB6" s="339">
        <v>5</v>
      </c>
      <c r="AC6" s="352">
        <v>2.9972222222222222</v>
      </c>
      <c r="AD6" s="351">
        <v>50</v>
      </c>
      <c r="AE6" s="339">
        <v>25</v>
      </c>
      <c r="AF6" s="339" t="s">
        <v>1564</v>
      </c>
      <c r="AG6" s="339">
        <v>16</v>
      </c>
      <c r="AH6" s="339" t="s">
        <v>1565</v>
      </c>
      <c r="AI6" s="339">
        <v>1</v>
      </c>
      <c r="AJ6" s="168"/>
      <c r="AK6" s="362">
        <v>17</v>
      </c>
      <c r="AL6" s="372" t="s">
        <v>1586</v>
      </c>
      <c r="AM6" s="339">
        <v>4</v>
      </c>
      <c r="AN6" s="339" t="s">
        <v>80</v>
      </c>
      <c r="AO6" s="339">
        <v>26</v>
      </c>
      <c r="AP6" s="339">
        <v>11</v>
      </c>
      <c r="AQ6" s="339">
        <v>2</v>
      </c>
      <c r="AR6" s="339"/>
      <c r="AS6" s="339">
        <v>1</v>
      </c>
      <c r="AT6" s="339">
        <v>12</v>
      </c>
      <c r="AU6" s="339" t="s">
        <v>1532</v>
      </c>
      <c r="AV6" s="351">
        <v>38</v>
      </c>
      <c r="AW6" s="339">
        <v>14</v>
      </c>
      <c r="AX6" s="339" t="s">
        <v>1533</v>
      </c>
      <c r="AY6" s="339">
        <v>17</v>
      </c>
      <c r="AZ6" s="339" t="s">
        <v>1534</v>
      </c>
      <c r="BA6" s="339">
        <v>1</v>
      </c>
      <c r="BB6" s="168"/>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row>
    <row r="7" spans="1:346" s="2" customFormat="1" ht="18.600000000000001" thickBot="1" x14ac:dyDescent="0.4">
      <c r="A7" s="362">
        <v>16</v>
      </c>
      <c r="B7" s="372" t="s">
        <v>1693</v>
      </c>
      <c r="C7" s="339">
        <v>13</v>
      </c>
      <c r="D7" s="339" t="s">
        <v>80</v>
      </c>
      <c r="E7" s="339">
        <v>52</v>
      </c>
      <c r="F7" s="339">
        <v>10</v>
      </c>
      <c r="G7" s="339">
        <v>10</v>
      </c>
      <c r="H7" s="339"/>
      <c r="I7" s="339">
        <v>5</v>
      </c>
      <c r="J7" s="339">
        <v>27</v>
      </c>
      <c r="K7" s="339" t="s">
        <v>1634</v>
      </c>
      <c r="L7" s="351">
        <v>55</v>
      </c>
      <c r="M7" s="339">
        <v>37</v>
      </c>
      <c r="N7" s="339" t="s">
        <v>1276</v>
      </c>
      <c r="O7" s="339">
        <v>35</v>
      </c>
      <c r="P7" s="339" t="s">
        <v>1635</v>
      </c>
      <c r="Q7" s="339">
        <v>1</v>
      </c>
      <c r="R7" s="168"/>
      <c r="S7" s="362">
        <v>16</v>
      </c>
      <c r="T7" s="372" t="s">
        <v>1693</v>
      </c>
      <c r="U7" s="339">
        <v>12</v>
      </c>
      <c r="V7" s="339" t="s">
        <v>80</v>
      </c>
      <c r="W7" s="339">
        <v>26</v>
      </c>
      <c r="X7" s="339">
        <v>7</v>
      </c>
      <c r="Y7" s="339">
        <v>7</v>
      </c>
      <c r="Z7" s="339"/>
      <c r="AA7" s="339">
        <v>2</v>
      </c>
      <c r="AB7" s="339">
        <v>10</v>
      </c>
      <c r="AC7" s="352">
        <v>2.5826388888888889</v>
      </c>
      <c r="AD7" s="351">
        <v>37</v>
      </c>
      <c r="AE7" s="339">
        <v>25</v>
      </c>
      <c r="AF7" s="366">
        <v>43482</v>
      </c>
      <c r="AG7" s="339">
        <v>15</v>
      </c>
      <c r="AH7" s="339" t="s">
        <v>1688</v>
      </c>
      <c r="AI7" s="339">
        <v>0</v>
      </c>
      <c r="AJ7" s="168"/>
      <c r="AK7" s="362">
        <v>16</v>
      </c>
      <c r="AL7" s="372" t="s">
        <v>1693</v>
      </c>
      <c r="AM7" s="339">
        <v>14</v>
      </c>
      <c r="AN7" s="339" t="s">
        <v>80</v>
      </c>
      <c r="AO7" s="339">
        <v>26</v>
      </c>
      <c r="AP7" s="339">
        <v>3</v>
      </c>
      <c r="AQ7" s="339">
        <v>3</v>
      </c>
      <c r="AR7" s="339"/>
      <c r="AS7" s="339">
        <v>3</v>
      </c>
      <c r="AT7" s="339">
        <v>17</v>
      </c>
      <c r="AU7" s="339" t="s">
        <v>1664</v>
      </c>
      <c r="AV7" s="351">
        <v>18</v>
      </c>
      <c r="AW7" s="339">
        <v>12</v>
      </c>
      <c r="AX7" s="367">
        <v>28065</v>
      </c>
      <c r="AY7" s="339">
        <v>20</v>
      </c>
      <c r="AZ7" s="339" t="s">
        <v>1670</v>
      </c>
      <c r="BA7" s="339">
        <v>1</v>
      </c>
      <c r="BB7" s="168"/>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row>
    <row r="8" spans="1:346" s="2" customFormat="1" ht="18.600000000000001" thickBot="1" x14ac:dyDescent="0.4">
      <c r="A8" s="362">
        <v>15</v>
      </c>
      <c r="B8" s="372" t="s">
        <v>1785</v>
      </c>
      <c r="C8" s="339">
        <v>2</v>
      </c>
      <c r="D8" s="339" t="s">
        <v>80</v>
      </c>
      <c r="E8" s="339">
        <v>52</v>
      </c>
      <c r="F8" s="339">
        <v>30</v>
      </c>
      <c r="G8" s="339">
        <v>6</v>
      </c>
      <c r="H8" s="339"/>
      <c r="I8" s="339">
        <v>3</v>
      </c>
      <c r="J8" s="339">
        <v>13</v>
      </c>
      <c r="K8" s="339" t="s">
        <v>1697</v>
      </c>
      <c r="L8" s="351">
        <v>105</v>
      </c>
      <c r="M8" s="339">
        <v>61</v>
      </c>
      <c r="N8" s="339" t="s">
        <v>1698</v>
      </c>
      <c r="O8" s="339">
        <v>36</v>
      </c>
      <c r="P8" s="339" t="s">
        <v>1699</v>
      </c>
      <c r="Q8" s="339">
        <v>5</v>
      </c>
      <c r="R8" s="168"/>
      <c r="S8" s="362">
        <v>15</v>
      </c>
      <c r="T8" s="372" t="s">
        <v>1785</v>
      </c>
      <c r="U8" s="339">
        <v>1</v>
      </c>
      <c r="V8" s="339" t="s">
        <v>80</v>
      </c>
      <c r="W8" s="339">
        <v>26</v>
      </c>
      <c r="X8" s="339">
        <v>18</v>
      </c>
      <c r="Y8" s="339">
        <v>3</v>
      </c>
      <c r="Z8" s="339"/>
      <c r="AA8" s="339">
        <v>0</v>
      </c>
      <c r="AB8" s="339">
        <v>5</v>
      </c>
      <c r="AC8" s="352">
        <v>3.9090277777777778</v>
      </c>
      <c r="AD8" s="351">
        <v>60</v>
      </c>
      <c r="AE8" s="339">
        <v>36</v>
      </c>
      <c r="AF8" s="339" t="s">
        <v>1756</v>
      </c>
      <c r="AG8" s="339">
        <v>9</v>
      </c>
      <c r="AH8" s="339" t="s">
        <v>1757</v>
      </c>
      <c r="AI8" s="339">
        <v>2</v>
      </c>
      <c r="AJ8" s="168"/>
      <c r="AK8" s="362">
        <v>15</v>
      </c>
      <c r="AL8" s="372" t="s">
        <v>1785</v>
      </c>
      <c r="AM8" s="339">
        <v>3</v>
      </c>
      <c r="AN8" s="339" t="s">
        <v>80</v>
      </c>
      <c r="AO8" s="339">
        <v>26</v>
      </c>
      <c r="AP8" s="339">
        <v>12</v>
      </c>
      <c r="AQ8" s="339">
        <v>3</v>
      </c>
      <c r="AR8" s="339"/>
      <c r="AS8" s="339">
        <v>3</v>
      </c>
      <c r="AT8" s="339">
        <v>8</v>
      </c>
      <c r="AU8" s="339" t="s">
        <v>1734</v>
      </c>
      <c r="AV8" s="351">
        <v>45</v>
      </c>
      <c r="AW8" s="339">
        <v>25</v>
      </c>
      <c r="AX8" s="339" t="s">
        <v>1459</v>
      </c>
      <c r="AY8" s="339">
        <v>27</v>
      </c>
      <c r="AZ8" s="339" t="s">
        <v>1559</v>
      </c>
      <c r="BA8" s="339">
        <v>3</v>
      </c>
      <c r="BB8" s="16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row>
    <row r="9" spans="1:346" s="2" customFormat="1" ht="18.600000000000001" thickBot="1" x14ac:dyDescent="0.4">
      <c r="A9" s="362">
        <v>14</v>
      </c>
      <c r="B9" s="372" t="s">
        <v>2928</v>
      </c>
      <c r="C9" s="339">
        <v>11</v>
      </c>
      <c r="D9" s="339" t="s">
        <v>80</v>
      </c>
      <c r="E9" s="339">
        <v>52</v>
      </c>
      <c r="F9" s="339">
        <v>16</v>
      </c>
      <c r="G9" s="339">
        <v>8</v>
      </c>
      <c r="H9" s="339"/>
      <c r="I9" s="339">
        <v>7</v>
      </c>
      <c r="J9" s="339">
        <v>21</v>
      </c>
      <c r="K9" s="339" t="s">
        <v>1811</v>
      </c>
      <c r="L9" s="351">
        <v>71</v>
      </c>
      <c r="M9" s="339">
        <v>39</v>
      </c>
      <c r="N9" s="366">
        <v>43601</v>
      </c>
      <c r="O9" s="339">
        <v>34</v>
      </c>
      <c r="P9" s="339" t="s">
        <v>1812</v>
      </c>
      <c r="Q9" s="339">
        <v>4</v>
      </c>
      <c r="R9" s="168"/>
      <c r="S9" s="362">
        <v>14</v>
      </c>
      <c r="T9" s="372" t="s">
        <v>2928</v>
      </c>
      <c r="U9" s="339">
        <v>5</v>
      </c>
      <c r="V9" s="339" t="s">
        <v>80</v>
      </c>
      <c r="W9" s="339">
        <v>26</v>
      </c>
      <c r="X9" s="339">
        <v>13</v>
      </c>
      <c r="Y9" s="339">
        <v>5</v>
      </c>
      <c r="Z9" s="339"/>
      <c r="AA9" s="339">
        <v>3</v>
      </c>
      <c r="AB9" s="339">
        <v>5</v>
      </c>
      <c r="AC9" s="352">
        <v>2.7826388888888887</v>
      </c>
      <c r="AD9" s="351">
        <v>52</v>
      </c>
      <c r="AE9" s="339">
        <v>25</v>
      </c>
      <c r="AF9" s="366">
        <v>43696</v>
      </c>
      <c r="AG9" s="339">
        <v>16</v>
      </c>
      <c r="AH9" s="339" t="s">
        <v>1856</v>
      </c>
      <c r="AI9" s="339">
        <v>1</v>
      </c>
      <c r="AJ9" s="168"/>
      <c r="AK9" s="362">
        <v>14</v>
      </c>
      <c r="AL9" s="372" t="s">
        <v>2928</v>
      </c>
      <c r="AM9" s="339">
        <v>13</v>
      </c>
      <c r="AN9" s="339" t="s">
        <v>80</v>
      </c>
      <c r="AO9" s="339">
        <v>26</v>
      </c>
      <c r="AP9" s="339">
        <v>3</v>
      </c>
      <c r="AQ9" s="339">
        <v>3</v>
      </c>
      <c r="AR9" s="339"/>
      <c r="AS9" s="339">
        <v>4</v>
      </c>
      <c r="AT9" s="339">
        <v>16</v>
      </c>
      <c r="AU9" s="339" t="s">
        <v>1844</v>
      </c>
      <c r="AV9" s="351">
        <v>19</v>
      </c>
      <c r="AW9" s="339">
        <v>14</v>
      </c>
      <c r="AX9" s="367">
        <v>18598</v>
      </c>
      <c r="AY9" s="339">
        <v>18</v>
      </c>
      <c r="AZ9" s="339" t="s">
        <v>1845</v>
      </c>
      <c r="BA9" s="339">
        <v>3</v>
      </c>
      <c r="BB9" s="168"/>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row>
    <row r="10" spans="1:346" s="2" customFormat="1" ht="18.600000000000001" thickBot="1" x14ac:dyDescent="0.4">
      <c r="A10" s="362">
        <v>13</v>
      </c>
      <c r="B10" s="372" t="s">
        <v>1974</v>
      </c>
      <c r="C10" s="339">
        <v>6</v>
      </c>
      <c r="D10" s="339" t="s">
        <v>80</v>
      </c>
      <c r="E10" s="339">
        <v>52</v>
      </c>
      <c r="F10" s="339">
        <v>20</v>
      </c>
      <c r="G10" s="339">
        <v>9</v>
      </c>
      <c r="H10" s="339"/>
      <c r="I10" s="339">
        <v>5</v>
      </c>
      <c r="J10" s="339">
        <v>18</v>
      </c>
      <c r="K10" s="339" t="s">
        <v>1889</v>
      </c>
      <c r="L10" s="351">
        <v>83</v>
      </c>
      <c r="M10" s="339">
        <v>50</v>
      </c>
      <c r="N10" s="339" t="s">
        <v>1890</v>
      </c>
      <c r="O10" s="339">
        <v>46</v>
      </c>
      <c r="P10" s="339" t="s">
        <v>1891</v>
      </c>
      <c r="Q10" s="339">
        <v>8</v>
      </c>
      <c r="R10" s="168"/>
      <c r="S10" s="362">
        <v>13</v>
      </c>
      <c r="T10" s="372" t="s">
        <v>1974</v>
      </c>
      <c r="U10" s="339">
        <v>3</v>
      </c>
      <c r="V10" s="339" t="s">
        <v>80</v>
      </c>
      <c r="W10" s="339">
        <v>26</v>
      </c>
      <c r="X10" s="339">
        <v>12</v>
      </c>
      <c r="Y10" s="339">
        <v>6</v>
      </c>
      <c r="Z10" s="339"/>
      <c r="AA10" s="339">
        <v>2</v>
      </c>
      <c r="AB10" s="339">
        <v>6</v>
      </c>
      <c r="AC10" s="339" t="s">
        <v>1948</v>
      </c>
      <c r="AD10" s="351">
        <v>50</v>
      </c>
      <c r="AE10" s="339">
        <v>31</v>
      </c>
      <c r="AF10" s="339" t="s">
        <v>1949</v>
      </c>
      <c r="AG10" s="339">
        <v>17</v>
      </c>
      <c r="AH10" s="339" t="s">
        <v>1950</v>
      </c>
      <c r="AI10" s="339">
        <v>2</v>
      </c>
      <c r="AJ10" s="168"/>
      <c r="AK10" s="362">
        <v>13</v>
      </c>
      <c r="AL10" s="372" t="s">
        <v>1974</v>
      </c>
      <c r="AM10" s="339">
        <v>5</v>
      </c>
      <c r="AN10" s="339" t="s">
        <v>80</v>
      </c>
      <c r="AO10" s="339">
        <v>26</v>
      </c>
      <c r="AP10" s="339">
        <v>8</v>
      </c>
      <c r="AQ10" s="339">
        <v>3</v>
      </c>
      <c r="AR10" s="339"/>
      <c r="AS10" s="339">
        <v>3</v>
      </c>
      <c r="AT10" s="339">
        <v>12</v>
      </c>
      <c r="AU10" s="339" t="s">
        <v>1922</v>
      </c>
      <c r="AV10" s="351">
        <v>33</v>
      </c>
      <c r="AW10" s="339">
        <v>19</v>
      </c>
      <c r="AX10" s="339" t="s">
        <v>1481</v>
      </c>
      <c r="AY10" s="339">
        <v>29</v>
      </c>
      <c r="AZ10" s="339" t="s">
        <v>1923</v>
      </c>
      <c r="BA10" s="339">
        <v>6</v>
      </c>
      <c r="BB10" s="168"/>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row>
    <row r="11" spans="1:346" s="2" customFormat="1" ht="18.600000000000001" thickBot="1" x14ac:dyDescent="0.4">
      <c r="A11" s="362">
        <v>12</v>
      </c>
      <c r="B11" s="372" t="s">
        <v>2061</v>
      </c>
      <c r="C11" s="339">
        <v>13</v>
      </c>
      <c r="D11" s="339" t="s">
        <v>80</v>
      </c>
      <c r="E11" s="339">
        <v>52</v>
      </c>
      <c r="F11" s="339">
        <v>14</v>
      </c>
      <c r="G11" s="339">
        <v>9</v>
      </c>
      <c r="H11" s="339"/>
      <c r="I11" s="339">
        <v>4</v>
      </c>
      <c r="J11" s="339">
        <v>25</v>
      </c>
      <c r="K11" s="339" t="s">
        <v>2004</v>
      </c>
      <c r="L11" s="351">
        <v>64</v>
      </c>
      <c r="M11" s="339">
        <v>43</v>
      </c>
      <c r="N11" s="339" t="s">
        <v>1407</v>
      </c>
      <c r="O11" s="339">
        <v>52</v>
      </c>
      <c r="P11" s="339" t="s">
        <v>2005</v>
      </c>
      <c r="Q11" s="339">
        <v>6</v>
      </c>
      <c r="R11" s="168"/>
      <c r="S11" s="362">
        <v>12</v>
      </c>
      <c r="T11" s="372" t="s">
        <v>2061</v>
      </c>
      <c r="U11" s="339">
        <v>11</v>
      </c>
      <c r="V11" s="339" t="s">
        <v>80</v>
      </c>
      <c r="W11" s="339">
        <v>26</v>
      </c>
      <c r="X11" s="339">
        <v>9</v>
      </c>
      <c r="Y11" s="339">
        <v>7</v>
      </c>
      <c r="Z11" s="339"/>
      <c r="AA11" s="339">
        <v>3</v>
      </c>
      <c r="AB11" s="339">
        <v>7</v>
      </c>
      <c r="AC11" s="339" t="s">
        <v>2052</v>
      </c>
      <c r="AD11" s="351">
        <v>44</v>
      </c>
      <c r="AE11" s="339">
        <v>23</v>
      </c>
      <c r="AF11" s="339" t="s">
        <v>1908</v>
      </c>
      <c r="AG11" s="339">
        <v>21</v>
      </c>
      <c r="AH11" s="339" t="s">
        <v>2053</v>
      </c>
      <c r="AI11" s="339">
        <v>4</v>
      </c>
      <c r="AJ11" s="168"/>
      <c r="AK11" s="362">
        <v>12</v>
      </c>
      <c r="AL11" s="372" t="s">
        <v>2061</v>
      </c>
      <c r="AM11" s="339">
        <v>13</v>
      </c>
      <c r="AN11" s="339" t="s">
        <v>80</v>
      </c>
      <c r="AO11" s="339">
        <v>26</v>
      </c>
      <c r="AP11" s="339">
        <v>5</v>
      </c>
      <c r="AQ11" s="339">
        <v>2</v>
      </c>
      <c r="AR11" s="339"/>
      <c r="AS11" s="339">
        <v>1</v>
      </c>
      <c r="AT11" s="339">
        <v>18</v>
      </c>
      <c r="AU11" s="339" t="s">
        <v>2033</v>
      </c>
      <c r="AV11" s="351">
        <v>20</v>
      </c>
      <c r="AW11" s="339">
        <v>20</v>
      </c>
      <c r="AX11" s="339" t="s">
        <v>2034</v>
      </c>
      <c r="AY11" s="339">
        <v>31</v>
      </c>
      <c r="AZ11" s="339" t="s">
        <v>2035</v>
      </c>
      <c r="BA11" s="339">
        <v>2</v>
      </c>
      <c r="BB11" s="168"/>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row>
    <row r="12" spans="1:346" s="2" customFormat="1" ht="28.2" thickBot="1" x14ac:dyDescent="0.4">
      <c r="A12" s="362">
        <v>11</v>
      </c>
      <c r="B12" s="372" t="s">
        <v>2138</v>
      </c>
      <c r="C12" s="339">
        <v>8</v>
      </c>
      <c r="D12" s="339" t="s">
        <v>2078</v>
      </c>
      <c r="E12" s="339">
        <v>52</v>
      </c>
      <c r="F12" s="339">
        <v>23</v>
      </c>
      <c r="G12" s="339">
        <v>2</v>
      </c>
      <c r="H12" s="339"/>
      <c r="I12" s="339">
        <v>4</v>
      </c>
      <c r="J12" s="339">
        <v>23</v>
      </c>
      <c r="K12" s="339" t="s">
        <v>2079</v>
      </c>
      <c r="L12" s="351">
        <v>77</v>
      </c>
      <c r="M12" s="339">
        <v>48</v>
      </c>
      <c r="N12" s="339" t="s">
        <v>1525</v>
      </c>
      <c r="O12" s="339">
        <v>48</v>
      </c>
      <c r="P12" s="339" t="s">
        <v>2080</v>
      </c>
      <c r="Q12" s="339">
        <v>6</v>
      </c>
      <c r="R12" s="168"/>
      <c r="S12" s="362">
        <v>11</v>
      </c>
      <c r="T12" s="372" t="s">
        <v>2138</v>
      </c>
      <c r="U12" s="339">
        <v>6</v>
      </c>
      <c r="V12" s="339" t="s">
        <v>2078</v>
      </c>
      <c r="W12" s="339">
        <v>26</v>
      </c>
      <c r="X12" s="339">
        <v>17</v>
      </c>
      <c r="Y12" s="339">
        <v>0</v>
      </c>
      <c r="Z12" s="339"/>
      <c r="AA12" s="339">
        <v>1</v>
      </c>
      <c r="AB12" s="339">
        <v>8</v>
      </c>
      <c r="AC12" s="352">
        <v>2.8722222222222222</v>
      </c>
      <c r="AD12" s="351">
        <v>52</v>
      </c>
      <c r="AE12" s="339">
        <v>30</v>
      </c>
      <c r="AF12" s="339" t="s">
        <v>1878</v>
      </c>
      <c r="AG12" s="339">
        <v>14</v>
      </c>
      <c r="AH12" s="339" t="s">
        <v>2121</v>
      </c>
      <c r="AI12" s="339">
        <v>2</v>
      </c>
      <c r="AJ12" s="168"/>
      <c r="AK12" s="362">
        <v>11</v>
      </c>
      <c r="AL12" s="372" t="s">
        <v>2138</v>
      </c>
      <c r="AM12" s="339">
        <v>11</v>
      </c>
      <c r="AN12" s="339" t="s">
        <v>2078</v>
      </c>
      <c r="AO12" s="339">
        <v>26</v>
      </c>
      <c r="AP12" s="339">
        <v>6</v>
      </c>
      <c r="AQ12" s="339">
        <v>2</v>
      </c>
      <c r="AR12" s="339"/>
      <c r="AS12" s="339">
        <v>3</v>
      </c>
      <c r="AT12" s="339">
        <v>15</v>
      </c>
      <c r="AU12" s="339" t="s">
        <v>2108</v>
      </c>
      <c r="AV12" s="351">
        <v>25</v>
      </c>
      <c r="AW12" s="339">
        <v>18</v>
      </c>
      <c r="AX12" s="366">
        <v>43662</v>
      </c>
      <c r="AY12" s="339">
        <v>34</v>
      </c>
      <c r="AZ12" s="339" t="s">
        <v>2109</v>
      </c>
      <c r="BA12" s="339">
        <v>4</v>
      </c>
      <c r="BB12" s="168"/>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row>
    <row r="13" spans="1:346" s="2" customFormat="1" ht="28.2" thickBot="1" x14ac:dyDescent="0.4">
      <c r="A13" s="362">
        <v>10</v>
      </c>
      <c r="B13" s="372" t="s">
        <v>2221</v>
      </c>
      <c r="C13" s="339">
        <v>10</v>
      </c>
      <c r="D13" s="339" t="s">
        <v>2078</v>
      </c>
      <c r="E13" s="339">
        <v>52</v>
      </c>
      <c r="F13" s="339">
        <v>19</v>
      </c>
      <c r="G13" s="339">
        <v>4</v>
      </c>
      <c r="H13" s="339"/>
      <c r="I13" s="339">
        <v>5</v>
      </c>
      <c r="J13" s="339">
        <v>24</v>
      </c>
      <c r="K13" s="339" t="s">
        <v>2159</v>
      </c>
      <c r="L13" s="351">
        <v>70</v>
      </c>
      <c r="M13" s="339">
        <v>53</v>
      </c>
      <c r="N13" s="339" t="s">
        <v>2160</v>
      </c>
      <c r="O13" s="339">
        <v>55</v>
      </c>
      <c r="P13" s="339" t="s">
        <v>2161</v>
      </c>
      <c r="Q13" s="339">
        <v>12</v>
      </c>
      <c r="R13" s="168"/>
      <c r="S13" s="362">
        <v>10</v>
      </c>
      <c r="T13" s="372" t="s">
        <v>2221</v>
      </c>
      <c r="U13" s="339">
        <v>13</v>
      </c>
      <c r="V13" s="339" t="s">
        <v>2078</v>
      </c>
      <c r="W13" s="339">
        <v>26</v>
      </c>
      <c r="X13" s="339">
        <v>10</v>
      </c>
      <c r="Y13" s="339">
        <v>2</v>
      </c>
      <c r="Z13" s="339"/>
      <c r="AA13" s="339">
        <v>3</v>
      </c>
      <c r="AB13" s="339">
        <v>11</v>
      </c>
      <c r="AC13" s="339" t="s">
        <v>2216</v>
      </c>
      <c r="AD13" s="351">
        <v>37</v>
      </c>
      <c r="AE13" s="339">
        <v>27</v>
      </c>
      <c r="AF13" s="339" t="s">
        <v>2217</v>
      </c>
      <c r="AG13" s="339">
        <v>27</v>
      </c>
      <c r="AH13" s="339" t="s">
        <v>2218</v>
      </c>
      <c r="AI13" s="339">
        <v>6</v>
      </c>
      <c r="AJ13" s="168"/>
      <c r="AK13" s="362">
        <v>10</v>
      </c>
      <c r="AL13" s="372" t="s">
        <v>2221</v>
      </c>
      <c r="AM13" s="339">
        <v>9</v>
      </c>
      <c r="AN13" s="339" t="s">
        <v>2078</v>
      </c>
      <c r="AO13" s="339">
        <v>26</v>
      </c>
      <c r="AP13" s="339">
        <v>9</v>
      </c>
      <c r="AQ13" s="339">
        <v>2</v>
      </c>
      <c r="AR13" s="339"/>
      <c r="AS13" s="339">
        <v>2</v>
      </c>
      <c r="AT13" s="339">
        <v>13</v>
      </c>
      <c r="AU13" s="339" t="s">
        <v>2184</v>
      </c>
      <c r="AV13" s="351">
        <v>33</v>
      </c>
      <c r="AW13" s="339">
        <v>26</v>
      </c>
      <c r="AX13" s="339" t="s">
        <v>2185</v>
      </c>
      <c r="AY13" s="339">
        <v>28</v>
      </c>
      <c r="AZ13" s="339" t="s">
        <v>1936</v>
      </c>
      <c r="BA13" s="339">
        <v>6</v>
      </c>
      <c r="BB13" s="168"/>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row>
    <row r="14" spans="1:346" s="2" customFormat="1" ht="18.600000000000001" thickBot="1" x14ac:dyDescent="0.4">
      <c r="A14" s="362">
        <v>9</v>
      </c>
      <c r="B14" s="372" t="s">
        <v>2308</v>
      </c>
      <c r="C14" s="339">
        <v>3</v>
      </c>
      <c r="D14" s="339" t="s">
        <v>2227</v>
      </c>
      <c r="E14" s="339">
        <v>52</v>
      </c>
      <c r="F14" s="339">
        <v>23</v>
      </c>
      <c r="G14" s="339">
        <v>7</v>
      </c>
      <c r="H14" s="339"/>
      <c r="I14" s="339">
        <v>3</v>
      </c>
      <c r="J14" s="339">
        <v>19</v>
      </c>
      <c r="K14" s="339" t="s">
        <v>2228</v>
      </c>
      <c r="L14" s="351">
        <v>86</v>
      </c>
      <c r="M14" s="339">
        <v>57</v>
      </c>
      <c r="N14" s="339" t="s">
        <v>1544</v>
      </c>
      <c r="O14" s="339">
        <v>42</v>
      </c>
      <c r="P14" s="339" t="s">
        <v>2229</v>
      </c>
      <c r="Q14" s="339">
        <v>10</v>
      </c>
      <c r="R14" s="168"/>
      <c r="S14" s="362">
        <v>9</v>
      </c>
      <c r="T14" s="372" t="s">
        <v>2308</v>
      </c>
      <c r="U14" s="339">
        <v>5</v>
      </c>
      <c r="V14" s="339" t="s">
        <v>2227</v>
      </c>
      <c r="W14" s="339">
        <v>26</v>
      </c>
      <c r="X14" s="339">
        <v>15</v>
      </c>
      <c r="Y14" s="339">
        <v>2</v>
      </c>
      <c r="Z14" s="339"/>
      <c r="AA14" s="339">
        <v>3</v>
      </c>
      <c r="AB14" s="339">
        <v>6</v>
      </c>
      <c r="AC14" s="339" t="s">
        <v>2289</v>
      </c>
      <c r="AD14" s="351">
        <v>52</v>
      </c>
      <c r="AE14" s="339">
        <v>34</v>
      </c>
      <c r="AF14" s="339" t="s">
        <v>1541</v>
      </c>
      <c r="AG14" s="339">
        <v>15</v>
      </c>
      <c r="AH14" s="339" t="s">
        <v>2290</v>
      </c>
      <c r="AI14" s="339">
        <v>7</v>
      </c>
      <c r="AJ14" s="168"/>
      <c r="AK14" s="362">
        <v>9</v>
      </c>
      <c r="AL14" s="372" t="s">
        <v>2308</v>
      </c>
      <c r="AM14" s="339">
        <v>2</v>
      </c>
      <c r="AN14" s="339" t="s">
        <v>2227</v>
      </c>
      <c r="AO14" s="339">
        <v>26</v>
      </c>
      <c r="AP14" s="339">
        <v>8</v>
      </c>
      <c r="AQ14" s="339">
        <v>5</v>
      </c>
      <c r="AR14" s="339"/>
      <c r="AS14" s="339">
        <v>0</v>
      </c>
      <c r="AT14" s="339">
        <v>13</v>
      </c>
      <c r="AU14" s="339" t="s">
        <v>2259</v>
      </c>
      <c r="AV14" s="351">
        <v>34</v>
      </c>
      <c r="AW14" s="339">
        <v>23</v>
      </c>
      <c r="AX14" s="366">
        <v>43759</v>
      </c>
      <c r="AY14" s="339">
        <v>27</v>
      </c>
      <c r="AZ14" s="339" t="s">
        <v>2260</v>
      </c>
      <c r="BA14" s="339">
        <v>3</v>
      </c>
      <c r="BB14" s="168"/>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row>
    <row r="15" spans="1:346" s="2" customFormat="1" ht="18.600000000000001" thickBot="1" x14ac:dyDescent="0.4">
      <c r="A15" s="362">
        <v>8</v>
      </c>
      <c r="B15" s="372" t="s">
        <v>2387</v>
      </c>
      <c r="C15" s="339">
        <v>5</v>
      </c>
      <c r="D15" s="339" t="s">
        <v>2227</v>
      </c>
      <c r="E15" s="339">
        <v>52</v>
      </c>
      <c r="F15" s="339">
        <v>20</v>
      </c>
      <c r="G15" s="339">
        <v>6</v>
      </c>
      <c r="H15" s="339"/>
      <c r="I15" s="339">
        <v>8</v>
      </c>
      <c r="J15" s="339">
        <v>18</v>
      </c>
      <c r="K15" s="339" t="s">
        <v>2317</v>
      </c>
      <c r="L15" s="351">
        <v>80</v>
      </c>
      <c r="M15" s="339">
        <v>55</v>
      </c>
      <c r="N15" s="339" t="s">
        <v>2318</v>
      </c>
      <c r="O15" s="339">
        <v>52</v>
      </c>
      <c r="P15" s="339" t="s">
        <v>1546</v>
      </c>
      <c r="Q15" s="339">
        <v>8</v>
      </c>
      <c r="R15" s="168"/>
      <c r="S15" s="362">
        <v>8</v>
      </c>
      <c r="T15" s="372" t="s">
        <v>2387</v>
      </c>
      <c r="U15" s="339">
        <v>3</v>
      </c>
      <c r="V15" s="339" t="s">
        <v>2227</v>
      </c>
      <c r="W15" s="339">
        <v>26</v>
      </c>
      <c r="X15" s="339">
        <v>15</v>
      </c>
      <c r="Y15" s="339">
        <v>4</v>
      </c>
      <c r="Z15" s="339"/>
      <c r="AA15" s="339">
        <v>4</v>
      </c>
      <c r="AB15" s="339">
        <v>3</v>
      </c>
      <c r="AC15" s="352">
        <v>3.6631944444444446</v>
      </c>
      <c r="AD15" s="351">
        <v>57</v>
      </c>
      <c r="AE15" s="339">
        <v>38</v>
      </c>
      <c r="AF15" s="339" t="s">
        <v>217</v>
      </c>
      <c r="AG15" s="339">
        <v>13</v>
      </c>
      <c r="AH15" s="339" t="s">
        <v>2368</v>
      </c>
      <c r="AI15" s="339">
        <v>3</v>
      </c>
      <c r="AJ15" s="168"/>
      <c r="AK15" s="362">
        <v>8</v>
      </c>
      <c r="AL15" s="372" t="s">
        <v>2387</v>
      </c>
      <c r="AM15" s="339">
        <v>9</v>
      </c>
      <c r="AN15" s="339" t="s">
        <v>2227</v>
      </c>
      <c r="AO15" s="339">
        <v>26</v>
      </c>
      <c r="AP15" s="339">
        <v>5</v>
      </c>
      <c r="AQ15" s="339">
        <v>2</v>
      </c>
      <c r="AR15" s="339"/>
      <c r="AS15" s="339">
        <v>4</v>
      </c>
      <c r="AT15" s="339">
        <v>15</v>
      </c>
      <c r="AU15" s="339" t="s">
        <v>1783</v>
      </c>
      <c r="AV15" s="351">
        <v>23</v>
      </c>
      <c r="AW15" s="339">
        <v>17</v>
      </c>
      <c r="AX15" s="367">
        <v>45261</v>
      </c>
      <c r="AY15" s="339">
        <v>39</v>
      </c>
      <c r="AZ15" s="339" t="s">
        <v>2358</v>
      </c>
      <c r="BA15" s="339">
        <v>5</v>
      </c>
      <c r="BB15" s="168"/>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row>
    <row r="16" spans="1:346" s="2" customFormat="1" ht="18.600000000000001" thickBot="1" x14ac:dyDescent="0.4">
      <c r="A16" s="362">
        <v>7</v>
      </c>
      <c r="B16" s="372" t="s">
        <v>2469</v>
      </c>
      <c r="C16" s="339">
        <v>12</v>
      </c>
      <c r="D16" s="339" t="s">
        <v>2412</v>
      </c>
      <c r="E16" s="339">
        <v>52</v>
      </c>
      <c r="F16" s="339">
        <v>20</v>
      </c>
      <c r="G16" s="339">
        <v>4</v>
      </c>
      <c r="H16" s="339"/>
      <c r="I16" s="339">
        <v>6</v>
      </c>
      <c r="J16" s="339">
        <v>22</v>
      </c>
      <c r="K16" s="339" t="s">
        <v>2413</v>
      </c>
      <c r="L16" s="351">
        <v>74</v>
      </c>
      <c r="M16" s="339">
        <v>63</v>
      </c>
      <c r="N16" s="339" t="s">
        <v>2414</v>
      </c>
      <c r="O16" s="339">
        <v>68</v>
      </c>
      <c r="P16" s="339" t="s">
        <v>2415</v>
      </c>
      <c r="Q16" s="339">
        <v>9</v>
      </c>
      <c r="R16" s="168"/>
      <c r="S16" s="362">
        <v>7</v>
      </c>
      <c r="T16" s="372" t="s">
        <v>2469</v>
      </c>
      <c r="U16" s="339">
        <v>12</v>
      </c>
      <c r="V16" s="339" t="s">
        <v>2412</v>
      </c>
      <c r="W16" s="339">
        <v>26</v>
      </c>
      <c r="X16" s="339">
        <v>14</v>
      </c>
      <c r="Y16" s="339">
        <v>1</v>
      </c>
      <c r="Z16" s="339"/>
      <c r="AA16" s="339">
        <v>2</v>
      </c>
      <c r="AB16" s="339">
        <v>9</v>
      </c>
      <c r="AC16" s="339" t="s">
        <v>2299</v>
      </c>
      <c r="AD16" s="351">
        <v>46</v>
      </c>
      <c r="AE16" s="339">
        <v>37</v>
      </c>
      <c r="AF16" s="339" t="s">
        <v>1991</v>
      </c>
      <c r="AG16" s="339">
        <v>32</v>
      </c>
      <c r="AH16" s="339" t="s">
        <v>1600</v>
      </c>
      <c r="AI16" s="339">
        <v>5</v>
      </c>
      <c r="AJ16" s="168"/>
      <c r="AK16" s="362">
        <v>7</v>
      </c>
      <c r="AL16" s="372" t="s">
        <v>2469</v>
      </c>
      <c r="AM16" s="339">
        <v>8</v>
      </c>
      <c r="AN16" s="339" t="s">
        <v>2412</v>
      </c>
      <c r="AO16" s="339">
        <v>26</v>
      </c>
      <c r="AP16" s="339">
        <v>6</v>
      </c>
      <c r="AQ16" s="339">
        <v>3</v>
      </c>
      <c r="AR16" s="339"/>
      <c r="AS16" s="339">
        <v>4</v>
      </c>
      <c r="AT16" s="339">
        <v>13</v>
      </c>
      <c r="AU16" s="339" t="s">
        <v>1929</v>
      </c>
      <c r="AV16" s="351">
        <v>28</v>
      </c>
      <c r="AW16" s="339">
        <v>26</v>
      </c>
      <c r="AX16" s="339" t="s">
        <v>1766</v>
      </c>
      <c r="AY16" s="339">
        <v>36</v>
      </c>
      <c r="AZ16" s="339" t="s">
        <v>2436</v>
      </c>
      <c r="BA16" s="339">
        <v>4</v>
      </c>
      <c r="BB16" s="168"/>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row>
    <row r="17" spans="1:346" s="2" customFormat="1" ht="18.600000000000001" thickBot="1" x14ac:dyDescent="0.4">
      <c r="A17" s="362">
        <v>6</v>
      </c>
      <c r="B17" s="372" t="s">
        <v>2542</v>
      </c>
      <c r="C17" s="339">
        <v>12</v>
      </c>
      <c r="D17" s="339" t="s">
        <v>2412</v>
      </c>
      <c r="E17" s="339">
        <v>52</v>
      </c>
      <c r="F17" s="339">
        <v>14</v>
      </c>
      <c r="G17" s="339">
        <v>4</v>
      </c>
      <c r="H17" s="339">
        <v>5</v>
      </c>
      <c r="I17" s="339">
        <v>4</v>
      </c>
      <c r="J17" s="339">
        <v>25</v>
      </c>
      <c r="K17" s="339" t="s">
        <v>2498</v>
      </c>
      <c r="L17" s="351">
        <v>59</v>
      </c>
      <c r="M17" s="339">
        <v>30</v>
      </c>
      <c r="N17" s="367">
        <v>35004</v>
      </c>
      <c r="O17" s="339">
        <v>40</v>
      </c>
      <c r="P17" s="339" t="s">
        <v>2499</v>
      </c>
      <c r="Q17" s="339">
        <v>8</v>
      </c>
      <c r="R17" s="168"/>
      <c r="S17" s="362">
        <v>6</v>
      </c>
      <c r="T17" s="372" t="s">
        <v>2542</v>
      </c>
      <c r="U17" s="339">
        <v>10</v>
      </c>
      <c r="V17" s="339" t="s">
        <v>2412</v>
      </c>
      <c r="W17" s="339">
        <v>26</v>
      </c>
      <c r="X17" s="339">
        <v>9</v>
      </c>
      <c r="Y17" s="339">
        <v>4</v>
      </c>
      <c r="Z17" s="339">
        <v>3</v>
      </c>
      <c r="AA17" s="339">
        <v>2</v>
      </c>
      <c r="AB17" s="339">
        <v>8</v>
      </c>
      <c r="AC17" s="339" t="s">
        <v>2536</v>
      </c>
      <c r="AD17" s="351">
        <v>40</v>
      </c>
      <c r="AE17" s="339">
        <v>17</v>
      </c>
      <c r="AF17" s="366">
        <v>43628</v>
      </c>
      <c r="AG17" s="339">
        <v>18</v>
      </c>
      <c r="AH17" s="339" t="s">
        <v>1645</v>
      </c>
      <c r="AI17" s="339">
        <v>7</v>
      </c>
      <c r="AJ17" s="168"/>
      <c r="AK17" s="362">
        <v>6</v>
      </c>
      <c r="AL17" s="372" t="s">
        <v>2542</v>
      </c>
      <c r="AM17" s="339">
        <v>12</v>
      </c>
      <c r="AN17" s="339" t="s">
        <v>2412</v>
      </c>
      <c r="AO17" s="339">
        <v>26</v>
      </c>
      <c r="AP17" s="339">
        <v>5</v>
      </c>
      <c r="AQ17" s="339">
        <v>0</v>
      </c>
      <c r="AR17" s="339">
        <v>2</v>
      </c>
      <c r="AS17" s="339">
        <v>2</v>
      </c>
      <c r="AT17" s="339">
        <v>17</v>
      </c>
      <c r="AU17" s="339" t="s">
        <v>2520</v>
      </c>
      <c r="AV17" s="351">
        <v>19</v>
      </c>
      <c r="AW17" s="339">
        <v>13</v>
      </c>
      <c r="AX17" s="367">
        <v>30256</v>
      </c>
      <c r="AY17" s="339">
        <v>22</v>
      </c>
      <c r="AZ17" s="339" t="s">
        <v>2521</v>
      </c>
      <c r="BA17" s="339">
        <v>1</v>
      </c>
      <c r="BB17" s="168"/>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row>
    <row r="18" spans="1:346" s="2" customFormat="1" ht="18.600000000000001" thickBot="1" x14ac:dyDescent="0.4">
      <c r="A18" s="362">
        <v>5</v>
      </c>
      <c r="B18" s="372" t="s">
        <v>2609</v>
      </c>
      <c r="C18" s="339">
        <v>8</v>
      </c>
      <c r="D18" s="339" t="s">
        <v>2412</v>
      </c>
      <c r="E18" s="339">
        <v>52</v>
      </c>
      <c r="F18" s="339">
        <v>22</v>
      </c>
      <c r="G18" s="339">
        <v>1</v>
      </c>
      <c r="H18" s="339">
        <v>4</v>
      </c>
      <c r="I18" s="339">
        <v>2</v>
      </c>
      <c r="J18" s="339">
        <v>23</v>
      </c>
      <c r="K18" s="339" t="s">
        <v>2557</v>
      </c>
      <c r="L18" s="351">
        <v>74</v>
      </c>
      <c r="M18" s="339">
        <v>32</v>
      </c>
      <c r="N18" s="366">
        <v>43569</v>
      </c>
      <c r="O18" s="339">
        <v>23</v>
      </c>
      <c r="P18" s="339" t="s">
        <v>2558</v>
      </c>
      <c r="Q18" s="339">
        <v>7</v>
      </c>
      <c r="R18" s="168"/>
      <c r="S18" s="362">
        <v>5</v>
      </c>
      <c r="T18" s="372" t="s">
        <v>2609</v>
      </c>
      <c r="U18" s="339">
        <v>10</v>
      </c>
      <c r="V18" s="339" t="s">
        <v>2412</v>
      </c>
      <c r="W18" s="339">
        <v>26</v>
      </c>
      <c r="X18" s="339">
        <v>11</v>
      </c>
      <c r="Y18" s="339">
        <v>0</v>
      </c>
      <c r="Z18" s="339">
        <v>3</v>
      </c>
      <c r="AA18" s="339">
        <v>2</v>
      </c>
      <c r="AB18" s="339">
        <v>10</v>
      </c>
      <c r="AC18" s="339" t="s">
        <v>2602</v>
      </c>
      <c r="AD18" s="351">
        <v>38</v>
      </c>
      <c r="AE18" s="339">
        <v>18</v>
      </c>
      <c r="AF18" s="339" t="s">
        <v>2603</v>
      </c>
      <c r="AG18" s="339">
        <v>8</v>
      </c>
      <c r="AH18" s="339" t="s">
        <v>2604</v>
      </c>
      <c r="AI18" s="339">
        <v>4</v>
      </c>
      <c r="AJ18" s="168"/>
      <c r="AK18" s="362">
        <v>5</v>
      </c>
      <c r="AL18" s="372" t="s">
        <v>2609</v>
      </c>
      <c r="AM18" s="339">
        <v>6</v>
      </c>
      <c r="AN18" s="339" t="s">
        <v>2412</v>
      </c>
      <c r="AO18" s="339">
        <v>26</v>
      </c>
      <c r="AP18" s="339">
        <v>11</v>
      </c>
      <c r="AQ18" s="339">
        <v>1</v>
      </c>
      <c r="AR18" s="339">
        <v>1</v>
      </c>
      <c r="AS18" s="339">
        <v>0</v>
      </c>
      <c r="AT18" s="339">
        <v>13</v>
      </c>
      <c r="AU18" s="339" t="s">
        <v>2578</v>
      </c>
      <c r="AV18" s="351">
        <v>36</v>
      </c>
      <c r="AW18" s="339">
        <v>14</v>
      </c>
      <c r="AX18" s="339" t="s">
        <v>2579</v>
      </c>
      <c r="AY18" s="339">
        <v>15</v>
      </c>
      <c r="AZ18" s="339" t="s">
        <v>2580</v>
      </c>
      <c r="BA18" s="339">
        <v>3</v>
      </c>
      <c r="BB18" s="16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row>
    <row r="19" spans="1:346" s="2" customFormat="1" ht="18.600000000000001" thickBot="1" x14ac:dyDescent="0.4">
      <c r="A19" s="362">
        <v>4</v>
      </c>
      <c r="B19" s="372" t="s">
        <v>2689</v>
      </c>
      <c r="C19" s="339">
        <v>10</v>
      </c>
      <c r="D19" s="339" t="s">
        <v>2412</v>
      </c>
      <c r="E19" s="339">
        <v>52</v>
      </c>
      <c r="F19" s="339">
        <v>16</v>
      </c>
      <c r="G19" s="339">
        <v>2</v>
      </c>
      <c r="H19" s="339">
        <v>10</v>
      </c>
      <c r="I19" s="339">
        <v>2</v>
      </c>
      <c r="J19" s="339">
        <v>22</v>
      </c>
      <c r="K19" s="339" t="s">
        <v>2630</v>
      </c>
      <c r="L19" s="351">
        <v>64</v>
      </c>
      <c r="M19" s="339">
        <v>37</v>
      </c>
      <c r="N19" s="339" t="s">
        <v>1629</v>
      </c>
      <c r="O19" s="339">
        <v>43</v>
      </c>
      <c r="P19" s="339" t="s">
        <v>1796</v>
      </c>
      <c r="Q19" s="339">
        <v>4</v>
      </c>
      <c r="R19" s="168"/>
      <c r="S19" s="362">
        <v>4</v>
      </c>
      <c r="T19" s="372" t="s">
        <v>2689</v>
      </c>
      <c r="U19" s="339">
        <v>10</v>
      </c>
      <c r="V19" s="339" t="s">
        <v>2412</v>
      </c>
      <c r="W19" s="339">
        <v>26</v>
      </c>
      <c r="X19" s="339">
        <v>12</v>
      </c>
      <c r="Y19" s="339">
        <v>1</v>
      </c>
      <c r="Z19" s="339">
        <v>5</v>
      </c>
      <c r="AA19" s="339">
        <v>1</v>
      </c>
      <c r="AB19" s="339">
        <v>7</v>
      </c>
      <c r="AC19" s="339" t="s">
        <v>2680</v>
      </c>
      <c r="AD19" s="351">
        <v>44</v>
      </c>
      <c r="AE19" s="339">
        <v>28</v>
      </c>
      <c r="AF19" s="339" t="s">
        <v>2681</v>
      </c>
      <c r="AG19" s="339">
        <v>21</v>
      </c>
      <c r="AH19" s="339" t="s">
        <v>2682</v>
      </c>
      <c r="AI19" s="339">
        <v>3</v>
      </c>
      <c r="AJ19" s="168"/>
      <c r="AK19" s="362">
        <v>4</v>
      </c>
      <c r="AL19" s="372" t="s">
        <v>2689</v>
      </c>
      <c r="AM19" s="339">
        <v>10</v>
      </c>
      <c r="AN19" s="339" t="s">
        <v>2412</v>
      </c>
      <c r="AO19" s="339">
        <v>26</v>
      </c>
      <c r="AP19" s="339">
        <v>4</v>
      </c>
      <c r="AQ19" s="339">
        <v>1</v>
      </c>
      <c r="AR19" s="339">
        <v>5</v>
      </c>
      <c r="AS19" s="339">
        <v>1</v>
      </c>
      <c r="AT19" s="339">
        <v>15</v>
      </c>
      <c r="AU19" s="339" t="s">
        <v>2660</v>
      </c>
      <c r="AV19" s="351">
        <v>20</v>
      </c>
      <c r="AW19" s="339">
        <v>9</v>
      </c>
      <c r="AX19" s="367">
        <v>43344</v>
      </c>
      <c r="AY19" s="339">
        <v>22</v>
      </c>
      <c r="AZ19" s="339" t="s">
        <v>2661</v>
      </c>
      <c r="BA19" s="339">
        <v>1</v>
      </c>
      <c r="BB19" s="168"/>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row>
    <row r="20" spans="1:346" s="2" customFormat="1" ht="18.600000000000001" thickBot="1" x14ac:dyDescent="0.4">
      <c r="A20" s="362">
        <v>3</v>
      </c>
      <c r="B20" s="372" t="s">
        <v>2755</v>
      </c>
      <c r="C20" s="339">
        <v>11</v>
      </c>
      <c r="D20" s="339" t="s">
        <v>2412</v>
      </c>
      <c r="E20" s="339">
        <v>52</v>
      </c>
      <c r="F20" s="339">
        <v>19</v>
      </c>
      <c r="G20" s="339">
        <v>1</v>
      </c>
      <c r="H20" s="339">
        <v>6</v>
      </c>
      <c r="I20" s="339">
        <v>6</v>
      </c>
      <c r="J20" s="339">
        <v>20</v>
      </c>
      <c r="K20" s="339" t="s">
        <v>2711</v>
      </c>
      <c r="L20" s="351">
        <v>71</v>
      </c>
      <c r="M20" s="339">
        <v>44</v>
      </c>
      <c r="N20" s="339" t="s">
        <v>2712</v>
      </c>
      <c r="O20" s="339">
        <v>40</v>
      </c>
      <c r="P20" s="339" t="s">
        <v>1594</v>
      </c>
      <c r="Q20" s="339">
        <v>4</v>
      </c>
      <c r="R20" s="168"/>
      <c r="S20" s="362">
        <v>3</v>
      </c>
      <c r="T20" s="372" t="s">
        <v>2755</v>
      </c>
      <c r="U20" s="339">
        <v>10</v>
      </c>
      <c r="V20" s="339" t="s">
        <v>2412</v>
      </c>
      <c r="W20" s="339">
        <v>26</v>
      </c>
      <c r="X20" s="339">
        <v>12</v>
      </c>
      <c r="Y20" s="339">
        <v>1</v>
      </c>
      <c r="Z20" s="339">
        <v>5</v>
      </c>
      <c r="AA20" s="339">
        <v>3</v>
      </c>
      <c r="AB20" s="339">
        <v>5</v>
      </c>
      <c r="AC20" s="352">
        <v>2.911111111111111</v>
      </c>
      <c r="AD20" s="351">
        <v>46</v>
      </c>
      <c r="AE20" s="339">
        <v>21</v>
      </c>
      <c r="AF20" s="339" t="s">
        <v>2720</v>
      </c>
      <c r="AG20" s="339">
        <v>11</v>
      </c>
      <c r="AH20" s="339" t="s">
        <v>2746</v>
      </c>
      <c r="AI20" s="339">
        <v>3</v>
      </c>
      <c r="AJ20" s="168"/>
      <c r="AK20" s="362">
        <v>3</v>
      </c>
      <c r="AL20" s="372" t="s">
        <v>2755</v>
      </c>
      <c r="AM20" s="339">
        <v>10</v>
      </c>
      <c r="AN20" s="339" t="s">
        <v>2412</v>
      </c>
      <c r="AO20" s="339">
        <v>26</v>
      </c>
      <c r="AP20" s="339">
        <v>7</v>
      </c>
      <c r="AQ20" s="339">
        <v>0</v>
      </c>
      <c r="AR20" s="339">
        <v>1</v>
      </c>
      <c r="AS20" s="339">
        <v>3</v>
      </c>
      <c r="AT20" s="339">
        <v>15</v>
      </c>
      <c r="AU20" s="339" t="s">
        <v>2728</v>
      </c>
      <c r="AV20" s="351">
        <v>25</v>
      </c>
      <c r="AW20" s="339">
        <v>23</v>
      </c>
      <c r="AX20" s="339" t="s">
        <v>2729</v>
      </c>
      <c r="AY20" s="339">
        <v>29</v>
      </c>
      <c r="AZ20" s="339" t="s">
        <v>1807</v>
      </c>
      <c r="BA20" s="339">
        <v>1</v>
      </c>
      <c r="BB20" s="168"/>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row>
    <row r="21" spans="1:346" s="2" customFormat="1" ht="18.600000000000001" thickBot="1" x14ac:dyDescent="0.4">
      <c r="A21" s="362">
        <v>2</v>
      </c>
      <c r="B21" s="372" t="s">
        <v>2791</v>
      </c>
      <c r="C21" s="339">
        <v>13</v>
      </c>
      <c r="D21" s="339" t="s">
        <v>2412</v>
      </c>
      <c r="E21" s="339">
        <v>52</v>
      </c>
      <c r="F21" s="339">
        <v>16</v>
      </c>
      <c r="G21" s="339">
        <v>0</v>
      </c>
      <c r="H21" s="339">
        <v>3</v>
      </c>
      <c r="I21" s="339">
        <v>4</v>
      </c>
      <c r="J21" s="339">
        <v>29</v>
      </c>
      <c r="K21" s="339" t="s">
        <v>2769</v>
      </c>
      <c r="L21" s="351">
        <v>55</v>
      </c>
      <c r="M21" s="339"/>
      <c r="N21" s="339"/>
      <c r="O21" s="339"/>
      <c r="P21" s="339"/>
      <c r="Q21" s="339"/>
      <c r="R21" s="168"/>
      <c r="S21" s="362">
        <v>2</v>
      </c>
      <c r="T21" s="372" t="s">
        <v>2791</v>
      </c>
      <c r="U21" s="339">
        <v>9</v>
      </c>
      <c r="V21" s="339" t="s">
        <v>2412</v>
      </c>
      <c r="W21" s="339">
        <v>26</v>
      </c>
      <c r="X21" s="339">
        <v>12</v>
      </c>
      <c r="Y21" s="339">
        <v>0</v>
      </c>
      <c r="Z21" s="339">
        <v>2</v>
      </c>
      <c r="AA21" s="339">
        <v>4</v>
      </c>
      <c r="AB21" s="339">
        <v>8</v>
      </c>
      <c r="AC21" s="339" t="s">
        <v>1486</v>
      </c>
      <c r="AD21" s="351">
        <v>42</v>
      </c>
      <c r="AE21" s="339"/>
      <c r="AF21" s="339"/>
      <c r="AG21" s="339"/>
      <c r="AH21" s="339"/>
      <c r="AI21" s="339"/>
      <c r="AJ21" s="168"/>
      <c r="AK21" s="362">
        <v>2</v>
      </c>
      <c r="AL21" s="372" t="s">
        <v>2791</v>
      </c>
      <c r="AM21" s="339">
        <v>14</v>
      </c>
      <c r="AN21" s="339" t="s">
        <v>2412</v>
      </c>
      <c r="AO21" s="339">
        <v>26</v>
      </c>
      <c r="AP21" s="339">
        <v>4</v>
      </c>
      <c r="AQ21" s="339">
        <v>0</v>
      </c>
      <c r="AR21" s="339">
        <v>1</v>
      </c>
      <c r="AS21" s="339">
        <v>0</v>
      </c>
      <c r="AT21" s="339">
        <v>21</v>
      </c>
      <c r="AU21" s="339" t="s">
        <v>2782</v>
      </c>
      <c r="AV21" s="351">
        <v>13</v>
      </c>
      <c r="AW21" s="339"/>
      <c r="AX21" s="339"/>
      <c r="AY21" s="339"/>
      <c r="AZ21" s="339"/>
      <c r="BA21" s="339"/>
      <c r="BB21" s="168"/>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row>
    <row r="22" spans="1:346" s="2" customFormat="1" ht="18.600000000000001" thickBot="1" x14ac:dyDescent="0.4">
      <c r="A22" s="362">
        <v>1</v>
      </c>
      <c r="B22" s="372" t="s">
        <v>2825</v>
      </c>
      <c r="C22" s="339">
        <v>4</v>
      </c>
      <c r="D22" s="339" t="s">
        <v>2412</v>
      </c>
      <c r="E22" s="339">
        <v>52</v>
      </c>
      <c r="F22" s="339">
        <v>22</v>
      </c>
      <c r="G22" s="339">
        <v>3</v>
      </c>
      <c r="H22" s="339">
        <v>7</v>
      </c>
      <c r="I22" s="339">
        <v>2</v>
      </c>
      <c r="J22" s="339">
        <v>18</v>
      </c>
      <c r="K22" s="339" t="s">
        <v>2795</v>
      </c>
      <c r="L22" s="351">
        <v>81</v>
      </c>
      <c r="M22" s="339"/>
      <c r="N22" s="339"/>
      <c r="O22" s="339"/>
      <c r="P22" s="339"/>
      <c r="Q22" s="339"/>
      <c r="R22" s="168"/>
      <c r="S22" s="362">
        <v>1</v>
      </c>
      <c r="T22" s="372" t="s">
        <v>2825</v>
      </c>
      <c r="U22" s="339">
        <v>9</v>
      </c>
      <c r="V22" s="339" t="s">
        <v>2412</v>
      </c>
      <c r="W22" s="339">
        <v>26</v>
      </c>
      <c r="X22" s="339">
        <v>12</v>
      </c>
      <c r="Y22" s="339">
        <v>3</v>
      </c>
      <c r="Z22" s="339">
        <v>3</v>
      </c>
      <c r="AA22" s="339">
        <v>2</v>
      </c>
      <c r="AB22" s="339">
        <v>6</v>
      </c>
      <c r="AC22" s="352">
        <v>3.3277777777777775</v>
      </c>
      <c r="AD22" s="351">
        <v>47</v>
      </c>
      <c r="AE22" s="339"/>
      <c r="AF22" s="339"/>
      <c r="AG22" s="339"/>
      <c r="AH22" s="339"/>
      <c r="AI22" s="339"/>
      <c r="AJ22" s="168"/>
      <c r="AK22" s="362">
        <v>1</v>
      </c>
      <c r="AL22" s="372" t="s">
        <v>2825</v>
      </c>
      <c r="AM22" s="339">
        <v>3</v>
      </c>
      <c r="AN22" s="339" t="s">
        <v>2412</v>
      </c>
      <c r="AO22" s="339">
        <v>26</v>
      </c>
      <c r="AP22" s="339">
        <v>10</v>
      </c>
      <c r="AQ22" s="339">
        <v>0</v>
      </c>
      <c r="AR22" s="339">
        <v>4</v>
      </c>
      <c r="AS22" s="339">
        <v>0</v>
      </c>
      <c r="AT22" s="339">
        <v>12</v>
      </c>
      <c r="AU22" s="339" t="s">
        <v>2807</v>
      </c>
      <c r="AV22" s="351">
        <v>34</v>
      </c>
      <c r="AW22" s="339"/>
      <c r="AX22" s="339"/>
      <c r="AY22" s="339"/>
      <c r="AZ22" s="339"/>
      <c r="BA22" s="339"/>
      <c r="BB22" s="168"/>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row>
    <row r="23" spans="1:346" s="2" customFormat="1" ht="18.600000000000001" thickBot="1" x14ac:dyDescent="0.4">
      <c r="A23" s="362" t="s">
        <v>1152</v>
      </c>
      <c r="B23" s="372"/>
      <c r="C23" s="342">
        <f>SUBTOTAL(105,Tabulka6[Umístění])</f>
        <v>2</v>
      </c>
      <c r="D23" s="342"/>
      <c r="E23" s="342">
        <f>SUBTOTAL(105,Tabulka6[Z])</f>
        <v>52</v>
      </c>
      <c r="F23" s="342">
        <f>SUBTOTAL(105,Tabulka6[V])</f>
        <v>10</v>
      </c>
      <c r="G23" s="342">
        <f>SUBTOTAL(105,Tabulka6[VP])</f>
        <v>0</v>
      </c>
      <c r="H23" s="342">
        <f>SUBTOTAL(105,Tabulka6[R])</f>
        <v>3</v>
      </c>
      <c r="I23" s="342">
        <f>SUBTOTAL(105,Tabulka6[PP])</f>
        <v>1</v>
      </c>
      <c r="J23" s="342">
        <f>SUBTOTAL(105,Tabulka6[P])</f>
        <v>13</v>
      </c>
      <c r="K23" s="342"/>
      <c r="L23" s="343">
        <f>SUBTOTAL(105,Tabulka6[B])</f>
        <v>50</v>
      </c>
      <c r="M23" s="342">
        <f>SUBTOTAL(105,Tabulka6[GPř])</f>
        <v>30</v>
      </c>
      <c r="N23" s="342"/>
      <c r="O23" s="342">
        <f>SUBTOTAL(105,Tabulka6[OGOs])</f>
        <v>23</v>
      </c>
      <c r="P23" s="342"/>
      <c r="Q23" s="342">
        <f>SUBTOTAL(105,Tabulka6[VGOs])</f>
        <v>1</v>
      </c>
      <c r="R23" s="168"/>
      <c r="S23" s="362" t="s">
        <v>1152</v>
      </c>
      <c r="T23" s="372"/>
      <c r="U23" s="342">
        <f>SUBTOTAL(105,Tabulka68[Umístění])</f>
        <v>1</v>
      </c>
      <c r="V23" s="342"/>
      <c r="W23" s="342">
        <f>SUBTOTAL(105,Tabulka68[Z])</f>
        <v>26</v>
      </c>
      <c r="X23" s="342">
        <f>SUBTOTAL(105,Tabulka68[V])</f>
        <v>5</v>
      </c>
      <c r="Y23" s="342">
        <f>SUBTOTAL(105,Tabulka68[VP])</f>
        <v>0</v>
      </c>
      <c r="Z23" s="342">
        <f>SUBTOTAL(105,Tabulka68[R])</f>
        <v>2</v>
      </c>
      <c r="AA23" s="342">
        <f>SUBTOTAL(105,Tabulka68[PP])</f>
        <v>0</v>
      </c>
      <c r="AB23" s="342">
        <f>SUBTOTAL(105,Tabulka68[P])</f>
        <v>3</v>
      </c>
      <c r="AC23" s="342"/>
      <c r="AD23" s="343">
        <f>SUBTOTAL(105,Tabulka68[B])</f>
        <v>30</v>
      </c>
      <c r="AE23" s="342">
        <f>SUBTOTAL(105,Tabulka68[GPř])</f>
        <v>17</v>
      </c>
      <c r="AF23" s="342"/>
      <c r="AG23" s="342">
        <f>SUBTOTAL(105,Tabulka68[OGOs])</f>
        <v>8</v>
      </c>
      <c r="AH23" s="342"/>
      <c r="AI23" s="342">
        <f>SUBTOTAL(105,Tabulka68[VGOs])</f>
        <v>0</v>
      </c>
      <c r="AJ23" s="168"/>
      <c r="AK23" s="362" t="s">
        <v>1152</v>
      </c>
      <c r="AL23" s="372"/>
      <c r="AM23" s="342">
        <f>SUBTOTAL(105,Tabulka689[Umístění])</f>
        <v>2</v>
      </c>
      <c r="AN23" s="342"/>
      <c r="AO23" s="342">
        <f>SUBTOTAL(105,Tabulka689[Z])</f>
        <v>26</v>
      </c>
      <c r="AP23" s="342">
        <f>SUBTOTAL(105,Tabulka689[V])</f>
        <v>3</v>
      </c>
      <c r="AQ23" s="342">
        <f>SUBTOTAL(105,Tabulka689[VP])</f>
        <v>0</v>
      </c>
      <c r="AR23" s="342">
        <f>SUBTOTAL(105,Tabulka689[R])</f>
        <v>1</v>
      </c>
      <c r="AS23" s="342">
        <f>SUBTOTAL(105,Tabulka689[PP])</f>
        <v>0</v>
      </c>
      <c r="AT23" s="342">
        <f>SUBTOTAL(105,Tabulka689[P])</f>
        <v>8</v>
      </c>
      <c r="AU23" s="342"/>
      <c r="AV23" s="343">
        <f>SUBTOTAL(105,Tabulka689[B])</f>
        <v>13</v>
      </c>
      <c r="AW23" s="342">
        <f>SUBTOTAL(105,Tabulka689[GPř])</f>
        <v>9</v>
      </c>
      <c r="AX23" s="342"/>
      <c r="AY23" s="342">
        <f>SUBTOTAL(105,Tabulka689[OGOs])</f>
        <v>15</v>
      </c>
      <c r="AZ23" s="342"/>
      <c r="BA23" s="342">
        <f>SUBTOTAL(105,Tabulka689[VGOs])</f>
        <v>1</v>
      </c>
      <c r="BB23" s="168"/>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row>
    <row r="24" spans="1:346" s="2" customFormat="1" ht="19.2" thickTop="1" thickBot="1" x14ac:dyDescent="0.4">
      <c r="A24" s="375" t="s">
        <v>1153</v>
      </c>
      <c r="B24" s="373"/>
      <c r="C24" s="374">
        <f>SUBTOTAL(104,Tabulka6[Umístění])</f>
        <v>14</v>
      </c>
      <c r="D24" s="374"/>
      <c r="E24" s="374">
        <f>SUBTOTAL(104,Tabulka6[Z])</f>
        <v>52</v>
      </c>
      <c r="F24" s="374">
        <f>SUBTOTAL(104,Tabulka6[V])</f>
        <v>30</v>
      </c>
      <c r="G24" s="374">
        <f>SUBTOTAL(104,Tabulka6[VP])</f>
        <v>13</v>
      </c>
      <c r="H24" s="374">
        <f>SUBTOTAL(104,Tabulka6[R])</f>
        <v>10</v>
      </c>
      <c r="I24" s="374">
        <f>SUBTOTAL(104,Tabulka6[PP])</f>
        <v>8</v>
      </c>
      <c r="J24" s="374">
        <f>SUBTOTAL(104,Tabulka6[P])</f>
        <v>29</v>
      </c>
      <c r="K24" s="374"/>
      <c r="L24" s="376">
        <f>SUBTOTAL(104,Tabulka6[B])</f>
        <v>105</v>
      </c>
      <c r="M24" s="374">
        <f>SUBTOTAL(104,Tabulka6[GPř])</f>
        <v>63</v>
      </c>
      <c r="N24" s="374"/>
      <c r="O24" s="374">
        <f>SUBTOTAL(104,Tabulka6[OGOs])</f>
        <v>68</v>
      </c>
      <c r="P24" s="374"/>
      <c r="Q24" s="374">
        <f>SUBTOTAL(104,Tabulka6[VGOs])</f>
        <v>12</v>
      </c>
      <c r="R24" s="168"/>
      <c r="S24" s="375" t="s">
        <v>1153</v>
      </c>
      <c r="T24" s="373"/>
      <c r="U24" s="374">
        <f>SUBTOTAL(104,Tabulka68[Umístění])</f>
        <v>14</v>
      </c>
      <c r="V24" s="374"/>
      <c r="W24" s="374">
        <f>SUBTOTAL(104,Tabulka68[Z])</f>
        <v>26</v>
      </c>
      <c r="X24" s="374">
        <f>SUBTOTAL(104,Tabulka68[V])</f>
        <v>18</v>
      </c>
      <c r="Y24" s="374">
        <f>SUBTOTAL(104,Tabulka68[VP])</f>
        <v>11</v>
      </c>
      <c r="Z24" s="374">
        <f>SUBTOTAL(104,Tabulka68[R])</f>
        <v>5</v>
      </c>
      <c r="AA24" s="374">
        <f>SUBTOTAL(104,Tabulka68[PP])</f>
        <v>5</v>
      </c>
      <c r="AB24" s="374">
        <f>SUBTOTAL(104,Tabulka68[P])</f>
        <v>12</v>
      </c>
      <c r="AC24" s="374"/>
      <c r="AD24" s="376">
        <f>SUBTOTAL(104,Tabulka68[B])</f>
        <v>60</v>
      </c>
      <c r="AE24" s="374">
        <f>SUBTOTAL(104,Tabulka68[GPř])</f>
        <v>38</v>
      </c>
      <c r="AF24" s="374"/>
      <c r="AG24" s="374">
        <f>SUBTOTAL(104,Tabulka68[OGOs])</f>
        <v>32</v>
      </c>
      <c r="AH24" s="374"/>
      <c r="AI24" s="374">
        <f>SUBTOTAL(104,Tabulka68[VGOs])</f>
        <v>7</v>
      </c>
      <c r="AJ24" s="168"/>
      <c r="AK24" s="375" t="s">
        <v>1153</v>
      </c>
      <c r="AL24" s="373"/>
      <c r="AM24" s="374">
        <f>SUBTOTAL(104,Tabulka689[Umístění])</f>
        <v>14</v>
      </c>
      <c r="AN24" s="374"/>
      <c r="AO24" s="374">
        <f>SUBTOTAL(104,Tabulka689[Z])</f>
        <v>26</v>
      </c>
      <c r="AP24" s="374">
        <f>SUBTOTAL(104,Tabulka689[V])</f>
        <v>12</v>
      </c>
      <c r="AQ24" s="374">
        <f>SUBTOTAL(104,Tabulka689[VP])</f>
        <v>5</v>
      </c>
      <c r="AR24" s="374">
        <f>SUBTOTAL(104,Tabulka689[R])</f>
        <v>5</v>
      </c>
      <c r="AS24" s="374">
        <f>SUBTOTAL(104,Tabulka689[PP])</f>
        <v>4</v>
      </c>
      <c r="AT24" s="374">
        <f>SUBTOTAL(104,Tabulka689[P])</f>
        <v>21</v>
      </c>
      <c r="AU24" s="374"/>
      <c r="AV24" s="376">
        <f>SUBTOTAL(104,Tabulka689[B])</f>
        <v>45</v>
      </c>
      <c r="AW24" s="374">
        <f>SUBTOTAL(104,Tabulka689[GPř])</f>
        <v>26</v>
      </c>
      <c r="AX24" s="374"/>
      <c r="AY24" s="374">
        <f>SUBTOTAL(104,Tabulka689[OGOs])</f>
        <v>39</v>
      </c>
      <c r="AZ24" s="374"/>
      <c r="BA24" s="374">
        <f>SUBTOTAL(104,Tabulka689[VGOs])</f>
        <v>6</v>
      </c>
      <c r="BB24" s="168"/>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row>
    <row r="25" spans="1:346" s="2" customFormat="1" ht="18.600000000000001" thickTop="1" x14ac:dyDescent="0.35">
      <c r="A25" s="375" t="s">
        <v>2930</v>
      </c>
      <c r="B25" s="373"/>
      <c r="C25" s="374">
        <f>SUBTOTAL(101,Tabulka6[Umístění])</f>
        <v>9</v>
      </c>
      <c r="D25" s="374"/>
      <c r="E25" s="374">
        <f>SUBTOTAL(101,Tabulka6[Z])</f>
        <v>52</v>
      </c>
      <c r="F25" s="378">
        <f>SUBTOTAL(101,Tabulka6[V])</f>
        <v>18.631578947368421</v>
      </c>
      <c r="G25" s="378">
        <f>SUBTOTAL(101,Tabulka6[VP])</f>
        <v>5.3157894736842106</v>
      </c>
      <c r="H25" s="378">
        <f>SUBTOTAL(101,Tabulka6[R])</f>
        <v>5.833333333333333</v>
      </c>
      <c r="I25" s="378">
        <f>SUBTOTAL(101,Tabulka6[PP])</f>
        <v>4.1578947368421053</v>
      </c>
      <c r="J25" s="378">
        <f>SUBTOTAL(101,Tabulka6[P])</f>
        <v>22.05263157894737</v>
      </c>
      <c r="K25" s="378"/>
      <c r="L25" s="379">
        <f>SUBTOTAL(101,Tabulka6[B])</f>
        <v>72.526315789473685</v>
      </c>
      <c r="M25" s="378">
        <f>SUBTOTAL(101,Tabulka6[GPř])</f>
        <v>44.294117647058826</v>
      </c>
      <c r="N25" s="378"/>
      <c r="O25" s="378">
        <f>SUBTOTAL(101,Tabulka6[OGOs])</f>
        <v>43.117647058823529</v>
      </c>
      <c r="P25" s="378"/>
      <c r="Q25" s="378">
        <f>SUBTOTAL(101,Tabulka6[VGOs])</f>
        <v>6.2941176470588234</v>
      </c>
      <c r="R25" s="168"/>
      <c r="S25" s="375" t="s">
        <v>2930</v>
      </c>
      <c r="T25" s="373"/>
      <c r="U25" s="378">
        <f>SUBTOTAL(101,Tabulka68[Umístění])</f>
        <v>8.3157894736842106</v>
      </c>
      <c r="V25" s="374"/>
      <c r="W25" s="374">
        <f>SUBTOTAL(101,Tabulka68[Z])</f>
        <v>26</v>
      </c>
      <c r="X25" s="378">
        <f>SUBTOTAL(101,Tabulka68[V])</f>
        <v>11.789473684210526</v>
      </c>
      <c r="Y25" s="378">
        <f>SUBTOTAL(101,Tabulka68[VP])</f>
        <v>3.3157894736842106</v>
      </c>
      <c r="Z25" s="378">
        <f>SUBTOTAL(101,Tabulka68[R])</f>
        <v>3.5</v>
      </c>
      <c r="AA25" s="378">
        <f>SUBTOTAL(101,Tabulka68[PP])</f>
        <v>2.3157894736842106</v>
      </c>
      <c r="AB25" s="378">
        <f>SUBTOTAL(101,Tabulka68[P])</f>
        <v>7.4736842105263159</v>
      </c>
      <c r="AC25" s="378"/>
      <c r="AD25" s="379">
        <f>SUBTOTAL(101,Tabulka68[B])</f>
        <v>45.421052631578945</v>
      </c>
      <c r="AE25" s="378">
        <f>SUBTOTAL(101,Tabulka68[GPř])</f>
        <v>26.529411764705884</v>
      </c>
      <c r="AF25" s="378"/>
      <c r="AG25" s="378">
        <f>SUBTOTAL(101,Tabulka68[OGOs])</f>
        <v>16.705882352941178</v>
      </c>
      <c r="AH25" s="378"/>
      <c r="AI25" s="378">
        <f>SUBTOTAL(101,Tabulka68[VGOs])</f>
        <v>3.2941176470588234</v>
      </c>
      <c r="AJ25" s="168"/>
      <c r="AK25" s="375" t="s">
        <v>2930</v>
      </c>
      <c r="AL25" s="373"/>
      <c r="AM25" s="378">
        <f>SUBTOTAL(101,Tabulka689[Umístění])</f>
        <v>8.7894736842105257</v>
      </c>
      <c r="AN25" s="374"/>
      <c r="AO25" s="374">
        <f>SUBTOTAL(101,Tabulka689[Z])</f>
        <v>26</v>
      </c>
      <c r="AP25" s="378">
        <f>SUBTOTAL(101,Tabulka689[V])</f>
        <v>6.8421052631578947</v>
      </c>
      <c r="AQ25" s="378">
        <f>SUBTOTAL(101,Tabulka689[VP])</f>
        <v>2</v>
      </c>
      <c r="AR25" s="378">
        <f>SUBTOTAL(101,Tabulka689[R])</f>
        <v>2.3333333333333335</v>
      </c>
      <c r="AS25" s="378">
        <f>SUBTOTAL(101,Tabulka689[PP])</f>
        <v>1.8421052631578947</v>
      </c>
      <c r="AT25" s="378">
        <f>SUBTOTAL(101,Tabulka689[P])</f>
        <v>14.578947368421053</v>
      </c>
      <c r="AU25" s="378"/>
      <c r="AV25" s="379">
        <f>SUBTOTAL(101,Tabulka689[B])</f>
        <v>27.105263157894736</v>
      </c>
      <c r="AW25" s="378">
        <f>SUBTOTAL(101,Tabulka689[GPř])</f>
        <v>17.764705882352942</v>
      </c>
      <c r="AX25" s="378"/>
      <c r="AY25" s="378">
        <f>SUBTOTAL(101,Tabulka689[OGOs])</f>
        <v>26.411764705882351</v>
      </c>
      <c r="AZ25" s="378"/>
      <c r="BA25" s="378">
        <f>SUBTOTAL(101,Tabulka689[VGOs])</f>
        <v>3</v>
      </c>
      <c r="BB25" s="168"/>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row>
    <row r="26" spans="1:346" s="2" customFormat="1" ht="18" x14ac:dyDescent="0.35">
      <c r="A26" s="372"/>
      <c r="B26" s="372"/>
      <c r="C26" s="342"/>
      <c r="D26" s="342"/>
      <c r="E26" s="342"/>
      <c r="F26" s="342"/>
      <c r="G26" s="342"/>
      <c r="H26" s="342"/>
      <c r="I26" s="342"/>
      <c r="J26" s="342"/>
      <c r="K26" s="342"/>
      <c r="L26" s="343"/>
      <c r="M26" s="342"/>
      <c r="N26" s="342"/>
      <c r="O26" s="342"/>
      <c r="P26" s="342"/>
      <c r="Q26" s="342"/>
      <c r="R26" s="168"/>
      <c r="AG26"/>
      <c r="AH26"/>
      <c r="AJ26" s="168"/>
      <c r="BB26" s="168"/>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row>
    <row r="27" spans="1:346" ht="21" customHeight="1" x14ac:dyDescent="0.3">
      <c r="AK27" s="2"/>
      <c r="AL27" s="2"/>
      <c r="AM27" s="2"/>
      <c r="AN27" s="2"/>
      <c r="AO27" s="2"/>
      <c r="AP27" s="2"/>
      <c r="AQ27" s="2"/>
      <c r="AR27" s="2"/>
      <c r="AS27" s="2"/>
      <c r="AT27" s="2"/>
      <c r="AU27" s="2"/>
      <c r="AV27" s="2"/>
      <c r="AW27" s="2"/>
      <c r="AX27" s="2"/>
      <c r="AY27" s="2"/>
      <c r="AZ27" s="2"/>
      <c r="BA27" s="2"/>
    </row>
    <row r="28" spans="1:346" x14ac:dyDescent="0.3">
      <c r="AK28" s="2"/>
      <c r="AL28" s="2"/>
      <c r="AM28" s="2"/>
      <c r="AN28" s="2"/>
      <c r="AO28" s="2"/>
      <c r="AP28" s="2"/>
      <c r="AQ28" s="2"/>
      <c r="AR28" s="2"/>
      <c r="AS28" s="2"/>
      <c r="AT28" s="2"/>
      <c r="AU28" s="2"/>
      <c r="AV28" s="2"/>
      <c r="AY28" s="2"/>
      <c r="AZ28" s="2"/>
      <c r="BA28" s="2"/>
    </row>
    <row r="29" spans="1:346" x14ac:dyDescent="0.3">
      <c r="AK29" s="2"/>
      <c r="AL29" s="2"/>
      <c r="AM29" s="2"/>
      <c r="AN29" s="2"/>
      <c r="AO29" s="2"/>
      <c r="AP29" s="2"/>
      <c r="AQ29" s="2"/>
      <c r="AR29" s="2"/>
      <c r="AS29" s="2"/>
      <c r="AT29" s="2"/>
      <c r="AU29" s="2"/>
      <c r="AV29" s="2"/>
      <c r="AY29" s="2"/>
      <c r="AZ29" s="2"/>
      <c r="BA29" s="2"/>
    </row>
    <row r="30" spans="1:346" s="2" customFormat="1" x14ac:dyDescent="0.3">
      <c r="R30" s="168"/>
      <c r="AG30"/>
      <c r="AH30"/>
      <c r="AJ30" s="168"/>
      <c r="AW30"/>
      <c r="AX30"/>
      <c r="BB30" s="168"/>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row>
    <row r="31" spans="1:346" s="2" customFormat="1" x14ac:dyDescent="0.3">
      <c r="R31" s="168"/>
      <c r="AG31"/>
      <c r="AH31"/>
      <c r="AJ31" s="168"/>
      <c r="AW31"/>
      <c r="AX31"/>
      <c r="BB31" s="168"/>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row>
    <row r="32" spans="1:346" s="2" customFormat="1" x14ac:dyDescent="0.3">
      <c r="R32" s="168"/>
      <c r="AG32"/>
      <c r="AH32"/>
      <c r="AJ32" s="168"/>
      <c r="AW32"/>
      <c r="AX32"/>
      <c r="BB32" s="168"/>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row>
    <row r="33" spans="18:346" s="2" customFormat="1" x14ac:dyDescent="0.3">
      <c r="R33" s="168"/>
      <c r="AG33"/>
      <c r="AH33"/>
      <c r="AJ33" s="168"/>
      <c r="AW33"/>
      <c r="AX33"/>
      <c r="BB33" s="168"/>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row>
    <row r="34" spans="18:346" s="2" customFormat="1" x14ac:dyDescent="0.3">
      <c r="R34" s="168"/>
      <c r="AG34"/>
      <c r="AH34"/>
      <c r="AJ34" s="168"/>
      <c r="AW34"/>
      <c r="AX34"/>
      <c r="BB34" s="168"/>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row>
    <row r="35" spans="18:346" s="2" customFormat="1" x14ac:dyDescent="0.3">
      <c r="R35" s="168"/>
      <c r="AG35"/>
      <c r="AH35"/>
      <c r="AJ35" s="168"/>
      <c r="AW35"/>
      <c r="AX35"/>
      <c r="BB35" s="168"/>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row>
    <row r="36" spans="18:346" s="2" customFormat="1" x14ac:dyDescent="0.3">
      <c r="R36" s="168"/>
      <c r="AG36"/>
      <c r="AH36"/>
      <c r="AJ36" s="168"/>
      <c r="AW36"/>
      <c r="AX36"/>
      <c r="BB36" s="168"/>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row>
    <row r="37" spans="18:346" s="2" customFormat="1" x14ac:dyDescent="0.3">
      <c r="R37" s="168"/>
      <c r="AG37"/>
      <c r="AH37"/>
      <c r="AJ37" s="168"/>
      <c r="AW37"/>
      <c r="AX37"/>
      <c r="BB37" s="168"/>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row>
    <row r="38" spans="18:346" s="2" customFormat="1" x14ac:dyDescent="0.3">
      <c r="R38" s="168"/>
      <c r="AG38"/>
      <c r="AH38"/>
      <c r="AJ38" s="168"/>
      <c r="AW38"/>
      <c r="AX38"/>
      <c r="BB38" s="16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row>
    <row r="39" spans="18:346" s="2" customFormat="1" x14ac:dyDescent="0.3">
      <c r="R39" s="168"/>
      <c r="AG39"/>
      <c r="AH39"/>
      <c r="AJ39" s="168"/>
      <c r="AW39"/>
      <c r="AX39"/>
      <c r="BB39" s="168"/>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row>
    <row r="40" spans="18:346" s="2" customFormat="1" x14ac:dyDescent="0.3">
      <c r="R40" s="168"/>
      <c r="AG40"/>
      <c r="AH40"/>
      <c r="AJ40" s="168"/>
      <c r="AW40"/>
      <c r="AX40"/>
      <c r="BB40" s="168"/>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row>
    <row r="41" spans="18:346" s="2" customFormat="1" x14ac:dyDescent="0.3">
      <c r="R41" s="168"/>
      <c r="AG41"/>
      <c r="AH41"/>
      <c r="AJ41" s="168"/>
      <c r="AW41"/>
      <c r="AX41"/>
      <c r="BB41" s="168"/>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row>
    <row r="42" spans="18:346" s="2" customFormat="1" x14ac:dyDescent="0.3">
      <c r="R42" s="168"/>
      <c r="AG42"/>
      <c r="AH42"/>
      <c r="AJ42" s="168"/>
      <c r="AW42"/>
      <c r="AX42"/>
      <c r="BB42" s="168"/>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row>
    <row r="43" spans="18:346" s="2" customFormat="1" x14ac:dyDescent="0.3">
      <c r="R43" s="168"/>
      <c r="AG43"/>
      <c r="AH43"/>
      <c r="AJ43" s="168"/>
      <c r="AW43"/>
      <c r="AX43"/>
      <c r="BB43" s="168"/>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row>
    <row r="44" spans="18:346" s="2" customFormat="1" x14ac:dyDescent="0.3">
      <c r="R44" s="168"/>
      <c r="AG44"/>
      <c r="AH44"/>
      <c r="AJ44" s="168"/>
      <c r="AW44"/>
      <c r="AX44"/>
      <c r="BB44" s="168"/>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row>
    <row r="45" spans="18:346" s="2" customFormat="1" x14ac:dyDescent="0.3">
      <c r="R45" s="168"/>
      <c r="AG45"/>
      <c r="AH45"/>
      <c r="AJ45" s="168"/>
      <c r="AW45"/>
      <c r="AX45"/>
      <c r="BB45" s="168"/>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row>
    <row r="46" spans="18:346" s="2" customFormat="1" x14ac:dyDescent="0.3">
      <c r="R46" s="168"/>
      <c r="AG46"/>
      <c r="AH46"/>
      <c r="AJ46" s="168"/>
      <c r="AW46"/>
      <c r="AX46"/>
      <c r="BB46" s="168"/>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row>
    <row r="47" spans="18:346" s="2" customFormat="1" x14ac:dyDescent="0.3">
      <c r="R47" s="168"/>
      <c r="AG47"/>
      <c r="AH47"/>
      <c r="AJ47" s="168"/>
      <c r="AW47"/>
      <c r="AX47"/>
      <c r="BB47" s="168"/>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row>
    <row r="48" spans="18:346" s="2" customFormat="1" x14ac:dyDescent="0.3">
      <c r="R48" s="168"/>
      <c r="AG48"/>
      <c r="AH48"/>
      <c r="AJ48" s="168"/>
      <c r="AW48"/>
      <c r="AX48"/>
      <c r="BB48" s="16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row>
    <row r="49" spans="1:346" s="2" customFormat="1" x14ac:dyDescent="0.3">
      <c r="R49" s="168"/>
      <c r="AG49"/>
      <c r="AH49"/>
      <c r="AJ49" s="168"/>
      <c r="AW49"/>
      <c r="AX49"/>
      <c r="BB49" s="168"/>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row>
    <row r="50" spans="1:346" ht="20.25" customHeight="1" x14ac:dyDescent="0.3"/>
    <row r="52" spans="1:346" s="2" customFormat="1" x14ac:dyDescent="0.3">
      <c r="R52" s="168"/>
      <c r="AG52"/>
      <c r="AH52"/>
      <c r="AJ52" s="168"/>
      <c r="AW52"/>
      <c r="AX52"/>
      <c r="BB52" s="168"/>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row>
    <row r="53" spans="1:346" s="2" customFormat="1" ht="18" x14ac:dyDescent="0.35">
      <c r="A53" s="362"/>
      <c r="B53" s="372"/>
      <c r="R53" s="168"/>
      <c r="AG53"/>
      <c r="AH53"/>
      <c r="AJ53" s="168"/>
      <c r="AW53"/>
      <c r="AX53"/>
      <c r="BB53" s="168"/>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row>
    <row r="54" spans="1:346" s="2" customFormat="1" ht="18" x14ac:dyDescent="0.35">
      <c r="A54" s="362"/>
      <c r="B54" s="372"/>
      <c r="R54" s="168"/>
      <c r="AG54"/>
      <c r="AH54"/>
      <c r="AJ54" s="168"/>
      <c r="AW54"/>
      <c r="AX54"/>
      <c r="BB54" s="168"/>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row>
    <row r="55" spans="1:346" s="2" customFormat="1" ht="18" x14ac:dyDescent="0.35">
      <c r="A55" s="362"/>
      <c r="B55" s="372"/>
      <c r="R55" s="168"/>
      <c r="AG55"/>
      <c r="AH55"/>
      <c r="AJ55" s="168"/>
      <c r="AW55"/>
      <c r="AX55"/>
      <c r="BB55" s="168"/>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row>
    <row r="56" spans="1:346" s="2" customFormat="1" x14ac:dyDescent="0.3">
      <c r="A56" s="170"/>
      <c r="B56" s="170"/>
      <c r="C56" s="170"/>
      <c r="D56" s="170"/>
      <c r="E56" s="170"/>
      <c r="F56" s="170"/>
      <c r="G56" s="170"/>
      <c r="H56" s="170"/>
      <c r="I56" s="170"/>
      <c r="J56" s="170"/>
      <c r="K56" s="170"/>
      <c r="L56" s="170"/>
      <c r="M56" s="170"/>
      <c r="N56" s="170"/>
      <c r="O56" s="170"/>
      <c r="P56" s="170"/>
      <c r="Q56" s="170"/>
      <c r="R56" s="168"/>
      <c r="AG56"/>
      <c r="AH56"/>
      <c r="AJ56" s="168"/>
      <c r="AW56"/>
      <c r="AX56"/>
      <c r="BB56" s="168"/>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row>
    <row r="57" spans="1:346" s="2" customFormat="1" x14ac:dyDescent="0.3">
      <c r="R57" s="168"/>
      <c r="AG57"/>
      <c r="AH57"/>
      <c r="AJ57" s="168"/>
      <c r="AW57"/>
      <c r="AX57"/>
      <c r="BB57" s="168"/>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row>
    <row r="58" spans="1:346" s="2" customFormat="1" x14ac:dyDescent="0.3">
      <c r="R58" s="168"/>
      <c r="AG58"/>
      <c r="AH58"/>
      <c r="AJ58" s="168"/>
      <c r="AW58"/>
      <c r="AX58"/>
      <c r="BB58" s="16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row>
    <row r="59" spans="1:346" s="2" customFormat="1" x14ac:dyDescent="0.3">
      <c r="R59" s="168"/>
      <c r="AG59"/>
      <c r="AH59"/>
      <c r="AJ59" s="168"/>
      <c r="AW59"/>
      <c r="AX59"/>
      <c r="BB59" s="168"/>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row>
    <row r="60" spans="1:346" s="2" customFormat="1" x14ac:dyDescent="0.3">
      <c r="R60" s="168"/>
      <c r="AG60"/>
      <c r="AH60"/>
      <c r="AJ60" s="168"/>
      <c r="AW60"/>
      <c r="AX60"/>
      <c r="BB60" s="168"/>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row>
    <row r="61" spans="1:346" s="2" customFormat="1" x14ac:dyDescent="0.3">
      <c r="R61" s="168"/>
      <c r="AG61"/>
      <c r="AH61"/>
      <c r="AJ61" s="168"/>
      <c r="AW61"/>
      <c r="AX61"/>
      <c r="BB61" s="168"/>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row>
    <row r="62" spans="1:346" s="2" customFormat="1" x14ac:dyDescent="0.3">
      <c r="R62" s="168"/>
      <c r="AG62"/>
      <c r="AH62"/>
      <c r="AJ62" s="168"/>
      <c r="AW62"/>
      <c r="AX62"/>
      <c r="BB62" s="168"/>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row>
    <row r="63" spans="1:346" s="2" customFormat="1" x14ac:dyDescent="0.3">
      <c r="R63" s="168"/>
      <c r="AG63"/>
      <c r="AH63"/>
      <c r="AJ63" s="168"/>
      <c r="AW63"/>
      <c r="AX63"/>
      <c r="BB63" s="168"/>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row>
    <row r="64" spans="1:346" s="2" customFormat="1" x14ac:dyDescent="0.3">
      <c r="R64" s="168"/>
      <c r="AG64"/>
      <c r="AH64"/>
      <c r="AJ64" s="168"/>
      <c r="AW64"/>
      <c r="AX64"/>
      <c r="BB64" s="168"/>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row>
    <row r="65" spans="18:346" s="2" customFormat="1" x14ac:dyDescent="0.3">
      <c r="R65" s="168"/>
      <c r="AG65"/>
      <c r="AH65"/>
      <c r="AJ65" s="168"/>
      <c r="AW65"/>
      <c r="AX65"/>
      <c r="BB65" s="168"/>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row>
    <row r="66" spans="18:346" s="2" customFormat="1" x14ac:dyDescent="0.3">
      <c r="R66" s="168"/>
      <c r="AG66"/>
      <c r="AH66"/>
      <c r="AJ66" s="168"/>
      <c r="AW66"/>
      <c r="AX66"/>
      <c r="BB66" s="168"/>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row>
    <row r="67" spans="18:346" s="2" customFormat="1" x14ac:dyDescent="0.3">
      <c r="R67" s="168"/>
      <c r="AG67"/>
      <c r="AH67"/>
      <c r="AJ67" s="168"/>
      <c r="AW67"/>
      <c r="AX67"/>
      <c r="BB67" s="168"/>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row>
    <row r="68" spans="18:346" s="2" customFormat="1" x14ac:dyDescent="0.3">
      <c r="R68" s="168"/>
      <c r="AG68"/>
      <c r="AH68"/>
      <c r="AJ68" s="168"/>
      <c r="AW68"/>
      <c r="AX68"/>
      <c r="BB68" s="1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row>
    <row r="69" spans="18:346" s="2" customFormat="1" x14ac:dyDescent="0.3">
      <c r="R69" s="168"/>
      <c r="AG69"/>
      <c r="AH69"/>
      <c r="AJ69" s="168"/>
      <c r="AW69"/>
      <c r="AX69"/>
      <c r="BB69" s="168"/>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row>
    <row r="70" spans="18:346" s="2" customFormat="1" x14ac:dyDescent="0.3">
      <c r="R70" s="168"/>
      <c r="AG70"/>
      <c r="AH70"/>
      <c r="AJ70" s="168"/>
      <c r="AW70"/>
      <c r="AX70"/>
      <c r="BB70" s="168"/>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row>
    <row r="71" spans="18:346" s="2" customFormat="1" x14ac:dyDescent="0.3">
      <c r="R71" s="168"/>
      <c r="AG71"/>
      <c r="AH71"/>
      <c r="AJ71" s="168"/>
      <c r="AW71"/>
      <c r="AX71"/>
      <c r="BB71" s="168"/>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row>
    <row r="72" spans="18:346" s="2" customFormat="1" x14ac:dyDescent="0.3">
      <c r="R72" s="168"/>
      <c r="AG72"/>
      <c r="AH72"/>
      <c r="AJ72" s="168"/>
      <c r="AW72"/>
      <c r="AX72"/>
      <c r="BB72" s="168"/>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row>
    <row r="73" spans="18:346" s="2" customFormat="1" x14ac:dyDescent="0.3">
      <c r="R73" s="168"/>
      <c r="AG73"/>
      <c r="AH73"/>
      <c r="AJ73" s="168"/>
      <c r="AW73"/>
      <c r="AX73"/>
      <c r="BB73" s="168"/>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row>
    <row r="74" spans="18:346" s="2" customFormat="1" x14ac:dyDescent="0.3">
      <c r="R74" s="168"/>
      <c r="AG74"/>
      <c r="AH74"/>
      <c r="AJ74" s="168"/>
      <c r="AW74"/>
      <c r="AX74"/>
      <c r="BB74" s="168"/>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row>
    <row r="75" spans="18:346" s="2" customFormat="1" x14ac:dyDescent="0.3">
      <c r="R75" s="168"/>
      <c r="AG75"/>
      <c r="AH75"/>
      <c r="AJ75" s="168"/>
      <c r="AW75"/>
      <c r="AX75"/>
      <c r="BB75" s="168"/>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row>
    <row r="76" spans="18:346" s="2" customFormat="1" x14ac:dyDescent="0.3">
      <c r="R76" s="168"/>
      <c r="AG76"/>
      <c r="AH76"/>
      <c r="AJ76" s="168"/>
      <c r="AW76"/>
      <c r="AX76"/>
      <c r="BB76" s="168"/>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row>
    <row r="77" spans="18:346" s="2" customFormat="1" x14ac:dyDescent="0.3">
      <c r="R77" s="168"/>
      <c r="AG77"/>
      <c r="AH77"/>
      <c r="AJ77" s="168"/>
      <c r="AW77"/>
      <c r="AX77"/>
      <c r="BB77" s="168"/>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row>
    <row r="78" spans="18:346" s="2" customFormat="1" x14ac:dyDescent="0.3">
      <c r="R78" s="168"/>
      <c r="AG78"/>
      <c r="AH78"/>
      <c r="AJ78" s="168"/>
      <c r="AW78"/>
      <c r="AX78"/>
      <c r="BB78" s="16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row>
    <row r="79" spans="18:346" s="2" customFormat="1" x14ac:dyDescent="0.3">
      <c r="R79" s="168"/>
      <c r="AG79"/>
      <c r="AH79"/>
      <c r="AJ79" s="168"/>
      <c r="AW79"/>
      <c r="AX79"/>
      <c r="BB79" s="168"/>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row>
    <row r="80" spans="18:346" s="2" customFormat="1" x14ac:dyDescent="0.3">
      <c r="R80" s="168"/>
      <c r="AG80"/>
      <c r="AH80"/>
      <c r="AJ80" s="168"/>
      <c r="AW80"/>
      <c r="AX80"/>
      <c r="BB80" s="168"/>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row>
    <row r="81" spans="18:346" s="2" customFormat="1" x14ac:dyDescent="0.3">
      <c r="R81" s="168"/>
      <c r="AG81"/>
      <c r="AH81"/>
      <c r="AJ81" s="168"/>
      <c r="AW81"/>
      <c r="AX81"/>
      <c r="BB81" s="168"/>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row>
    <row r="82" spans="18:346" s="2" customFormat="1" x14ac:dyDescent="0.3">
      <c r="R82" s="168"/>
      <c r="AG82"/>
      <c r="AH82"/>
      <c r="AJ82" s="168"/>
      <c r="AW82"/>
      <c r="AX82"/>
      <c r="BB82" s="168"/>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row>
    <row r="83" spans="18:346" s="2" customFormat="1" x14ac:dyDescent="0.3">
      <c r="R83" s="168"/>
      <c r="AG83"/>
      <c r="AH83"/>
      <c r="AJ83" s="168"/>
      <c r="AW83"/>
      <c r="AX83"/>
      <c r="BB83" s="168"/>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row>
    <row r="84" spans="18:346" s="2" customFormat="1" x14ac:dyDescent="0.3">
      <c r="R84" s="168"/>
      <c r="AG84"/>
      <c r="AH84"/>
      <c r="AJ84" s="168"/>
      <c r="AW84"/>
      <c r="AX84"/>
      <c r="BB84" s="168"/>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row>
    <row r="85" spans="18:346" s="2" customFormat="1" x14ac:dyDescent="0.3">
      <c r="R85" s="168"/>
      <c r="AG85"/>
      <c r="AH85"/>
      <c r="AJ85" s="168"/>
      <c r="AW85"/>
      <c r="AX85"/>
      <c r="BB85" s="168"/>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row>
    <row r="86" spans="18:346" s="2" customFormat="1" x14ac:dyDescent="0.3">
      <c r="R86" s="168"/>
      <c r="AG86"/>
      <c r="AH86"/>
      <c r="AJ86" s="168"/>
      <c r="AW86"/>
      <c r="AX86"/>
      <c r="BB86" s="168"/>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row>
    <row r="87" spans="18:346" s="2" customFormat="1" x14ac:dyDescent="0.3">
      <c r="R87" s="168"/>
      <c r="AG87"/>
      <c r="AH87"/>
      <c r="AJ87" s="168"/>
      <c r="AW87"/>
      <c r="AX87"/>
      <c r="BB87" s="168"/>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row>
    <row r="88" spans="18:346" s="2" customFormat="1" x14ac:dyDescent="0.3">
      <c r="R88" s="168"/>
      <c r="AG88"/>
      <c r="AH88"/>
      <c r="AJ88" s="168"/>
      <c r="AW88"/>
      <c r="AX88"/>
      <c r="BB88" s="16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row>
    <row r="89" spans="18:346" s="2" customFormat="1" x14ac:dyDescent="0.3">
      <c r="R89" s="168"/>
      <c r="AG89"/>
      <c r="AH89"/>
      <c r="AJ89" s="168"/>
      <c r="AW89"/>
      <c r="AX89"/>
      <c r="BB89" s="168"/>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row>
    <row r="90" spans="18:346" s="2" customFormat="1" x14ac:dyDescent="0.3">
      <c r="R90" s="168"/>
      <c r="AG90"/>
      <c r="AH90"/>
      <c r="AJ90" s="168"/>
      <c r="AW90"/>
      <c r="AX90"/>
      <c r="BB90" s="168"/>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row>
    <row r="91" spans="18:346" s="2" customFormat="1" x14ac:dyDescent="0.3">
      <c r="R91" s="168"/>
      <c r="AG91"/>
      <c r="AH91"/>
      <c r="AJ91" s="168"/>
      <c r="AW91"/>
      <c r="AX91"/>
      <c r="BB91" s="168"/>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row>
    <row r="92" spans="18:346" s="2" customFormat="1" x14ac:dyDescent="0.3">
      <c r="R92" s="168"/>
      <c r="AG92"/>
      <c r="AH92"/>
      <c r="AJ92" s="168"/>
      <c r="AW92"/>
      <c r="AX92"/>
      <c r="BB92" s="168"/>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row>
    <row r="93" spans="18:346" s="2" customFormat="1" x14ac:dyDescent="0.3">
      <c r="R93" s="168"/>
      <c r="AG93"/>
      <c r="AH93"/>
      <c r="AJ93" s="168"/>
      <c r="AW93"/>
      <c r="AX93"/>
      <c r="BB93" s="168"/>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row>
    <row r="94" spans="18:346" s="2" customFormat="1" x14ac:dyDescent="0.3">
      <c r="R94" s="168"/>
      <c r="AG94"/>
      <c r="AH94"/>
      <c r="AJ94" s="168"/>
      <c r="AW94"/>
      <c r="AX94"/>
      <c r="BB94" s="168"/>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row>
    <row r="95" spans="18:346" s="2" customFormat="1" x14ac:dyDescent="0.3">
      <c r="R95" s="168"/>
      <c r="AG95"/>
      <c r="AH95"/>
      <c r="AJ95" s="168"/>
      <c r="AW95"/>
      <c r="AX95"/>
      <c r="BB95" s="168"/>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row>
    <row r="96" spans="18:346" s="2" customFormat="1" x14ac:dyDescent="0.3">
      <c r="R96" s="168"/>
      <c r="AG96"/>
      <c r="AH96"/>
      <c r="AJ96" s="168"/>
      <c r="AW96"/>
      <c r="AX96"/>
      <c r="BB96" s="168"/>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row>
    <row r="97" spans="18:346" s="2" customFormat="1" x14ac:dyDescent="0.3">
      <c r="R97" s="168"/>
      <c r="AG97"/>
      <c r="AH97"/>
      <c r="AJ97" s="168"/>
      <c r="AW97"/>
      <c r="AX97"/>
      <c r="BB97" s="168"/>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row>
    <row r="98" spans="18:346" s="2" customFormat="1" x14ac:dyDescent="0.3">
      <c r="R98" s="168"/>
      <c r="AG98"/>
      <c r="AH98"/>
      <c r="AJ98" s="168"/>
      <c r="AW98"/>
      <c r="AX98"/>
      <c r="BB98" s="16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row>
    <row r="99" spans="18:346" s="2" customFormat="1" x14ac:dyDescent="0.3">
      <c r="R99" s="168"/>
      <c r="AG99"/>
      <c r="AH99"/>
      <c r="AJ99" s="168"/>
      <c r="AW99"/>
      <c r="AX99"/>
      <c r="BB99" s="168"/>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row>
    <row r="100" spans="18:346" s="2" customFormat="1" x14ac:dyDescent="0.3">
      <c r="R100" s="168"/>
      <c r="AG100"/>
      <c r="AH100"/>
      <c r="AJ100" s="168"/>
      <c r="AW100"/>
      <c r="AX100"/>
      <c r="BB100" s="168"/>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row>
    <row r="101" spans="18:346" s="2" customFormat="1" x14ac:dyDescent="0.3">
      <c r="R101" s="168"/>
      <c r="AG101"/>
      <c r="AH101"/>
      <c r="AJ101" s="168"/>
      <c r="AW101"/>
      <c r="AX101"/>
      <c r="BB101" s="168"/>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row>
    <row r="102" spans="18:346" s="2" customFormat="1" x14ac:dyDescent="0.3">
      <c r="R102" s="168"/>
      <c r="AG102"/>
      <c r="AH102"/>
      <c r="AJ102" s="168"/>
      <c r="AW102"/>
      <c r="AX102"/>
      <c r="BB102" s="168"/>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row>
    <row r="103" spans="18:346" s="2" customFormat="1" x14ac:dyDescent="0.3">
      <c r="R103" s="168"/>
      <c r="AG103"/>
      <c r="AH103"/>
      <c r="AJ103" s="168"/>
      <c r="AW103"/>
      <c r="AX103"/>
      <c r="BB103" s="168"/>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row>
    <row r="104" spans="18:346" s="2" customFormat="1" x14ac:dyDescent="0.3">
      <c r="R104" s="168"/>
      <c r="AG104"/>
      <c r="AH104"/>
      <c r="AJ104" s="168"/>
      <c r="AW104"/>
      <c r="AX104"/>
      <c r="BB104" s="168"/>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row>
    <row r="105" spans="18:346" s="2" customFormat="1" x14ac:dyDescent="0.3">
      <c r="R105" s="168"/>
      <c r="AG105"/>
      <c r="AH105"/>
      <c r="AJ105" s="168"/>
      <c r="AW105"/>
      <c r="AX105"/>
      <c r="BB105" s="168"/>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row>
    <row r="106" spans="18:346" s="2" customFormat="1" x14ac:dyDescent="0.3">
      <c r="R106" s="168"/>
      <c r="AG106"/>
      <c r="AH106"/>
      <c r="AJ106" s="168"/>
      <c r="AW106"/>
      <c r="AX106"/>
      <c r="BB106" s="168"/>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row>
    <row r="107" spans="18:346" s="2" customFormat="1" x14ac:dyDescent="0.3">
      <c r="R107" s="168"/>
      <c r="AG107"/>
      <c r="AH107"/>
      <c r="AJ107" s="168"/>
      <c r="AW107"/>
      <c r="AX107"/>
      <c r="BB107" s="168"/>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row>
    <row r="108" spans="18:346" s="2" customFormat="1" x14ac:dyDescent="0.3">
      <c r="R108" s="168"/>
      <c r="AG108"/>
      <c r="AH108"/>
      <c r="AJ108" s="168"/>
      <c r="AW108"/>
      <c r="AX108"/>
      <c r="BB108" s="16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row>
    <row r="109" spans="18:346" s="2" customFormat="1" x14ac:dyDescent="0.3">
      <c r="R109" s="168"/>
      <c r="AG109"/>
      <c r="AH109"/>
      <c r="AJ109" s="168"/>
      <c r="AW109"/>
      <c r="AX109"/>
      <c r="BB109" s="168"/>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row>
    <row r="110" spans="18:346" s="2" customFormat="1" x14ac:dyDescent="0.3">
      <c r="R110" s="168"/>
      <c r="AG110"/>
      <c r="AH110"/>
      <c r="AJ110" s="168"/>
      <c r="AW110"/>
      <c r="AX110"/>
      <c r="BB110" s="168"/>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row>
    <row r="111" spans="18:346" s="2" customFormat="1" x14ac:dyDescent="0.3">
      <c r="R111" s="168"/>
      <c r="AG111"/>
      <c r="AH111"/>
      <c r="AJ111" s="168"/>
      <c r="AW111"/>
      <c r="AX111"/>
      <c r="BB111" s="168"/>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row>
    <row r="112" spans="18:346" s="2" customFormat="1" x14ac:dyDescent="0.3">
      <c r="R112" s="168"/>
      <c r="AG112"/>
      <c r="AH112"/>
      <c r="AJ112" s="168"/>
      <c r="AW112"/>
      <c r="AX112"/>
      <c r="BB112" s="168"/>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row>
    <row r="113" spans="18:346" s="2" customFormat="1" x14ac:dyDescent="0.3">
      <c r="R113" s="168"/>
      <c r="AG113"/>
      <c r="AH113"/>
      <c r="AJ113" s="168"/>
      <c r="AW113"/>
      <c r="AX113"/>
      <c r="BB113" s="168"/>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row>
    <row r="114" spans="18:346" s="2" customFormat="1" x14ac:dyDescent="0.3">
      <c r="R114" s="168"/>
      <c r="AG114"/>
      <c r="AH114"/>
      <c r="AJ114" s="168"/>
      <c r="AW114"/>
      <c r="AX114"/>
      <c r="BB114" s="168"/>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row>
    <row r="115" spans="18:346" s="2" customFormat="1" x14ac:dyDescent="0.3">
      <c r="R115" s="168"/>
      <c r="AG115"/>
      <c r="AH115"/>
      <c r="AJ115" s="168"/>
      <c r="AW115"/>
      <c r="AX115"/>
      <c r="BB115" s="168"/>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row>
    <row r="116" spans="18:346" s="2" customFormat="1" x14ac:dyDescent="0.3">
      <c r="R116" s="168"/>
      <c r="AG116"/>
      <c r="AH116"/>
      <c r="AJ116" s="168"/>
      <c r="AW116"/>
      <c r="AX116"/>
      <c r="BB116" s="168"/>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row>
    <row r="117" spans="18:346" s="2" customFormat="1" x14ac:dyDescent="0.3">
      <c r="R117" s="168"/>
      <c r="AG117"/>
      <c r="AH117"/>
      <c r="AJ117" s="168"/>
      <c r="AW117"/>
      <c r="AX117"/>
      <c r="BB117" s="168"/>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row>
    <row r="118" spans="18:346" s="2" customFormat="1" x14ac:dyDescent="0.3">
      <c r="R118" s="168"/>
      <c r="AG118"/>
      <c r="AH118"/>
      <c r="AJ118" s="168"/>
      <c r="AW118"/>
      <c r="AX118"/>
      <c r="BB118" s="16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row>
    <row r="119" spans="18:346" s="2" customFormat="1" x14ac:dyDescent="0.3">
      <c r="R119" s="168"/>
      <c r="AG119"/>
      <c r="AH119"/>
      <c r="AJ119" s="168"/>
      <c r="AW119"/>
      <c r="AX119"/>
      <c r="BB119" s="168"/>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row>
    <row r="120" spans="18:346" s="2" customFormat="1" x14ac:dyDescent="0.3">
      <c r="R120" s="168"/>
      <c r="AG120"/>
      <c r="AH120"/>
      <c r="AJ120" s="168"/>
      <c r="AW120"/>
      <c r="AX120"/>
      <c r="BB120" s="168"/>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row>
    <row r="121" spans="18:346" s="2" customFormat="1" x14ac:dyDescent="0.3">
      <c r="R121" s="168"/>
      <c r="AG121"/>
      <c r="AH121"/>
      <c r="AJ121" s="168"/>
      <c r="AW121"/>
      <c r="AX121"/>
      <c r="BB121" s="168"/>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row>
    <row r="122" spans="18:346" s="2" customFormat="1" x14ac:dyDescent="0.3">
      <c r="R122" s="168"/>
      <c r="AG122"/>
      <c r="AH122"/>
      <c r="AJ122" s="168"/>
      <c r="AW122"/>
      <c r="AX122"/>
      <c r="BB122" s="168"/>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row>
    <row r="123" spans="18:346" s="2" customFormat="1" x14ac:dyDescent="0.3">
      <c r="R123" s="168"/>
      <c r="AG123"/>
      <c r="AH123"/>
      <c r="AJ123" s="168"/>
      <c r="AW123"/>
      <c r="AX123"/>
      <c r="BB123" s="168"/>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row>
  </sheetData>
  <mergeCells count="4">
    <mergeCell ref="AK2:AL2"/>
    <mergeCell ref="S2:T2"/>
    <mergeCell ref="A2:B2"/>
    <mergeCell ref="A1:B1"/>
  </mergeCells>
  <pageMargins left="0.7" right="0.7" top="0.78740157499999996" bottom="0.78740157499999996" header="0.3" footer="0.3"/>
  <tableParts count="3">
    <tablePart r:id="rId1"/>
    <tablePart r:id="rId2"/>
    <tablePart r:id="rId3"/>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3:L803"/>
  <sheetViews>
    <sheetView zoomScaleNormal="100" workbookViewId="0">
      <pane xSplit="4" ySplit="4" topLeftCell="E209" activePane="bottomRight" state="frozen"/>
      <selection activeCell="L12" sqref="L12"/>
      <selection pane="topRight" activeCell="L12" sqref="L12"/>
      <selection pane="bottomLeft" activeCell="L12" sqref="L12"/>
      <selection pane="bottomRight" activeCell="L12" sqref="L12"/>
    </sheetView>
  </sheetViews>
  <sheetFormatPr defaultRowHeight="14.4" x14ac:dyDescent="0.3"/>
  <cols>
    <col min="1" max="1" width="4.5546875" customWidth="1"/>
    <col min="2" max="2" width="22.109375" style="2" customWidth="1"/>
    <col min="3" max="3" width="40.109375" style="2" customWidth="1"/>
    <col min="4" max="4" width="18" style="2" customWidth="1"/>
    <col min="5" max="5" width="16.5546875" style="2" customWidth="1"/>
    <col min="6" max="9" width="9.109375" style="2"/>
    <col min="10" max="10" width="54.44140625" style="2" customWidth="1"/>
    <col min="11" max="11" width="255.5546875" customWidth="1"/>
    <col min="12" max="12" width="156.44140625" customWidth="1"/>
  </cols>
  <sheetData>
    <row r="3" spans="1:12" x14ac:dyDescent="0.3">
      <c r="B3" s="1194" t="s">
        <v>2970</v>
      </c>
      <c r="C3" s="1194"/>
    </row>
    <row r="4" spans="1:12" s="2" customFormat="1" x14ac:dyDescent="0.3">
      <c r="B4" s="2" t="s">
        <v>14</v>
      </c>
      <c r="C4" s="2" t="s">
        <v>2933</v>
      </c>
      <c r="D4" s="2" t="s">
        <v>2932</v>
      </c>
      <c r="E4" s="2" t="s">
        <v>759</v>
      </c>
      <c r="F4" s="1195" t="s">
        <v>3050</v>
      </c>
      <c r="G4" s="1196"/>
      <c r="H4" s="1196"/>
      <c r="I4" s="170"/>
      <c r="J4" s="171" t="s">
        <v>3051</v>
      </c>
      <c r="K4" s="169" t="s">
        <v>2971</v>
      </c>
      <c r="L4" s="8" t="s">
        <v>2936</v>
      </c>
    </row>
    <row r="5" spans="1:12" x14ac:dyDescent="0.3">
      <c r="A5" s="2">
        <v>1</v>
      </c>
      <c r="B5" s="2" t="s">
        <v>2934</v>
      </c>
      <c r="C5" s="2" t="s">
        <v>2935</v>
      </c>
      <c r="D5" s="60">
        <v>0.41805555555555557</v>
      </c>
      <c r="E5" s="2">
        <v>3</v>
      </c>
      <c r="F5" s="60">
        <v>0.20833333333333334</v>
      </c>
      <c r="G5" s="60">
        <v>8.3333333333333329E-2</v>
      </c>
      <c r="H5" s="60">
        <v>0.12638888888888888</v>
      </c>
      <c r="J5" s="2" t="s">
        <v>2984</v>
      </c>
      <c r="K5" t="s">
        <v>2938</v>
      </c>
      <c r="L5" t="s">
        <v>2937</v>
      </c>
    </row>
    <row r="6" spans="1:12" x14ac:dyDescent="0.3">
      <c r="A6" s="2">
        <v>2</v>
      </c>
      <c r="B6" s="2" t="s">
        <v>2934</v>
      </c>
      <c r="C6" s="2" t="s">
        <v>2940</v>
      </c>
      <c r="D6" s="60">
        <v>0.45902777777777781</v>
      </c>
      <c r="E6" s="2">
        <v>6</v>
      </c>
      <c r="F6" s="60">
        <v>8.3333333333333329E-2</v>
      </c>
      <c r="G6" s="60">
        <v>0.1673611111111111</v>
      </c>
      <c r="H6" s="60">
        <v>0.20833333333333334</v>
      </c>
      <c r="J6" s="2" t="s">
        <v>2983</v>
      </c>
      <c r="K6" t="s">
        <v>2939</v>
      </c>
      <c r="L6" t="s">
        <v>2941</v>
      </c>
    </row>
    <row r="7" spans="1:12" x14ac:dyDescent="0.3">
      <c r="A7" s="2">
        <v>3</v>
      </c>
      <c r="B7" s="2" t="s">
        <v>2934</v>
      </c>
      <c r="C7" s="2" t="s">
        <v>2942</v>
      </c>
      <c r="D7" s="60">
        <v>0.5</v>
      </c>
      <c r="E7" s="2">
        <v>9</v>
      </c>
      <c r="F7" s="60">
        <v>0.20833333333333334</v>
      </c>
      <c r="G7" s="60">
        <v>0.125</v>
      </c>
      <c r="H7" s="60">
        <v>0.16666666666666666</v>
      </c>
      <c r="J7" s="60">
        <v>0.5</v>
      </c>
      <c r="K7" t="s">
        <v>2943</v>
      </c>
      <c r="L7" t="s">
        <v>2944</v>
      </c>
    </row>
    <row r="8" spans="1:12" x14ac:dyDescent="0.3">
      <c r="A8" s="2">
        <v>4</v>
      </c>
      <c r="B8" s="2" t="s">
        <v>2934</v>
      </c>
      <c r="C8" s="2" t="s">
        <v>2945</v>
      </c>
      <c r="D8" s="60">
        <v>0.12847222222222224</v>
      </c>
      <c r="E8" s="2">
        <v>9</v>
      </c>
      <c r="F8" s="60">
        <v>4.3055555555555562E-2</v>
      </c>
      <c r="G8" s="60">
        <v>4.2361111111111106E-2</v>
      </c>
      <c r="H8" s="60">
        <v>4.3055555555555562E-2</v>
      </c>
      <c r="J8" s="2" t="s">
        <v>2982</v>
      </c>
      <c r="K8" t="s">
        <v>2947</v>
      </c>
      <c r="L8" t="s">
        <v>2946</v>
      </c>
    </row>
    <row r="9" spans="1:12" x14ac:dyDescent="0.3">
      <c r="A9" s="2">
        <v>5</v>
      </c>
      <c r="B9" s="2" t="s">
        <v>2934</v>
      </c>
      <c r="C9" s="2" t="s">
        <v>2949</v>
      </c>
      <c r="D9" s="60">
        <v>0.33680555555555558</v>
      </c>
      <c r="E9" s="2">
        <v>12</v>
      </c>
      <c r="F9" s="60">
        <v>0.20902777777777778</v>
      </c>
      <c r="G9" s="60">
        <v>0.12569444444444444</v>
      </c>
      <c r="H9" s="60">
        <v>2.0833333333333333E-3</v>
      </c>
      <c r="J9" s="2" t="s">
        <v>2994</v>
      </c>
      <c r="K9" t="s">
        <v>2948</v>
      </c>
      <c r="L9" t="s">
        <v>2950</v>
      </c>
    </row>
    <row r="10" spans="1:12" x14ac:dyDescent="0.3">
      <c r="A10" s="2">
        <v>6</v>
      </c>
      <c r="B10" s="2" t="s">
        <v>2934</v>
      </c>
      <c r="C10" s="2" t="s">
        <v>2951</v>
      </c>
      <c r="D10" s="60">
        <v>0.46249999999999997</v>
      </c>
      <c r="E10" s="2">
        <v>15</v>
      </c>
      <c r="F10" s="60">
        <v>0.1673611111111111</v>
      </c>
      <c r="G10" s="60">
        <v>0.12638888888888888</v>
      </c>
      <c r="H10" s="60">
        <v>0.16874999999999998</v>
      </c>
      <c r="J10" s="2" t="s">
        <v>2995</v>
      </c>
      <c r="K10" t="s">
        <v>2953</v>
      </c>
      <c r="L10" t="s">
        <v>2952</v>
      </c>
    </row>
    <row r="11" spans="1:12" x14ac:dyDescent="0.3">
      <c r="A11" s="2">
        <v>7</v>
      </c>
      <c r="B11" s="2" t="s">
        <v>2934</v>
      </c>
      <c r="C11" s="2" t="s">
        <v>2954</v>
      </c>
      <c r="D11" s="60">
        <v>0.25069444444444444</v>
      </c>
      <c r="E11" s="2">
        <v>18</v>
      </c>
      <c r="F11" s="60">
        <v>0.12569444444444444</v>
      </c>
      <c r="G11" s="60">
        <v>0</v>
      </c>
      <c r="H11" s="60">
        <v>0.125</v>
      </c>
      <c r="J11" s="2" t="s">
        <v>2996</v>
      </c>
      <c r="K11" t="s">
        <v>2956</v>
      </c>
      <c r="L11" t="s">
        <v>2955</v>
      </c>
    </row>
    <row r="12" spans="1:12" x14ac:dyDescent="0.3">
      <c r="A12" s="2">
        <v>8</v>
      </c>
      <c r="B12" s="2" t="s">
        <v>2934</v>
      </c>
      <c r="C12" s="2" t="s">
        <v>2957</v>
      </c>
      <c r="D12" s="60">
        <v>0.37708333333333338</v>
      </c>
      <c r="E12" s="2">
        <v>21</v>
      </c>
      <c r="F12" s="60">
        <v>8.4027777777777771E-2</v>
      </c>
      <c r="G12" s="60">
        <v>0.16805555555555554</v>
      </c>
      <c r="H12" s="60">
        <v>0.125</v>
      </c>
      <c r="J12" s="244" t="s">
        <v>2997</v>
      </c>
      <c r="K12" t="s">
        <v>2958</v>
      </c>
      <c r="L12" t="s">
        <v>2959</v>
      </c>
    </row>
    <row r="13" spans="1:12" x14ac:dyDescent="0.3">
      <c r="A13" s="2">
        <v>9</v>
      </c>
      <c r="B13" s="2" t="s">
        <v>2934</v>
      </c>
      <c r="C13" s="2" t="s">
        <v>2962</v>
      </c>
      <c r="D13" s="60">
        <v>0.37847222222222227</v>
      </c>
      <c r="E13" s="2">
        <v>24</v>
      </c>
      <c r="F13" s="60">
        <v>0.12708333333333333</v>
      </c>
      <c r="G13" s="60">
        <v>4.1666666666666664E-2</v>
      </c>
      <c r="H13" s="60">
        <v>0.20972222222222223</v>
      </c>
      <c r="I13" s="244"/>
      <c r="J13" s="2" t="s">
        <v>2963</v>
      </c>
      <c r="K13" t="s">
        <v>2960</v>
      </c>
      <c r="L13" t="s">
        <v>2961</v>
      </c>
    </row>
    <row r="14" spans="1:12" x14ac:dyDescent="0.3">
      <c r="A14" s="2">
        <v>10</v>
      </c>
      <c r="B14" s="2" t="s">
        <v>2934</v>
      </c>
      <c r="C14" s="2" t="s">
        <v>2965</v>
      </c>
      <c r="D14" s="60">
        <v>0.20833333333333334</v>
      </c>
      <c r="E14" s="2">
        <v>27</v>
      </c>
      <c r="F14" s="60">
        <v>0</v>
      </c>
      <c r="G14" s="60">
        <v>8.3333333333333329E-2</v>
      </c>
      <c r="H14" s="60">
        <v>0.125</v>
      </c>
      <c r="I14" s="244"/>
      <c r="J14" s="60">
        <v>0.20833333333333334</v>
      </c>
      <c r="K14" t="s">
        <v>2964</v>
      </c>
      <c r="L14" t="s">
        <v>2966</v>
      </c>
    </row>
    <row r="15" spans="1:12" x14ac:dyDescent="0.3">
      <c r="A15" s="2">
        <v>11</v>
      </c>
      <c r="B15" s="2" t="s">
        <v>2934</v>
      </c>
      <c r="C15" s="2" t="s">
        <v>2967</v>
      </c>
      <c r="D15" s="2" t="s">
        <v>162</v>
      </c>
      <c r="E15" s="2">
        <v>29</v>
      </c>
      <c r="F15" s="60">
        <v>8.4027777777777771E-2</v>
      </c>
      <c r="G15" s="60">
        <v>1.3888888888888889E-3</v>
      </c>
      <c r="H15" s="60">
        <v>8.4027777777777771E-2</v>
      </c>
      <c r="I15" s="244" t="s">
        <v>2998</v>
      </c>
      <c r="J15" s="2" t="s">
        <v>2999</v>
      </c>
      <c r="K15" t="s">
        <v>2968</v>
      </c>
      <c r="L15" t="s">
        <v>2969</v>
      </c>
    </row>
    <row r="16" spans="1:12" x14ac:dyDescent="0.3">
      <c r="A16" s="2">
        <v>12</v>
      </c>
      <c r="B16" s="2" t="s">
        <v>2934</v>
      </c>
      <c r="C16" s="2" t="s">
        <v>2975</v>
      </c>
      <c r="D16" s="60">
        <v>0.54583333333333328</v>
      </c>
      <c r="E16" s="2">
        <v>32</v>
      </c>
      <c r="F16" s="60">
        <v>0.12569444444444444</v>
      </c>
      <c r="G16" s="60">
        <v>0.21041666666666667</v>
      </c>
      <c r="H16" s="60">
        <v>0.20972222222222223</v>
      </c>
      <c r="J16" s="2" t="s">
        <v>3000</v>
      </c>
      <c r="K16" t="s">
        <v>2973</v>
      </c>
      <c r="L16" t="s">
        <v>2974</v>
      </c>
    </row>
    <row r="17" spans="1:12" x14ac:dyDescent="0.3">
      <c r="A17" s="2">
        <v>13</v>
      </c>
      <c r="B17" s="2" t="s">
        <v>2934</v>
      </c>
      <c r="C17" s="2" t="s">
        <v>2935</v>
      </c>
      <c r="D17" s="60">
        <v>0.25208333333333333</v>
      </c>
      <c r="E17" s="2">
        <v>35</v>
      </c>
      <c r="F17" s="60">
        <v>4.1666666666666664E-2</v>
      </c>
      <c r="G17" s="60">
        <v>8.4027777777777771E-2</v>
      </c>
      <c r="H17" s="60">
        <v>0.12638888888888888</v>
      </c>
      <c r="J17" s="2" t="s">
        <v>2978</v>
      </c>
      <c r="K17" t="s">
        <v>2977</v>
      </c>
      <c r="L17" t="s">
        <v>2976</v>
      </c>
    </row>
    <row r="18" spans="1:12" x14ac:dyDescent="0.3">
      <c r="A18" s="2">
        <v>14</v>
      </c>
      <c r="B18" s="2" t="s">
        <v>2934</v>
      </c>
      <c r="C18" s="2" t="s">
        <v>2940</v>
      </c>
      <c r="D18" s="60">
        <v>0.37916666666666665</v>
      </c>
      <c r="E18" s="2">
        <v>38</v>
      </c>
      <c r="F18" s="60">
        <v>8.4722222222222213E-2</v>
      </c>
      <c r="G18" s="60">
        <v>0.1673611111111111</v>
      </c>
      <c r="H18" s="60">
        <v>0.12708333333333333</v>
      </c>
      <c r="J18" s="2" t="s">
        <v>2981</v>
      </c>
      <c r="K18" t="s">
        <v>2979</v>
      </c>
      <c r="L18" t="s">
        <v>2980</v>
      </c>
    </row>
    <row r="19" spans="1:12" x14ac:dyDescent="0.3">
      <c r="A19" s="2">
        <v>15</v>
      </c>
      <c r="B19" s="2" t="s">
        <v>2934</v>
      </c>
      <c r="C19" s="2" t="s">
        <v>2942</v>
      </c>
      <c r="D19" s="60">
        <v>0.37638888888888888</v>
      </c>
      <c r="E19" s="2">
        <v>41</v>
      </c>
      <c r="F19" s="60">
        <v>0.12569444444444444</v>
      </c>
      <c r="G19" s="60">
        <v>0.125</v>
      </c>
      <c r="H19" s="60">
        <v>0.12569444444444444</v>
      </c>
      <c r="J19" s="2" t="s">
        <v>2985</v>
      </c>
      <c r="K19" t="s">
        <v>2987</v>
      </c>
      <c r="L19" t="s">
        <v>2986</v>
      </c>
    </row>
    <row r="20" spans="1:12" x14ac:dyDescent="0.3">
      <c r="A20" s="2">
        <v>16</v>
      </c>
      <c r="B20" s="2" t="s">
        <v>2934</v>
      </c>
      <c r="C20" s="2" t="s">
        <v>2945</v>
      </c>
      <c r="D20" s="2" t="s">
        <v>162</v>
      </c>
      <c r="E20" s="2">
        <v>43</v>
      </c>
      <c r="F20" s="60">
        <v>8.4722222222222213E-2</v>
      </c>
      <c r="G20" s="60">
        <v>8.4027777777777771E-2</v>
      </c>
      <c r="H20" s="60">
        <v>6.9444444444444447E-4</v>
      </c>
      <c r="I20" s="2" t="s">
        <v>355</v>
      </c>
      <c r="J20" s="2" t="s">
        <v>3001</v>
      </c>
      <c r="K20" t="s">
        <v>3002</v>
      </c>
      <c r="L20" t="s">
        <v>2988</v>
      </c>
    </row>
    <row r="21" spans="1:12" x14ac:dyDescent="0.3">
      <c r="A21" s="2">
        <v>17</v>
      </c>
      <c r="B21" s="2" t="s">
        <v>2934</v>
      </c>
      <c r="C21" s="2" t="s">
        <v>2951</v>
      </c>
      <c r="D21" s="60">
        <v>0.62847222222222221</v>
      </c>
      <c r="E21" s="2">
        <v>46</v>
      </c>
      <c r="F21" s="60">
        <v>0.1673611111111111</v>
      </c>
      <c r="G21" s="60">
        <v>0.20972222222222223</v>
      </c>
      <c r="H21" s="60">
        <v>0.25138888888888888</v>
      </c>
      <c r="J21" s="2" t="s">
        <v>3003</v>
      </c>
      <c r="K21" t="s">
        <v>2989</v>
      </c>
      <c r="L21" t="s">
        <v>2990</v>
      </c>
    </row>
    <row r="22" spans="1:12" x14ac:dyDescent="0.3">
      <c r="A22" s="2">
        <v>18</v>
      </c>
      <c r="B22" s="2" t="s">
        <v>2934</v>
      </c>
      <c r="C22" s="2" t="s">
        <v>2949</v>
      </c>
      <c r="D22" s="60">
        <v>0.41875000000000001</v>
      </c>
      <c r="E22" s="2">
        <v>49</v>
      </c>
      <c r="F22" s="60">
        <v>0.125</v>
      </c>
      <c r="G22" s="60">
        <v>0.12638888888888888</v>
      </c>
      <c r="H22" s="60">
        <v>0.1673611111111111</v>
      </c>
      <c r="J22" s="2" t="s">
        <v>2993</v>
      </c>
      <c r="K22" t="s">
        <v>2991</v>
      </c>
      <c r="L22" t="s">
        <v>2992</v>
      </c>
    </row>
    <row r="23" spans="1:12" x14ac:dyDescent="0.3">
      <c r="A23" s="2">
        <v>19</v>
      </c>
      <c r="B23" s="2" t="s">
        <v>2934</v>
      </c>
      <c r="C23" s="2" t="s">
        <v>2954</v>
      </c>
      <c r="D23" s="60">
        <v>0.25208333333333333</v>
      </c>
      <c r="E23" s="2">
        <v>52</v>
      </c>
      <c r="F23" s="60">
        <v>4.3055555555555562E-2</v>
      </c>
      <c r="G23" s="60">
        <v>8.3333333333333329E-2</v>
      </c>
      <c r="H23" s="60">
        <v>0.12638888888888888</v>
      </c>
      <c r="J23" s="2" t="s">
        <v>3005</v>
      </c>
      <c r="K23" t="s">
        <v>3006</v>
      </c>
      <c r="L23" t="s">
        <v>3004</v>
      </c>
    </row>
    <row r="24" spans="1:12" x14ac:dyDescent="0.3">
      <c r="A24" s="2">
        <v>20</v>
      </c>
      <c r="B24" s="2" t="s">
        <v>2934</v>
      </c>
      <c r="C24" s="2" t="s">
        <v>2957</v>
      </c>
      <c r="D24" s="60">
        <v>0.37986111111111115</v>
      </c>
      <c r="E24" s="2">
        <v>55</v>
      </c>
      <c r="F24" s="60">
        <v>0.20972222222222223</v>
      </c>
      <c r="G24" s="60">
        <v>8.5416666666666655E-2</v>
      </c>
      <c r="H24" s="60">
        <v>8.4722222222222213E-2</v>
      </c>
      <c r="J24" s="2" t="s">
        <v>3009</v>
      </c>
      <c r="K24" t="s">
        <v>3008</v>
      </c>
      <c r="L24" t="s">
        <v>3007</v>
      </c>
    </row>
    <row r="25" spans="1:12" x14ac:dyDescent="0.3">
      <c r="A25" s="2">
        <v>21</v>
      </c>
      <c r="B25" s="2" t="s">
        <v>2934</v>
      </c>
      <c r="C25" s="2" t="s">
        <v>2962</v>
      </c>
      <c r="D25" s="60">
        <v>0.5854166666666667</v>
      </c>
      <c r="E25" s="2">
        <v>58</v>
      </c>
      <c r="F25" s="60">
        <v>0.1673611111111111</v>
      </c>
      <c r="G25" s="60">
        <v>0.20833333333333334</v>
      </c>
      <c r="H25" s="60">
        <v>0.20972222222222223</v>
      </c>
      <c r="J25" s="381" t="s">
        <v>3012</v>
      </c>
      <c r="K25" t="s">
        <v>3011</v>
      </c>
      <c r="L25" t="s">
        <v>3010</v>
      </c>
    </row>
    <row r="26" spans="1:12" x14ac:dyDescent="0.3">
      <c r="A26" s="2">
        <v>22</v>
      </c>
      <c r="B26" s="2" t="s">
        <v>2934</v>
      </c>
      <c r="C26" s="2" t="s">
        <v>2965</v>
      </c>
      <c r="D26" s="60">
        <v>0.2951388888888889</v>
      </c>
      <c r="E26" s="2">
        <v>61</v>
      </c>
      <c r="F26" s="60">
        <v>0.16805555555555554</v>
      </c>
      <c r="G26" s="60">
        <v>4.1666666666666664E-2</v>
      </c>
      <c r="H26" s="60">
        <v>8.5416666666666655E-2</v>
      </c>
      <c r="J26" s="381" t="s">
        <v>3015</v>
      </c>
      <c r="K26" t="s">
        <v>3013</v>
      </c>
      <c r="L26" t="s">
        <v>3014</v>
      </c>
    </row>
    <row r="27" spans="1:12" x14ac:dyDescent="0.3">
      <c r="A27" s="2">
        <v>23</v>
      </c>
      <c r="B27" s="2" t="s">
        <v>2934</v>
      </c>
      <c r="C27" s="2" t="s">
        <v>2967</v>
      </c>
      <c r="D27" s="60">
        <v>0.54652777777777783</v>
      </c>
      <c r="E27" s="2">
        <v>64</v>
      </c>
      <c r="F27" s="60">
        <v>0.16874999999999998</v>
      </c>
      <c r="G27" s="60">
        <v>0.20972222222222223</v>
      </c>
      <c r="H27" s="60">
        <v>0.16805555555555554</v>
      </c>
      <c r="J27" s="2" t="s">
        <v>3018</v>
      </c>
      <c r="K27" t="s">
        <v>3017</v>
      </c>
      <c r="L27" t="s">
        <v>3016</v>
      </c>
    </row>
    <row r="28" spans="1:12" x14ac:dyDescent="0.3">
      <c r="A28" s="2">
        <v>24</v>
      </c>
      <c r="B28" s="2" t="s">
        <v>2934</v>
      </c>
      <c r="C28" s="2" t="s">
        <v>2975</v>
      </c>
      <c r="D28" s="60">
        <v>0.29375000000000001</v>
      </c>
      <c r="E28" s="2">
        <v>67</v>
      </c>
      <c r="F28" s="60">
        <v>4.1666666666666664E-2</v>
      </c>
      <c r="G28" s="60">
        <v>4.3055555555555562E-2</v>
      </c>
      <c r="H28" s="60">
        <v>0.20902777777777778</v>
      </c>
      <c r="J28" s="381" t="s">
        <v>3021</v>
      </c>
      <c r="K28" t="s">
        <v>3019</v>
      </c>
      <c r="L28" t="s">
        <v>3020</v>
      </c>
    </row>
    <row r="29" spans="1:12" x14ac:dyDescent="0.3">
      <c r="B29" s="2" t="s">
        <v>3022</v>
      </c>
      <c r="C29" s="2" t="s">
        <v>3023</v>
      </c>
      <c r="D29" s="60">
        <v>0.41944444444444445</v>
      </c>
      <c r="E29" s="2" t="s">
        <v>3024</v>
      </c>
      <c r="F29" s="60">
        <v>8.4027777777777771E-2</v>
      </c>
      <c r="G29" s="60">
        <v>0.12708333333333333</v>
      </c>
      <c r="H29" s="60">
        <v>0.20833333333333334</v>
      </c>
      <c r="J29" s="381" t="s">
        <v>3027</v>
      </c>
      <c r="K29" t="s">
        <v>3026</v>
      </c>
      <c r="L29" t="s">
        <v>3025</v>
      </c>
    </row>
    <row r="30" spans="1:12" x14ac:dyDescent="0.3">
      <c r="B30" s="2" t="s">
        <v>3022</v>
      </c>
      <c r="C30" s="2" t="s">
        <v>2940</v>
      </c>
      <c r="D30" s="60">
        <v>0.33749999999999997</v>
      </c>
      <c r="E30" s="2" t="s">
        <v>3029</v>
      </c>
      <c r="F30" s="60">
        <v>0.25138888888888888</v>
      </c>
      <c r="G30" s="60">
        <v>4.1666666666666664E-2</v>
      </c>
      <c r="H30" s="60">
        <v>4.4444444444444446E-2</v>
      </c>
      <c r="J30" s="2" t="s">
        <v>3032</v>
      </c>
      <c r="K30" t="s">
        <v>3031</v>
      </c>
      <c r="L30" t="s">
        <v>3030</v>
      </c>
    </row>
    <row r="31" spans="1:12" x14ac:dyDescent="0.3">
      <c r="B31" s="2" t="s">
        <v>3033</v>
      </c>
      <c r="C31" s="2" t="s">
        <v>2949</v>
      </c>
      <c r="D31" s="60">
        <v>0.17361111111111113</v>
      </c>
      <c r="E31" s="2" t="s">
        <v>3035</v>
      </c>
      <c r="F31" s="60">
        <v>4.4444444444444446E-2</v>
      </c>
      <c r="G31" s="60">
        <v>8.4027777777777771E-2</v>
      </c>
      <c r="H31" s="60">
        <v>4.5138888888888888E-2</v>
      </c>
      <c r="J31" s="2" t="s">
        <v>3038</v>
      </c>
      <c r="K31" t="s">
        <v>3037</v>
      </c>
      <c r="L31" t="s">
        <v>3036</v>
      </c>
    </row>
    <row r="32" spans="1:12" x14ac:dyDescent="0.3">
      <c r="B32" s="2" t="s">
        <v>3033</v>
      </c>
      <c r="C32" s="2" t="s">
        <v>2967</v>
      </c>
      <c r="D32" s="60">
        <v>0.25347222222222221</v>
      </c>
      <c r="E32" s="2" t="s">
        <v>3028</v>
      </c>
      <c r="F32" s="60">
        <v>0.16666666666666666</v>
      </c>
      <c r="G32" s="60">
        <v>8.6111111111111124E-2</v>
      </c>
      <c r="H32" s="60">
        <v>6.9444444444444447E-4</v>
      </c>
      <c r="J32" s="2" t="s">
        <v>3041</v>
      </c>
      <c r="K32" t="s">
        <v>3040</v>
      </c>
      <c r="L32" t="s">
        <v>3039</v>
      </c>
    </row>
    <row r="33" spans="1:12" x14ac:dyDescent="0.3">
      <c r="B33" s="2" t="s">
        <v>3033</v>
      </c>
      <c r="C33" s="2" t="s">
        <v>2949</v>
      </c>
      <c r="D33" s="60">
        <v>0.46111111111111108</v>
      </c>
      <c r="E33" s="2" t="s">
        <v>3034</v>
      </c>
      <c r="F33" s="60">
        <v>0.12569444444444444</v>
      </c>
      <c r="G33" s="60">
        <v>0.12638888888888888</v>
      </c>
      <c r="H33" s="60">
        <v>0.20902777777777778</v>
      </c>
      <c r="J33" s="2" t="s">
        <v>3044</v>
      </c>
      <c r="K33" t="s">
        <v>3042</v>
      </c>
      <c r="L33" t="s">
        <v>3043</v>
      </c>
    </row>
    <row r="34" spans="1:12" ht="9" customHeight="1" thickBot="1" x14ac:dyDescent="0.35"/>
    <row r="35" spans="1:12" s="292" customFormat="1" ht="15" thickBot="1" x14ac:dyDescent="0.35">
      <c r="B35" s="1146" t="s">
        <v>4813</v>
      </c>
      <c r="C35" s="1147"/>
      <c r="D35" s="1147"/>
      <c r="E35" s="380"/>
      <c r="F35" s="380"/>
      <c r="G35" s="380"/>
      <c r="H35" s="380"/>
      <c r="I35" s="380"/>
      <c r="J35" s="380"/>
    </row>
    <row r="36" spans="1:12" ht="7.5" customHeight="1" x14ac:dyDescent="0.3"/>
    <row r="37" spans="1:12" x14ac:dyDescent="0.3">
      <c r="A37" s="2">
        <v>1</v>
      </c>
      <c r="B37" s="2" t="s">
        <v>3066</v>
      </c>
      <c r="C37" s="2" t="s">
        <v>3070</v>
      </c>
      <c r="D37" s="60">
        <v>0.37777777777777777</v>
      </c>
      <c r="E37" s="2">
        <v>3</v>
      </c>
      <c r="F37" s="60">
        <v>0.125</v>
      </c>
      <c r="G37" s="60">
        <v>0.12638888888888888</v>
      </c>
      <c r="H37" s="60">
        <v>0.12638888888888888</v>
      </c>
      <c r="J37" s="2" t="s">
        <v>3073</v>
      </c>
      <c r="K37" t="s">
        <v>3071</v>
      </c>
      <c r="L37" t="s">
        <v>3072</v>
      </c>
    </row>
    <row r="38" spans="1:12" x14ac:dyDescent="0.3">
      <c r="A38" s="2">
        <v>2</v>
      </c>
      <c r="B38" s="2" t="s">
        <v>3066</v>
      </c>
      <c r="C38" s="2" t="s">
        <v>3074</v>
      </c>
      <c r="D38" s="60" t="s">
        <v>353</v>
      </c>
      <c r="E38" s="2">
        <v>4</v>
      </c>
      <c r="F38" s="60">
        <v>6.9444444444444447E-4</v>
      </c>
      <c r="G38" s="60">
        <v>0.12569444444444444</v>
      </c>
      <c r="H38" s="60">
        <v>4.3055555555555562E-2</v>
      </c>
      <c r="I38" s="2" t="s">
        <v>158</v>
      </c>
      <c r="J38" s="2" t="s">
        <v>3075</v>
      </c>
      <c r="K38" t="s">
        <v>3077</v>
      </c>
      <c r="L38" t="s">
        <v>3076</v>
      </c>
    </row>
    <row r="39" spans="1:12" x14ac:dyDescent="0.3">
      <c r="A39" s="2">
        <v>3</v>
      </c>
      <c r="B39" s="2" t="s">
        <v>3066</v>
      </c>
      <c r="C39" s="2" t="s">
        <v>3078</v>
      </c>
      <c r="D39" s="60">
        <v>0.21249999999999999</v>
      </c>
      <c r="E39" s="2">
        <v>4</v>
      </c>
      <c r="F39" s="60">
        <v>2.7777777777777779E-3</v>
      </c>
      <c r="G39" s="60">
        <v>8.3333333333333329E-2</v>
      </c>
      <c r="H39" s="60">
        <v>0.12638888888888888</v>
      </c>
      <c r="J39" s="2" t="s">
        <v>3081</v>
      </c>
      <c r="K39" t="s">
        <v>3079</v>
      </c>
      <c r="L39" t="s">
        <v>3080</v>
      </c>
    </row>
    <row r="40" spans="1:12" x14ac:dyDescent="0.3">
      <c r="A40" s="2">
        <v>4</v>
      </c>
      <c r="B40" s="2" t="s">
        <v>3066</v>
      </c>
      <c r="C40" s="2" t="s">
        <v>3082</v>
      </c>
      <c r="D40" s="60">
        <v>0.46111111111111108</v>
      </c>
      <c r="E40" s="2">
        <v>7</v>
      </c>
      <c r="F40" s="60">
        <v>0.16666666666666666</v>
      </c>
      <c r="G40" s="60">
        <v>0.16805555555555554</v>
      </c>
      <c r="H40" s="60">
        <v>0.12638888888888888</v>
      </c>
      <c r="J40" s="2" t="s">
        <v>3085</v>
      </c>
      <c r="K40" t="s">
        <v>3084</v>
      </c>
      <c r="L40" t="s">
        <v>3083</v>
      </c>
    </row>
    <row r="41" spans="1:12" x14ac:dyDescent="0.3">
      <c r="A41" s="2">
        <v>5</v>
      </c>
      <c r="B41" s="2" t="s">
        <v>3066</v>
      </c>
      <c r="C41" s="2" t="s">
        <v>3086</v>
      </c>
      <c r="D41" s="60">
        <v>0.29236111111111113</v>
      </c>
      <c r="E41" s="2">
        <v>10</v>
      </c>
      <c r="F41" s="60">
        <v>0.125</v>
      </c>
      <c r="G41" s="60">
        <v>8.4027777777777771E-2</v>
      </c>
      <c r="H41" s="60">
        <v>8.3333333333333329E-2</v>
      </c>
      <c r="J41" s="2" t="s">
        <v>3089</v>
      </c>
      <c r="K41" t="s">
        <v>3088</v>
      </c>
      <c r="L41" t="s">
        <v>3087</v>
      </c>
    </row>
    <row r="42" spans="1:12" x14ac:dyDescent="0.3">
      <c r="A42" s="2">
        <v>6</v>
      </c>
      <c r="B42" s="2" t="s">
        <v>3066</v>
      </c>
      <c r="C42" s="2" t="s">
        <v>3090</v>
      </c>
      <c r="D42" s="60">
        <v>0.3756944444444445</v>
      </c>
      <c r="E42" s="2">
        <v>13</v>
      </c>
      <c r="F42" s="60">
        <v>4.1666666666666664E-2</v>
      </c>
      <c r="G42" s="60">
        <v>0.1673611111111111</v>
      </c>
      <c r="H42" s="60">
        <v>0.16805555555555554</v>
      </c>
      <c r="J42" s="381" t="s">
        <v>3093</v>
      </c>
      <c r="K42" t="s">
        <v>3092</v>
      </c>
      <c r="L42" t="s">
        <v>3091</v>
      </c>
    </row>
    <row r="43" spans="1:12" x14ac:dyDescent="0.3">
      <c r="A43" s="2">
        <v>7</v>
      </c>
      <c r="B43" s="2" t="s">
        <v>3066</v>
      </c>
      <c r="C43" s="2" t="s">
        <v>3094</v>
      </c>
      <c r="D43" s="60">
        <v>0.21041666666666667</v>
      </c>
      <c r="E43" s="2">
        <v>16</v>
      </c>
      <c r="F43" s="60">
        <v>8.3333333333333329E-2</v>
      </c>
      <c r="G43" s="60">
        <v>0.12569444444444444</v>
      </c>
      <c r="H43" s="60">
        <v>1.3888888888888889E-3</v>
      </c>
      <c r="J43" s="2" t="s">
        <v>3095</v>
      </c>
      <c r="K43" t="s">
        <v>3097</v>
      </c>
      <c r="L43" t="s">
        <v>3096</v>
      </c>
    </row>
    <row r="44" spans="1:12" x14ac:dyDescent="0.3">
      <c r="A44" s="2">
        <v>8</v>
      </c>
      <c r="B44" s="2" t="s">
        <v>3066</v>
      </c>
      <c r="C44" s="2" t="s">
        <v>3098</v>
      </c>
      <c r="D44" s="60" t="s">
        <v>358</v>
      </c>
      <c r="E44" s="2">
        <v>18</v>
      </c>
      <c r="F44" s="60">
        <v>8.4722222222222213E-2</v>
      </c>
      <c r="G44" s="60">
        <v>4.3055555555555562E-2</v>
      </c>
      <c r="H44" s="60">
        <v>8.4027777777777771E-2</v>
      </c>
      <c r="I44" s="2" t="s">
        <v>756</v>
      </c>
      <c r="J44" s="2" t="s">
        <v>3101</v>
      </c>
      <c r="K44" t="s">
        <v>3099</v>
      </c>
      <c r="L44" t="s">
        <v>3100</v>
      </c>
    </row>
    <row r="45" spans="1:12" x14ac:dyDescent="0.3">
      <c r="A45" s="2">
        <v>9</v>
      </c>
      <c r="B45" s="2" t="s">
        <v>3066</v>
      </c>
      <c r="C45" s="2" t="s">
        <v>3103</v>
      </c>
      <c r="D45" s="60">
        <v>0.125</v>
      </c>
      <c r="E45" s="2">
        <v>21</v>
      </c>
      <c r="F45" s="60">
        <v>0</v>
      </c>
      <c r="G45" s="60">
        <v>8.3333333333333329E-2</v>
      </c>
      <c r="H45" s="60">
        <v>4.1666666666666664E-2</v>
      </c>
      <c r="J45" s="60">
        <v>0.125</v>
      </c>
      <c r="K45" t="s">
        <v>3104</v>
      </c>
      <c r="L45" t="s">
        <v>3105</v>
      </c>
    </row>
    <row r="46" spans="1:12" x14ac:dyDescent="0.3">
      <c r="A46" s="2">
        <v>10</v>
      </c>
      <c r="B46" s="2" t="s">
        <v>3066</v>
      </c>
      <c r="C46" s="2" t="s">
        <v>3106</v>
      </c>
      <c r="D46" s="60">
        <v>4.4444444444444446E-2</v>
      </c>
      <c r="E46" s="2">
        <v>21</v>
      </c>
      <c r="F46" s="60">
        <v>6.9444444444444447E-4</v>
      </c>
      <c r="G46" s="60">
        <v>6.9444444444444447E-4</v>
      </c>
      <c r="H46" s="60">
        <v>4.3055555555555562E-2</v>
      </c>
      <c r="J46" s="2" t="s">
        <v>3108</v>
      </c>
      <c r="K46" t="s">
        <v>3109</v>
      </c>
      <c r="L46" t="s">
        <v>3107</v>
      </c>
    </row>
    <row r="47" spans="1:12" x14ac:dyDescent="0.3">
      <c r="A47" s="2">
        <v>11</v>
      </c>
      <c r="B47" s="2" t="s">
        <v>3066</v>
      </c>
      <c r="C47" s="2" t="s">
        <v>3110</v>
      </c>
      <c r="D47" s="60">
        <v>0.29583333333333334</v>
      </c>
      <c r="E47" s="2">
        <v>24</v>
      </c>
      <c r="F47" s="60">
        <v>4.3055555555555562E-2</v>
      </c>
      <c r="G47" s="60">
        <v>0.20972222222222223</v>
      </c>
      <c r="H47" s="60">
        <v>4.3055555555555562E-2</v>
      </c>
      <c r="J47" s="2" t="s">
        <v>3113</v>
      </c>
      <c r="K47" t="s">
        <v>3111</v>
      </c>
      <c r="L47" t="s">
        <v>3112</v>
      </c>
    </row>
    <row r="48" spans="1:12" x14ac:dyDescent="0.3">
      <c r="A48" s="2">
        <v>12</v>
      </c>
      <c r="B48" s="2" t="s">
        <v>3066</v>
      </c>
      <c r="C48" s="2" t="s">
        <v>3114</v>
      </c>
      <c r="D48" s="60">
        <v>0.46249999999999997</v>
      </c>
      <c r="E48" s="2">
        <v>27</v>
      </c>
      <c r="F48" s="60">
        <v>0.12638888888888888</v>
      </c>
      <c r="G48" s="60">
        <v>0.16805555555555554</v>
      </c>
      <c r="H48" s="60">
        <v>0.16805555555555554</v>
      </c>
      <c r="J48" s="2" t="s">
        <v>3117</v>
      </c>
      <c r="K48" t="s">
        <v>3115</v>
      </c>
      <c r="L48" t="s">
        <v>3116</v>
      </c>
    </row>
    <row r="49" spans="1:12" x14ac:dyDescent="0.3">
      <c r="A49" s="2">
        <v>13</v>
      </c>
      <c r="B49" s="2" t="s">
        <v>3066</v>
      </c>
      <c r="C49" s="2" t="s">
        <v>3118</v>
      </c>
      <c r="D49" s="60">
        <v>4.6527777777777779E-2</v>
      </c>
      <c r="E49" s="2">
        <v>27</v>
      </c>
      <c r="F49" s="60">
        <v>2.0833333333333333E-3</v>
      </c>
      <c r="G49" s="60">
        <v>2.7777777777777779E-3</v>
      </c>
      <c r="H49" s="60">
        <v>4.1666666666666664E-2</v>
      </c>
      <c r="J49" s="2" t="s">
        <v>3122</v>
      </c>
      <c r="K49" t="s">
        <v>3123</v>
      </c>
      <c r="L49" t="s">
        <v>3120</v>
      </c>
    </row>
    <row r="50" spans="1:12" x14ac:dyDescent="0.3">
      <c r="A50" s="2">
        <v>14</v>
      </c>
      <c r="B50" s="2" t="s">
        <v>3066</v>
      </c>
      <c r="C50" s="2" t="s">
        <v>3119</v>
      </c>
      <c r="D50" s="60" t="s">
        <v>359</v>
      </c>
      <c r="E50" s="2">
        <v>28</v>
      </c>
      <c r="F50" s="60">
        <v>4.2361111111111106E-2</v>
      </c>
      <c r="G50" s="60">
        <v>8.4722222222222213E-2</v>
      </c>
      <c r="H50" s="60">
        <v>4.2361111111111106E-2</v>
      </c>
      <c r="J50" s="2" t="s">
        <v>3125</v>
      </c>
      <c r="K50" t="s">
        <v>3124</v>
      </c>
      <c r="L50" t="s">
        <v>3121</v>
      </c>
    </row>
    <row r="51" spans="1:12" x14ac:dyDescent="0.3">
      <c r="A51" s="2">
        <v>15</v>
      </c>
      <c r="B51" s="2" t="s">
        <v>3066</v>
      </c>
      <c r="C51" s="2" t="s">
        <v>3070</v>
      </c>
      <c r="D51" s="60">
        <v>0.29444444444444445</v>
      </c>
      <c r="E51" s="2">
        <v>31</v>
      </c>
      <c r="F51" s="60">
        <v>8.5416666666666655E-2</v>
      </c>
      <c r="G51" s="60">
        <v>8.4027777777777771E-2</v>
      </c>
      <c r="H51" s="60">
        <v>0.125</v>
      </c>
      <c r="J51" s="2" t="s">
        <v>3131</v>
      </c>
      <c r="K51" t="s">
        <v>3129</v>
      </c>
      <c r="L51" t="s">
        <v>3128</v>
      </c>
    </row>
    <row r="52" spans="1:12" x14ac:dyDescent="0.3">
      <c r="A52" s="2">
        <v>16</v>
      </c>
      <c r="B52" s="2" t="s">
        <v>3066</v>
      </c>
      <c r="C52" s="2" t="s">
        <v>3126</v>
      </c>
      <c r="D52" s="60">
        <v>0.17152777777777775</v>
      </c>
      <c r="E52" s="2">
        <v>31</v>
      </c>
      <c r="F52" s="60">
        <v>4.3750000000000004E-2</v>
      </c>
      <c r="G52" s="60">
        <v>8.6111111111111124E-2</v>
      </c>
      <c r="H52" s="60">
        <v>4.1666666666666664E-2</v>
      </c>
      <c r="J52" s="2" t="s">
        <v>3132</v>
      </c>
      <c r="K52" t="s">
        <v>3130</v>
      </c>
      <c r="L52" t="s">
        <v>3127</v>
      </c>
    </row>
    <row r="53" spans="1:12" x14ac:dyDescent="0.3">
      <c r="A53" s="2">
        <v>17</v>
      </c>
      <c r="B53" s="2" t="s">
        <v>3066</v>
      </c>
      <c r="C53" s="2" t="s">
        <v>3074</v>
      </c>
      <c r="D53" s="60">
        <v>8.6805555555555566E-2</v>
      </c>
      <c r="E53" s="2">
        <v>31</v>
      </c>
      <c r="F53" s="60">
        <v>4.3055555555555562E-2</v>
      </c>
      <c r="G53" s="60">
        <v>0</v>
      </c>
      <c r="H53" s="60">
        <v>4.3750000000000004E-2</v>
      </c>
      <c r="J53" s="2" t="s">
        <v>3133</v>
      </c>
      <c r="K53" t="s">
        <v>3135</v>
      </c>
      <c r="L53" t="s">
        <v>3134</v>
      </c>
    </row>
    <row r="54" spans="1:12" x14ac:dyDescent="0.3">
      <c r="A54" s="2">
        <v>18</v>
      </c>
      <c r="B54" s="2" t="s">
        <v>3066</v>
      </c>
      <c r="C54" s="2" t="s">
        <v>3137</v>
      </c>
      <c r="D54" s="60">
        <v>0.25138888888888888</v>
      </c>
      <c r="E54" s="2">
        <v>34</v>
      </c>
      <c r="F54" s="60">
        <v>4.3055555555555562E-2</v>
      </c>
      <c r="G54" s="60">
        <v>8.3333333333333329E-2</v>
      </c>
      <c r="H54" s="60">
        <v>0.125</v>
      </c>
      <c r="J54" s="2" t="s">
        <v>3140</v>
      </c>
      <c r="K54" t="s">
        <v>3138</v>
      </c>
      <c r="L54" t="s">
        <v>3139</v>
      </c>
    </row>
    <row r="55" spans="1:12" x14ac:dyDescent="0.3">
      <c r="A55" s="2">
        <v>19</v>
      </c>
      <c r="B55" s="2" t="s">
        <v>3066</v>
      </c>
      <c r="C55" s="2" t="s">
        <v>3078</v>
      </c>
      <c r="D55" s="60">
        <v>5.0694444444444452E-2</v>
      </c>
      <c r="E55" s="2">
        <v>34</v>
      </c>
      <c r="F55" s="60">
        <v>2.7777777777777779E-3</v>
      </c>
      <c r="G55" s="60">
        <v>4.3750000000000004E-2</v>
      </c>
      <c r="H55" s="60">
        <v>4.1666666666666666E-3</v>
      </c>
      <c r="J55" s="244" t="s">
        <v>3147</v>
      </c>
      <c r="K55" t="s">
        <v>3144</v>
      </c>
      <c r="L55" t="s">
        <v>3143</v>
      </c>
    </row>
    <row r="56" spans="1:12" x14ac:dyDescent="0.3">
      <c r="A56" s="2">
        <v>20</v>
      </c>
      <c r="B56" s="2" t="s">
        <v>3066</v>
      </c>
      <c r="C56" s="2" t="s">
        <v>3141</v>
      </c>
      <c r="D56" s="60" t="s">
        <v>351</v>
      </c>
      <c r="E56" s="2">
        <v>36</v>
      </c>
      <c r="F56" s="60">
        <v>4.3055555555555562E-2</v>
      </c>
      <c r="G56" s="60">
        <v>0</v>
      </c>
      <c r="H56" s="60">
        <v>4.1666666666666664E-2</v>
      </c>
      <c r="I56" s="2" t="s">
        <v>756</v>
      </c>
      <c r="J56" s="2" t="s">
        <v>3146</v>
      </c>
      <c r="K56" t="s">
        <v>3145</v>
      </c>
      <c r="L56" t="s">
        <v>3142</v>
      </c>
    </row>
    <row r="57" spans="1:12" x14ac:dyDescent="0.3">
      <c r="A57" s="2">
        <v>21</v>
      </c>
      <c r="B57" s="2" t="s">
        <v>3066</v>
      </c>
      <c r="C57" s="2" t="s">
        <v>3082</v>
      </c>
      <c r="D57" s="60">
        <v>0.16805555555555554</v>
      </c>
      <c r="E57" s="2">
        <v>39</v>
      </c>
      <c r="F57" s="60">
        <v>4.2361111111111106E-2</v>
      </c>
      <c r="G57" s="60">
        <v>6.9444444444444447E-4</v>
      </c>
      <c r="H57" s="60">
        <v>0.125</v>
      </c>
      <c r="J57" s="381" t="s">
        <v>3153</v>
      </c>
      <c r="K57" t="s">
        <v>3151</v>
      </c>
      <c r="L57" t="s">
        <v>3150</v>
      </c>
    </row>
    <row r="58" spans="1:12" x14ac:dyDescent="0.3">
      <c r="A58" s="2">
        <v>22</v>
      </c>
      <c r="B58" s="2" t="s">
        <v>3066</v>
      </c>
      <c r="C58" s="2" t="s">
        <v>3148</v>
      </c>
      <c r="D58" s="60">
        <v>0.17013888888888887</v>
      </c>
      <c r="E58" s="2">
        <v>39</v>
      </c>
      <c r="F58" s="60">
        <v>4.2361111111111106E-2</v>
      </c>
      <c r="G58" s="60">
        <v>8.5416666666666655E-2</v>
      </c>
      <c r="H58" s="60">
        <v>4.2361111111111106E-2</v>
      </c>
      <c r="J58" s="244" t="s">
        <v>3154</v>
      </c>
      <c r="K58" t="s">
        <v>3152</v>
      </c>
      <c r="L58" t="s">
        <v>3149</v>
      </c>
    </row>
    <row r="59" spans="1:12" x14ac:dyDescent="0.3">
      <c r="A59" s="2">
        <v>23</v>
      </c>
      <c r="B59" s="2" t="s">
        <v>3066</v>
      </c>
      <c r="C59" s="2" t="s">
        <v>3086</v>
      </c>
      <c r="D59" s="60">
        <v>0.29375000000000001</v>
      </c>
      <c r="E59" s="2">
        <v>42</v>
      </c>
      <c r="F59" s="60">
        <v>0.16666666666666666</v>
      </c>
      <c r="G59" s="60">
        <v>6.9444444444444447E-4</v>
      </c>
      <c r="H59" s="60">
        <v>0.12638888888888888</v>
      </c>
      <c r="J59" s="2" t="s">
        <v>3155</v>
      </c>
      <c r="K59" t="s">
        <v>3156</v>
      </c>
      <c r="L59" t="s">
        <v>3157</v>
      </c>
    </row>
    <row r="60" spans="1:12" x14ac:dyDescent="0.3">
      <c r="A60" s="2">
        <v>24</v>
      </c>
      <c r="B60" s="2" t="s">
        <v>3066</v>
      </c>
      <c r="C60" s="2" t="s">
        <v>3160</v>
      </c>
      <c r="D60" s="60">
        <v>0.25208333333333333</v>
      </c>
      <c r="E60" s="2">
        <v>45</v>
      </c>
      <c r="F60" s="60">
        <v>8.4027777777777771E-2</v>
      </c>
      <c r="G60" s="60">
        <v>0.12638888888888888</v>
      </c>
      <c r="H60" s="60">
        <v>4.1666666666666664E-2</v>
      </c>
      <c r="J60" s="2" t="s">
        <v>3163</v>
      </c>
      <c r="K60" t="s">
        <v>3162</v>
      </c>
      <c r="L60" t="s">
        <v>3161</v>
      </c>
    </row>
    <row r="61" spans="1:12" x14ac:dyDescent="0.3">
      <c r="A61" s="2">
        <v>25</v>
      </c>
      <c r="B61" s="2" t="s">
        <v>3066</v>
      </c>
      <c r="C61" s="2" t="s">
        <v>3164</v>
      </c>
      <c r="D61" s="60">
        <v>0.17083333333333331</v>
      </c>
      <c r="E61" s="2">
        <v>45</v>
      </c>
      <c r="F61" s="60">
        <v>0.12638888888888888</v>
      </c>
      <c r="G61" s="60">
        <v>6.9444444444444447E-4</v>
      </c>
      <c r="H61" s="60">
        <v>4.3750000000000004E-2</v>
      </c>
      <c r="J61" s="2" t="s">
        <v>3167</v>
      </c>
      <c r="K61" t="s">
        <v>3165</v>
      </c>
      <c r="L61" t="s">
        <v>3166</v>
      </c>
    </row>
    <row r="62" spans="1:12" x14ac:dyDescent="0.3">
      <c r="A62" s="2">
        <v>26</v>
      </c>
      <c r="B62" s="2" t="s">
        <v>3066</v>
      </c>
      <c r="C62" s="2" t="s">
        <v>3090</v>
      </c>
      <c r="D62" s="60">
        <v>0.21388888888888891</v>
      </c>
      <c r="E62" s="2">
        <v>45</v>
      </c>
      <c r="F62" s="60">
        <v>8.5416666666666655E-2</v>
      </c>
      <c r="G62" s="60">
        <v>6.9444444444444447E-4</v>
      </c>
      <c r="H62" s="60">
        <v>0.1277777777777778</v>
      </c>
      <c r="J62" s="2" t="s">
        <v>3173</v>
      </c>
      <c r="K62" t="s">
        <v>3172</v>
      </c>
      <c r="L62" t="s">
        <v>3169</v>
      </c>
    </row>
    <row r="63" spans="1:12" x14ac:dyDescent="0.3">
      <c r="A63" s="2">
        <v>27</v>
      </c>
      <c r="B63" s="2" t="s">
        <v>3066</v>
      </c>
      <c r="C63" s="2" t="s">
        <v>3168</v>
      </c>
      <c r="D63" s="60">
        <v>0.1277777777777778</v>
      </c>
      <c r="E63" s="2">
        <v>45</v>
      </c>
      <c r="F63" s="60">
        <v>4.3750000000000004E-2</v>
      </c>
      <c r="G63" s="60">
        <v>4.2361111111111106E-2</v>
      </c>
      <c r="H63" s="60">
        <v>4.1666666666666664E-2</v>
      </c>
      <c r="J63" s="2" t="s">
        <v>3174</v>
      </c>
      <c r="K63" t="s">
        <v>3171</v>
      </c>
      <c r="L63" t="s">
        <v>3170</v>
      </c>
    </row>
    <row r="64" spans="1:12" x14ac:dyDescent="0.3">
      <c r="A64" s="2">
        <v>28</v>
      </c>
      <c r="B64" s="2" t="s">
        <v>3066</v>
      </c>
      <c r="C64" s="2" t="s">
        <v>3175</v>
      </c>
      <c r="D64" s="60">
        <v>8.8888888888888892E-2</v>
      </c>
      <c r="E64" s="2">
        <v>45</v>
      </c>
      <c r="F64" s="60">
        <v>6.9444444444444447E-4</v>
      </c>
      <c r="G64" s="60">
        <v>4.5138888888888888E-2</v>
      </c>
      <c r="H64" s="60">
        <v>4.3055555555555562E-2</v>
      </c>
      <c r="J64" s="2" t="s">
        <v>3180</v>
      </c>
      <c r="K64" t="s">
        <v>3179</v>
      </c>
      <c r="L64" t="s">
        <v>3176</v>
      </c>
    </row>
    <row r="65" spans="1:12" x14ac:dyDescent="0.3">
      <c r="A65" s="2">
        <v>29</v>
      </c>
      <c r="B65" s="2" t="s">
        <v>3066</v>
      </c>
      <c r="C65" s="2" t="s">
        <v>3098</v>
      </c>
      <c r="D65" s="60">
        <v>0.17291666666666669</v>
      </c>
      <c r="E65" s="2">
        <v>45</v>
      </c>
      <c r="F65" s="60">
        <v>8.6111111111111124E-2</v>
      </c>
      <c r="G65" s="60">
        <v>4.3750000000000004E-2</v>
      </c>
      <c r="H65" s="60">
        <v>4.3055555555555562E-2</v>
      </c>
      <c r="J65" s="2" t="s">
        <v>3181</v>
      </c>
      <c r="K65" t="s">
        <v>3178</v>
      </c>
      <c r="L65" t="s">
        <v>3177</v>
      </c>
    </row>
    <row r="66" spans="1:12" x14ac:dyDescent="0.3">
      <c r="A66" s="2">
        <v>30</v>
      </c>
      <c r="B66" s="2" t="s">
        <v>3066</v>
      </c>
      <c r="C66" s="2" t="s">
        <v>3182</v>
      </c>
      <c r="D66" s="60">
        <v>0.12916666666666668</v>
      </c>
      <c r="E66" s="2">
        <v>45</v>
      </c>
      <c r="F66" s="60">
        <v>8.4027777777777771E-2</v>
      </c>
      <c r="G66" s="60">
        <v>4.4444444444444446E-2</v>
      </c>
      <c r="H66" s="60">
        <v>6.9444444444444447E-4</v>
      </c>
      <c r="J66" s="2" t="s">
        <v>3190</v>
      </c>
      <c r="K66" t="s">
        <v>3189</v>
      </c>
      <c r="L66" t="s">
        <v>3184</v>
      </c>
    </row>
    <row r="67" spans="1:12" x14ac:dyDescent="0.3">
      <c r="A67" s="2">
        <v>31</v>
      </c>
      <c r="B67" s="2" t="s">
        <v>3066</v>
      </c>
      <c r="C67" s="2" t="s">
        <v>3183</v>
      </c>
      <c r="D67" s="60">
        <v>0.12916666666666668</v>
      </c>
      <c r="E67" s="2">
        <v>45</v>
      </c>
      <c r="F67" s="60">
        <v>2.0833333333333333E-3</v>
      </c>
      <c r="G67" s="60">
        <v>4.1666666666666664E-2</v>
      </c>
      <c r="H67" s="60">
        <v>8.5416666666666655E-2</v>
      </c>
      <c r="J67" s="2" t="s">
        <v>3191</v>
      </c>
      <c r="K67" t="s">
        <v>3188</v>
      </c>
      <c r="L67" t="s">
        <v>3185</v>
      </c>
    </row>
    <row r="68" spans="1:12" x14ac:dyDescent="0.3">
      <c r="A68" s="2">
        <v>32</v>
      </c>
      <c r="B68" s="2" t="s">
        <v>3066</v>
      </c>
      <c r="C68" s="2" t="s">
        <v>3103</v>
      </c>
      <c r="D68" s="60">
        <v>9.0972222222222218E-2</v>
      </c>
      <c r="E68" s="2">
        <v>45</v>
      </c>
      <c r="F68" s="60">
        <v>2.0833333333333333E-3</v>
      </c>
      <c r="G68" s="60">
        <v>4.3055555555555562E-2</v>
      </c>
      <c r="H68" s="60">
        <v>4.5833333333333337E-2</v>
      </c>
      <c r="J68" s="381" t="s">
        <v>3192</v>
      </c>
      <c r="K68" t="s">
        <v>3187</v>
      </c>
      <c r="L68" t="s">
        <v>3186</v>
      </c>
    </row>
    <row r="69" spans="1:12" x14ac:dyDescent="0.3">
      <c r="A69" s="2">
        <v>33</v>
      </c>
      <c r="B69" s="2" t="s">
        <v>3066</v>
      </c>
      <c r="C69" s="2" t="s">
        <v>3194</v>
      </c>
      <c r="D69" s="60">
        <v>0.20833333333333334</v>
      </c>
      <c r="E69" s="2">
        <v>48</v>
      </c>
      <c r="F69" s="60">
        <v>8.3333333333333329E-2</v>
      </c>
      <c r="G69" s="60">
        <v>8.3333333333333329E-2</v>
      </c>
      <c r="H69" s="60">
        <v>4.1666666666666664E-2</v>
      </c>
      <c r="J69" s="60">
        <v>0.20833333333333334</v>
      </c>
      <c r="K69" t="s">
        <v>3199</v>
      </c>
      <c r="L69" t="s">
        <v>3198</v>
      </c>
    </row>
    <row r="70" spans="1:12" x14ac:dyDescent="0.3">
      <c r="A70" s="2">
        <v>34</v>
      </c>
      <c r="B70" s="2" t="s">
        <v>3066</v>
      </c>
      <c r="C70" s="2" t="s">
        <v>3106</v>
      </c>
      <c r="D70" s="60">
        <v>0.1673611111111111</v>
      </c>
      <c r="E70" s="2">
        <v>51</v>
      </c>
      <c r="F70" s="60">
        <v>4.1666666666666664E-2</v>
      </c>
      <c r="G70" s="60">
        <v>0</v>
      </c>
      <c r="H70" s="60">
        <v>0.12569444444444444</v>
      </c>
      <c r="J70" s="2" t="s">
        <v>3202</v>
      </c>
      <c r="K70" t="s">
        <v>3200</v>
      </c>
      <c r="L70" t="s">
        <v>3197</v>
      </c>
    </row>
    <row r="71" spans="1:12" x14ac:dyDescent="0.3">
      <c r="A71" s="2">
        <v>35</v>
      </c>
      <c r="B71" s="2" t="s">
        <v>3066</v>
      </c>
      <c r="C71" s="2" t="s">
        <v>3195</v>
      </c>
      <c r="D71" s="60">
        <v>8.6805555555555566E-2</v>
      </c>
      <c r="E71" s="2">
        <v>51</v>
      </c>
      <c r="F71" s="60">
        <v>1.3888888888888889E-3</v>
      </c>
      <c r="G71" s="60">
        <v>4.3055555555555562E-2</v>
      </c>
      <c r="H71" s="60">
        <v>4.2361111111111106E-2</v>
      </c>
      <c r="J71" s="2" t="s">
        <v>3203</v>
      </c>
      <c r="K71" t="s">
        <v>3201</v>
      </c>
      <c r="L71" t="s">
        <v>3196</v>
      </c>
    </row>
    <row r="72" spans="1:12" x14ac:dyDescent="0.3">
      <c r="A72" s="2">
        <v>36</v>
      </c>
      <c r="B72" s="2" t="s">
        <v>3066</v>
      </c>
      <c r="C72" s="2" t="s">
        <v>3110</v>
      </c>
      <c r="D72" s="60" t="s">
        <v>359</v>
      </c>
      <c r="E72" s="2">
        <v>52</v>
      </c>
      <c r="F72" s="60">
        <v>8.3333333333333329E-2</v>
      </c>
      <c r="G72" s="60">
        <v>4.3055555555555562E-2</v>
      </c>
      <c r="H72" s="60">
        <v>4.3055555555555562E-2</v>
      </c>
      <c r="I72" s="2" t="s">
        <v>3213</v>
      </c>
      <c r="J72" s="2" t="s">
        <v>3212</v>
      </c>
      <c r="K72" t="s">
        <v>3211</v>
      </c>
      <c r="L72" t="s">
        <v>3206</v>
      </c>
    </row>
    <row r="73" spans="1:12" x14ac:dyDescent="0.3">
      <c r="A73" s="2">
        <v>37</v>
      </c>
      <c r="B73" s="2" t="s">
        <v>3066</v>
      </c>
      <c r="C73" s="2" t="s">
        <v>3114</v>
      </c>
      <c r="D73" s="60">
        <v>0.29375000000000001</v>
      </c>
      <c r="E73" s="2">
        <v>55</v>
      </c>
      <c r="F73" s="60">
        <v>8.4722222222222213E-2</v>
      </c>
      <c r="G73" s="60">
        <v>0.16666666666666666</v>
      </c>
      <c r="H73" s="60">
        <v>4.2361111111111106E-2</v>
      </c>
      <c r="J73" s="2" t="s">
        <v>3209</v>
      </c>
      <c r="K73" t="s">
        <v>3207</v>
      </c>
      <c r="L73" t="s">
        <v>3205</v>
      </c>
    </row>
    <row r="74" spans="1:12" x14ac:dyDescent="0.3">
      <c r="A74" s="2">
        <v>38</v>
      </c>
      <c r="B74" s="2" t="s">
        <v>3066</v>
      </c>
      <c r="C74" s="2" t="s">
        <v>3119</v>
      </c>
      <c r="D74" s="60" t="s">
        <v>164</v>
      </c>
      <c r="E74" s="2">
        <v>57</v>
      </c>
      <c r="F74" s="60">
        <v>0</v>
      </c>
      <c r="G74" s="60">
        <v>8.4722222222222213E-2</v>
      </c>
      <c r="H74" s="60">
        <v>4.2361111111111106E-2</v>
      </c>
      <c r="I74" s="2" t="s">
        <v>756</v>
      </c>
      <c r="J74" s="2" t="s">
        <v>3210</v>
      </c>
      <c r="K74" t="s">
        <v>3208</v>
      </c>
      <c r="L74" t="s">
        <v>3204</v>
      </c>
    </row>
    <row r="75" spans="1:12" x14ac:dyDescent="0.3">
      <c r="B75" s="2" t="s">
        <v>3215</v>
      </c>
      <c r="C75" s="2" t="s">
        <v>3175</v>
      </c>
      <c r="D75" s="60">
        <v>0.16874999999999998</v>
      </c>
      <c r="E75" s="2" t="s">
        <v>3024</v>
      </c>
      <c r="F75" s="60">
        <v>0.12569444444444444</v>
      </c>
      <c r="G75" s="60">
        <v>4.2361111111111106E-2</v>
      </c>
      <c r="H75" s="60">
        <v>6.9444444444444447E-4</v>
      </c>
      <c r="J75" s="2" t="s">
        <v>3225</v>
      </c>
      <c r="K75" t="s">
        <v>3224</v>
      </c>
      <c r="L75" t="s">
        <v>3217</v>
      </c>
    </row>
    <row r="76" spans="1:12" x14ac:dyDescent="0.3">
      <c r="B76" s="2" t="s">
        <v>3215</v>
      </c>
      <c r="C76" s="2" t="s">
        <v>3126</v>
      </c>
      <c r="D76" s="60">
        <v>0.16874999999999998</v>
      </c>
      <c r="E76" s="2" t="s">
        <v>3029</v>
      </c>
      <c r="F76" s="60">
        <v>4.3055555555555562E-2</v>
      </c>
      <c r="G76" s="60">
        <v>4.2361111111111106E-2</v>
      </c>
      <c r="H76" s="60">
        <v>8.3333333333333329E-2</v>
      </c>
      <c r="J76" s="2" t="s">
        <v>3226</v>
      </c>
      <c r="K76" t="s">
        <v>3223</v>
      </c>
      <c r="L76" t="s">
        <v>3218</v>
      </c>
    </row>
    <row r="77" spans="1:12" x14ac:dyDescent="0.3">
      <c r="B77" s="2" t="s">
        <v>3215</v>
      </c>
      <c r="C77" s="2" t="s">
        <v>3175</v>
      </c>
      <c r="D77" s="60">
        <v>4.7916666666666663E-2</v>
      </c>
      <c r="E77" s="2" t="s">
        <v>3034</v>
      </c>
      <c r="F77" s="60">
        <v>2.0833333333333333E-3</v>
      </c>
      <c r="G77" s="60">
        <v>2.7777777777777779E-3</v>
      </c>
      <c r="H77" s="60">
        <v>4.3055555555555562E-2</v>
      </c>
      <c r="J77" s="381" t="s">
        <v>3227</v>
      </c>
      <c r="K77" t="s">
        <v>3222</v>
      </c>
      <c r="L77" t="s">
        <v>3219</v>
      </c>
    </row>
    <row r="78" spans="1:12" x14ac:dyDescent="0.3">
      <c r="B78" s="2" t="s">
        <v>3215</v>
      </c>
      <c r="C78" s="2" t="s">
        <v>3126</v>
      </c>
      <c r="D78" s="60">
        <v>0.33402777777777781</v>
      </c>
      <c r="E78" s="2" t="s">
        <v>3214</v>
      </c>
      <c r="F78" s="60">
        <v>0.125</v>
      </c>
      <c r="G78" s="60">
        <v>4.2361111111111106E-2</v>
      </c>
      <c r="H78" s="60">
        <v>0.16666666666666666</v>
      </c>
      <c r="J78" s="2" t="s">
        <v>3228</v>
      </c>
      <c r="K78" t="s">
        <v>3221</v>
      </c>
      <c r="L78" t="s">
        <v>3220</v>
      </c>
    </row>
    <row r="79" spans="1:12" x14ac:dyDescent="0.3">
      <c r="B79" s="2" t="s">
        <v>3216</v>
      </c>
      <c r="C79" s="2" t="s">
        <v>3078</v>
      </c>
      <c r="D79" s="60">
        <v>0.21458333333333335</v>
      </c>
      <c r="E79" s="2" t="s">
        <v>3035</v>
      </c>
      <c r="F79" s="60">
        <v>2.0833333333333333E-3</v>
      </c>
      <c r="G79" s="60">
        <v>0.16944444444444443</v>
      </c>
      <c r="H79" s="60">
        <v>4.3055555555555562E-2</v>
      </c>
      <c r="J79" s="2" t="s">
        <v>3237</v>
      </c>
      <c r="K79" t="s">
        <v>3236</v>
      </c>
      <c r="L79" t="s">
        <v>3231</v>
      </c>
    </row>
    <row r="80" spans="1:12" x14ac:dyDescent="0.3">
      <c r="B80" s="2" t="s">
        <v>3216</v>
      </c>
      <c r="C80" s="2" t="s">
        <v>3106</v>
      </c>
      <c r="D80" s="60" t="s">
        <v>354</v>
      </c>
      <c r="E80" s="2" t="s">
        <v>3229</v>
      </c>
      <c r="F80" s="60">
        <v>0.12569444444444444</v>
      </c>
      <c r="G80" s="60">
        <v>1.3888888888888889E-3</v>
      </c>
      <c r="H80" s="60">
        <v>0</v>
      </c>
      <c r="I80" s="2" t="s">
        <v>158</v>
      </c>
      <c r="J80" s="381" t="s">
        <v>3238</v>
      </c>
      <c r="K80" t="s">
        <v>3235</v>
      </c>
      <c r="L80" t="s">
        <v>3232</v>
      </c>
    </row>
    <row r="81" spans="1:12" x14ac:dyDescent="0.3">
      <c r="B81" s="2" t="s">
        <v>3216</v>
      </c>
      <c r="C81" s="2" t="s">
        <v>3078</v>
      </c>
      <c r="D81" s="60">
        <v>4.7916666666666663E-2</v>
      </c>
      <c r="E81" s="2" t="s">
        <v>3230</v>
      </c>
      <c r="F81" s="60">
        <v>1.3888888888888889E-3</v>
      </c>
      <c r="G81" s="60">
        <v>3.472222222222222E-3</v>
      </c>
      <c r="H81" s="60">
        <v>4.3055555555555562E-2</v>
      </c>
      <c r="J81" s="2" t="s">
        <v>3227</v>
      </c>
      <c r="K81" t="s">
        <v>3234</v>
      </c>
      <c r="L81" t="s">
        <v>3233</v>
      </c>
    </row>
    <row r="82" spans="1:12" ht="9" customHeight="1" thickBot="1" x14ac:dyDescent="0.35"/>
    <row r="83" spans="1:12" s="292" customFormat="1" ht="15" thickBot="1" x14ac:dyDescent="0.35">
      <c r="B83" s="382"/>
      <c r="C83" s="380" t="s">
        <v>3045</v>
      </c>
      <c r="D83" s="380"/>
      <c r="E83" s="380"/>
      <c r="F83" s="380"/>
      <c r="G83" s="380"/>
      <c r="H83" s="380"/>
      <c r="I83" s="380"/>
      <c r="J83" s="380"/>
    </row>
    <row r="84" spans="1:12" ht="7.5" customHeight="1" x14ac:dyDescent="0.3"/>
    <row r="85" spans="1:12" x14ac:dyDescent="0.3">
      <c r="A85" s="2">
        <v>1</v>
      </c>
      <c r="B85" s="2" t="s">
        <v>3066</v>
      </c>
      <c r="C85" s="2" t="s">
        <v>3046</v>
      </c>
      <c r="D85" s="60">
        <v>0.41875000000000001</v>
      </c>
      <c r="E85" s="2">
        <v>3</v>
      </c>
      <c r="F85" s="60">
        <v>0.25069444444444444</v>
      </c>
      <c r="G85" s="60">
        <v>4.2361111111111106E-2</v>
      </c>
      <c r="H85" s="60">
        <v>0.12569444444444444</v>
      </c>
      <c r="J85" s="2" t="s">
        <v>3048</v>
      </c>
      <c r="K85" t="s">
        <v>3047</v>
      </c>
      <c r="L85" t="s">
        <v>3049</v>
      </c>
    </row>
    <row r="86" spans="1:12" x14ac:dyDescent="0.3">
      <c r="A86" s="2">
        <v>2</v>
      </c>
      <c r="B86" s="2" t="s">
        <v>3066</v>
      </c>
      <c r="C86" s="2" t="s">
        <v>3055</v>
      </c>
      <c r="D86" s="60">
        <v>4.5138888888888888E-2</v>
      </c>
      <c r="E86" s="2">
        <v>3</v>
      </c>
      <c r="F86" s="60">
        <v>4.2361111111111106E-2</v>
      </c>
      <c r="G86" s="60">
        <v>6.9444444444444447E-4</v>
      </c>
      <c r="H86" s="60">
        <v>2.0833333333333333E-3</v>
      </c>
      <c r="J86" s="381" t="s">
        <v>3057</v>
      </c>
      <c r="K86" t="s">
        <v>3054</v>
      </c>
      <c r="L86" t="s">
        <v>3056</v>
      </c>
    </row>
    <row r="87" spans="1:12" x14ac:dyDescent="0.3">
      <c r="A87" s="2">
        <v>3</v>
      </c>
      <c r="B87" s="2" t="s">
        <v>3066</v>
      </c>
      <c r="C87" s="2" t="s">
        <v>3058</v>
      </c>
      <c r="D87" s="60">
        <v>0.45833333333333331</v>
      </c>
      <c r="E87" s="2">
        <v>6</v>
      </c>
      <c r="F87" s="60">
        <v>0.16666666666666666</v>
      </c>
      <c r="G87" s="60">
        <v>0.16666666666666666</v>
      </c>
      <c r="H87" s="60">
        <v>0.125</v>
      </c>
      <c r="J87" s="60">
        <v>0.45833333333333331</v>
      </c>
      <c r="K87" t="s">
        <v>3059</v>
      </c>
      <c r="L87" t="s">
        <v>3060</v>
      </c>
    </row>
    <row r="88" spans="1:12" x14ac:dyDescent="0.3">
      <c r="A88" s="2">
        <v>4</v>
      </c>
      <c r="B88" s="2" t="s">
        <v>3066</v>
      </c>
      <c r="C88" s="2" t="s">
        <v>3065</v>
      </c>
      <c r="D88" s="60">
        <v>8.6111111111111124E-2</v>
      </c>
      <c r="E88" s="2">
        <v>6</v>
      </c>
      <c r="F88" s="60">
        <v>6.9444444444444447E-4</v>
      </c>
      <c r="G88" s="60">
        <v>8.4722222222222213E-2</v>
      </c>
      <c r="H88" s="60">
        <v>6.9444444444444447E-4</v>
      </c>
      <c r="J88" s="2" t="s">
        <v>3067</v>
      </c>
      <c r="K88" t="s">
        <v>3069</v>
      </c>
      <c r="L88" t="s">
        <v>3068</v>
      </c>
    </row>
    <row r="89" spans="1:12" x14ac:dyDescent="0.3">
      <c r="A89" s="2">
        <v>5</v>
      </c>
      <c r="B89" s="2" t="s">
        <v>3066</v>
      </c>
      <c r="C89" s="2" t="s">
        <v>3086</v>
      </c>
      <c r="D89" s="60">
        <v>0.29236111111111113</v>
      </c>
      <c r="E89" s="2">
        <v>9</v>
      </c>
      <c r="F89" s="60">
        <v>0.1673611111111111</v>
      </c>
      <c r="G89" s="60">
        <v>4.1666666666666664E-2</v>
      </c>
      <c r="H89" s="60">
        <v>8.3333333333333329E-2</v>
      </c>
      <c r="J89" s="2" t="s">
        <v>3159</v>
      </c>
      <c r="K89" t="s">
        <v>3193</v>
      </c>
      <c r="L89" t="s">
        <v>3158</v>
      </c>
    </row>
    <row r="90" spans="1:12" x14ac:dyDescent="0.3">
      <c r="A90" s="2">
        <v>6</v>
      </c>
      <c r="B90" s="2" t="s">
        <v>3066</v>
      </c>
      <c r="C90" s="2" t="s">
        <v>3160</v>
      </c>
      <c r="D90" s="60">
        <v>0.41736111111111113</v>
      </c>
      <c r="E90" s="2">
        <v>12</v>
      </c>
      <c r="F90" s="60">
        <v>4.1666666666666664E-2</v>
      </c>
      <c r="G90" s="60">
        <v>0.33333333333333331</v>
      </c>
      <c r="H90" s="60">
        <v>4.2361111111111106E-2</v>
      </c>
      <c r="J90" s="2" t="s">
        <v>3239</v>
      </c>
      <c r="K90" t="s">
        <v>3240</v>
      </c>
      <c r="L90" t="s">
        <v>3241</v>
      </c>
    </row>
    <row r="91" spans="1:12" x14ac:dyDescent="0.3">
      <c r="A91" s="2">
        <v>7</v>
      </c>
      <c r="B91" s="2" t="s">
        <v>3066</v>
      </c>
      <c r="C91" s="2" t="s">
        <v>3247</v>
      </c>
      <c r="D91" s="60">
        <v>8.4027777777777771E-2</v>
      </c>
      <c r="E91" s="2">
        <v>15</v>
      </c>
      <c r="F91" s="60">
        <v>4.2361111111111106E-2</v>
      </c>
      <c r="G91" s="60">
        <v>4.1666666666666664E-2</v>
      </c>
      <c r="H91" s="60">
        <v>0</v>
      </c>
      <c r="J91" s="2" t="s">
        <v>3245</v>
      </c>
      <c r="K91" t="s">
        <v>3244</v>
      </c>
      <c r="L91" t="s">
        <v>3246</v>
      </c>
    </row>
    <row r="92" spans="1:12" x14ac:dyDescent="0.3">
      <c r="A92" s="2">
        <v>8</v>
      </c>
      <c r="B92" s="2" t="s">
        <v>3066</v>
      </c>
      <c r="C92" s="2" t="s">
        <v>3070</v>
      </c>
      <c r="D92" s="60">
        <v>0.12638888888888888</v>
      </c>
      <c r="E92" s="2">
        <v>18</v>
      </c>
      <c r="F92" s="60">
        <v>8.4027777777777771E-2</v>
      </c>
      <c r="G92" s="60">
        <v>4.2361111111111106E-2</v>
      </c>
      <c r="H92" s="60">
        <v>0</v>
      </c>
      <c r="J92" s="2" t="s">
        <v>3276</v>
      </c>
      <c r="K92" t="s">
        <v>3277</v>
      </c>
      <c r="L92" t="s">
        <v>3275</v>
      </c>
    </row>
    <row r="93" spans="1:12" x14ac:dyDescent="0.3">
      <c r="A93" s="2">
        <v>9</v>
      </c>
      <c r="B93" s="2" t="s">
        <v>3066</v>
      </c>
      <c r="C93" s="2" t="s">
        <v>3278</v>
      </c>
      <c r="D93" s="60">
        <v>0.16805555555555554</v>
      </c>
      <c r="E93" s="2">
        <v>21</v>
      </c>
      <c r="F93" s="60">
        <v>1.3888888888888889E-3</v>
      </c>
      <c r="G93" s="60">
        <v>0</v>
      </c>
      <c r="H93" s="60">
        <v>0.16666666666666666</v>
      </c>
      <c r="J93" s="2" t="s">
        <v>3274</v>
      </c>
      <c r="K93" t="s">
        <v>3280</v>
      </c>
      <c r="L93" t="s">
        <v>3279</v>
      </c>
    </row>
    <row r="94" spans="1:12" x14ac:dyDescent="0.3">
      <c r="A94" s="2">
        <v>10</v>
      </c>
      <c r="B94" s="2" t="s">
        <v>3066</v>
      </c>
      <c r="C94" s="2" t="s">
        <v>3282</v>
      </c>
      <c r="D94" s="60">
        <v>0.33749999999999997</v>
      </c>
      <c r="E94" s="2">
        <v>24</v>
      </c>
      <c r="F94" s="60">
        <v>0.12569444444444444</v>
      </c>
      <c r="G94" s="60">
        <v>8.4722222222222213E-2</v>
      </c>
      <c r="H94" s="60">
        <v>0.12708333333333333</v>
      </c>
      <c r="J94" s="2" t="s">
        <v>3285</v>
      </c>
      <c r="K94" t="s">
        <v>3283</v>
      </c>
      <c r="L94" t="s">
        <v>3284</v>
      </c>
    </row>
    <row r="95" spans="1:12" x14ac:dyDescent="0.3">
      <c r="A95" s="2">
        <v>11</v>
      </c>
      <c r="B95" s="2" t="s">
        <v>3066</v>
      </c>
      <c r="C95" s="2" t="s">
        <v>3110</v>
      </c>
      <c r="D95" s="60">
        <v>0.29166666666666669</v>
      </c>
      <c r="E95" s="2">
        <v>27</v>
      </c>
      <c r="F95" s="60">
        <v>4.1666666666666664E-2</v>
      </c>
      <c r="G95" s="60">
        <v>0.20833333333333334</v>
      </c>
      <c r="H95" s="60">
        <v>4.1666666666666664E-2</v>
      </c>
      <c r="J95" s="60">
        <v>0.29166666666666669</v>
      </c>
      <c r="K95" t="s">
        <v>3301</v>
      </c>
      <c r="L95" t="s">
        <v>3302</v>
      </c>
    </row>
    <row r="96" spans="1:12" x14ac:dyDescent="0.3">
      <c r="A96" s="2">
        <v>12</v>
      </c>
      <c r="B96" s="2" t="s">
        <v>3066</v>
      </c>
      <c r="C96" s="2" t="s">
        <v>3098</v>
      </c>
      <c r="D96" s="60">
        <v>8.5416666666666655E-2</v>
      </c>
      <c r="E96" s="2">
        <v>27</v>
      </c>
      <c r="F96" s="60">
        <v>4.2361111111111106E-2</v>
      </c>
      <c r="G96" s="60">
        <v>4.3055555555555562E-2</v>
      </c>
      <c r="H96" s="60">
        <v>0</v>
      </c>
      <c r="J96" s="2" t="s">
        <v>3303</v>
      </c>
      <c r="K96" t="s">
        <v>3304</v>
      </c>
      <c r="L96" t="s">
        <v>3305</v>
      </c>
    </row>
    <row r="97" spans="1:12" x14ac:dyDescent="0.3">
      <c r="A97" s="2">
        <v>13</v>
      </c>
      <c r="B97" s="2" t="s">
        <v>3066</v>
      </c>
      <c r="C97" s="2" t="s">
        <v>3118</v>
      </c>
      <c r="D97" s="60">
        <v>9.0972222222222218E-2</v>
      </c>
      <c r="E97" s="2">
        <v>27</v>
      </c>
      <c r="F97" s="60">
        <v>4.4444444444444446E-2</v>
      </c>
      <c r="G97" s="60">
        <v>4.3750000000000004E-2</v>
      </c>
      <c r="H97" s="60">
        <v>2.7777777777777779E-3</v>
      </c>
      <c r="J97" s="2" t="s">
        <v>3312</v>
      </c>
      <c r="K97" t="s">
        <v>3311</v>
      </c>
      <c r="L97" t="s">
        <v>3310</v>
      </c>
    </row>
    <row r="98" spans="1:12" x14ac:dyDescent="0.3">
      <c r="A98" s="2">
        <v>14</v>
      </c>
      <c r="B98" s="2" t="s">
        <v>3066</v>
      </c>
      <c r="C98" s="2" t="s">
        <v>3114</v>
      </c>
      <c r="D98" s="60">
        <v>0.12638888888888888</v>
      </c>
      <c r="E98" s="2">
        <v>30</v>
      </c>
      <c r="F98" s="60">
        <v>0</v>
      </c>
      <c r="G98" s="60">
        <v>4.3055555555555562E-2</v>
      </c>
      <c r="H98" s="60">
        <v>8.3333333333333329E-2</v>
      </c>
      <c r="J98" s="2" t="s">
        <v>3315</v>
      </c>
      <c r="K98" t="s">
        <v>3321</v>
      </c>
      <c r="L98" t="s">
        <v>3316</v>
      </c>
    </row>
    <row r="99" spans="1:12" x14ac:dyDescent="0.3">
      <c r="A99" s="2">
        <v>15</v>
      </c>
      <c r="B99" s="2" t="s">
        <v>3066</v>
      </c>
      <c r="C99" s="2" t="s">
        <v>3323</v>
      </c>
      <c r="D99" s="60">
        <v>4.5833333333333337E-2</v>
      </c>
      <c r="E99" s="2">
        <v>30</v>
      </c>
      <c r="F99" s="60">
        <v>0</v>
      </c>
      <c r="G99" s="60">
        <v>2.7777777777777779E-3</v>
      </c>
      <c r="H99" s="60">
        <v>4.3055555555555562E-2</v>
      </c>
      <c r="J99" s="2" t="s">
        <v>3324</v>
      </c>
      <c r="K99" t="s">
        <v>3325</v>
      </c>
      <c r="L99" t="s">
        <v>3326</v>
      </c>
    </row>
    <row r="100" spans="1:12" x14ac:dyDescent="0.3">
      <c r="A100" s="2">
        <v>16</v>
      </c>
      <c r="B100" s="2" t="s">
        <v>3066</v>
      </c>
      <c r="C100" s="2" t="s">
        <v>3327</v>
      </c>
      <c r="D100" s="60">
        <v>0.21041666666666667</v>
      </c>
      <c r="E100" s="2">
        <v>33</v>
      </c>
      <c r="F100" s="60">
        <v>4.2361111111111106E-2</v>
      </c>
      <c r="G100" s="60">
        <v>8.3333333333333329E-2</v>
      </c>
      <c r="H100" s="60">
        <v>8.4722222222222213E-2</v>
      </c>
      <c r="J100" s="2" t="s">
        <v>3328</v>
      </c>
      <c r="K100" t="s">
        <v>3329</v>
      </c>
      <c r="L100" t="s">
        <v>3330</v>
      </c>
    </row>
    <row r="101" spans="1:12" x14ac:dyDescent="0.3">
      <c r="A101" s="2">
        <v>17</v>
      </c>
      <c r="B101" s="2" t="s">
        <v>3066</v>
      </c>
      <c r="C101" s="2" t="s">
        <v>3046</v>
      </c>
      <c r="D101" s="60">
        <v>4.8611111111111112E-2</v>
      </c>
      <c r="E101" s="2">
        <v>33</v>
      </c>
      <c r="F101" s="60">
        <v>2.7777777777777779E-3</v>
      </c>
      <c r="G101" s="60">
        <v>4.4444444444444446E-2</v>
      </c>
      <c r="H101" s="60">
        <v>1.3888888888888889E-3</v>
      </c>
      <c r="J101" s="2" t="s">
        <v>3346</v>
      </c>
      <c r="K101" t="s">
        <v>3347</v>
      </c>
      <c r="L101" t="s">
        <v>3348</v>
      </c>
    </row>
    <row r="102" spans="1:12" x14ac:dyDescent="0.3">
      <c r="A102" s="2">
        <v>18</v>
      </c>
      <c r="B102" s="2" t="s">
        <v>3066</v>
      </c>
      <c r="C102" s="2" t="s">
        <v>3055</v>
      </c>
      <c r="D102" s="60">
        <v>0.41736111111111113</v>
      </c>
      <c r="E102" s="2">
        <v>36</v>
      </c>
      <c r="F102" s="60">
        <v>0.125</v>
      </c>
      <c r="G102" s="60">
        <v>0.1673611111111111</v>
      </c>
      <c r="H102" s="60">
        <v>0.125</v>
      </c>
      <c r="J102" s="2" t="s">
        <v>3351</v>
      </c>
      <c r="K102" t="s">
        <v>3350</v>
      </c>
      <c r="L102" t="s">
        <v>3349</v>
      </c>
    </row>
    <row r="103" spans="1:12" x14ac:dyDescent="0.3">
      <c r="A103" s="2">
        <v>19</v>
      </c>
      <c r="B103" s="2" t="s">
        <v>3066</v>
      </c>
      <c r="C103" s="2" t="s">
        <v>3058</v>
      </c>
      <c r="D103" s="60">
        <v>0.20972222222222223</v>
      </c>
      <c r="E103" s="2">
        <v>39</v>
      </c>
      <c r="F103" s="60">
        <v>4.1666666666666664E-2</v>
      </c>
      <c r="G103" s="60">
        <v>8.4027777777777771E-2</v>
      </c>
      <c r="H103" s="60">
        <v>8.4027777777777771E-2</v>
      </c>
      <c r="J103" s="2" t="s">
        <v>3367</v>
      </c>
      <c r="K103" t="s">
        <v>3369</v>
      </c>
      <c r="L103" t="s">
        <v>3368</v>
      </c>
    </row>
    <row r="104" spans="1:12" x14ac:dyDescent="0.3">
      <c r="A104" s="2">
        <v>20</v>
      </c>
      <c r="B104" s="2" t="s">
        <v>3066</v>
      </c>
      <c r="C104" s="2" t="s">
        <v>3070</v>
      </c>
      <c r="D104" s="60">
        <v>0.29583333333333334</v>
      </c>
      <c r="E104" s="2">
        <v>42</v>
      </c>
      <c r="F104" s="60">
        <v>0.16805555555555554</v>
      </c>
      <c r="G104" s="60">
        <v>0.12569444444444444</v>
      </c>
      <c r="H104" s="60">
        <v>2.0833333333333333E-3</v>
      </c>
      <c r="J104" s="2" t="s">
        <v>3372</v>
      </c>
      <c r="K104" t="s">
        <v>3370</v>
      </c>
      <c r="L104" t="s">
        <v>3371</v>
      </c>
    </row>
    <row r="105" spans="1:12" x14ac:dyDescent="0.3">
      <c r="A105" s="2">
        <v>21</v>
      </c>
      <c r="B105" s="2" t="s">
        <v>3066</v>
      </c>
      <c r="C105" s="2" t="s">
        <v>3065</v>
      </c>
      <c r="D105" s="60" t="s">
        <v>171</v>
      </c>
      <c r="E105" s="2">
        <v>43</v>
      </c>
      <c r="F105" s="60">
        <v>8.3333333333333329E-2</v>
      </c>
      <c r="G105" s="60">
        <v>0</v>
      </c>
      <c r="H105" s="60">
        <v>1.3888888888888889E-3</v>
      </c>
      <c r="I105" s="2" t="s">
        <v>3213</v>
      </c>
      <c r="J105" s="2" t="s">
        <v>3402</v>
      </c>
      <c r="K105" t="s">
        <v>3400</v>
      </c>
      <c r="L105" t="s">
        <v>3401</v>
      </c>
    </row>
    <row r="106" spans="1:12" x14ac:dyDescent="0.3">
      <c r="A106" s="2">
        <v>22</v>
      </c>
      <c r="B106" s="2" t="s">
        <v>3066</v>
      </c>
      <c r="C106" s="2" t="s">
        <v>3086</v>
      </c>
      <c r="D106" s="60">
        <v>0.3354166666666667</v>
      </c>
      <c r="E106" s="2">
        <v>46</v>
      </c>
      <c r="F106" s="60">
        <v>0.1673611111111111</v>
      </c>
      <c r="G106" s="60">
        <v>8.4027777777777771E-2</v>
      </c>
      <c r="H106" s="60">
        <v>8.4027777777777771E-2</v>
      </c>
      <c r="J106" s="2" t="s">
        <v>3405</v>
      </c>
      <c r="K106" t="s">
        <v>3403</v>
      </c>
      <c r="L106" t="s">
        <v>3404</v>
      </c>
    </row>
    <row r="107" spans="1:12" x14ac:dyDescent="0.3">
      <c r="A107" s="2">
        <v>23</v>
      </c>
      <c r="B107" s="2" t="s">
        <v>3066</v>
      </c>
      <c r="C107" s="2" t="s">
        <v>3160</v>
      </c>
      <c r="D107" s="60">
        <v>0.17152777777777775</v>
      </c>
      <c r="E107" s="2">
        <v>46</v>
      </c>
      <c r="F107" s="60">
        <v>8.4027777777777771E-2</v>
      </c>
      <c r="G107" s="60">
        <v>2.0833333333333333E-3</v>
      </c>
      <c r="H107" s="60">
        <v>8.5416666666666655E-2</v>
      </c>
      <c r="J107" s="2" t="s">
        <v>3408</v>
      </c>
      <c r="K107" t="s">
        <v>3406</v>
      </c>
      <c r="L107" t="s">
        <v>3407</v>
      </c>
    </row>
    <row r="108" spans="1:12" x14ac:dyDescent="0.3">
      <c r="A108" s="2">
        <v>24</v>
      </c>
      <c r="B108" s="2" t="s">
        <v>3066</v>
      </c>
      <c r="C108" s="2" t="s">
        <v>3247</v>
      </c>
      <c r="D108" s="60">
        <v>0.25277777777777777</v>
      </c>
      <c r="E108" s="2">
        <v>49</v>
      </c>
      <c r="F108" s="60">
        <v>4.3055555555555562E-2</v>
      </c>
      <c r="G108" s="60">
        <v>4.3055555555555562E-2</v>
      </c>
      <c r="H108" s="60">
        <v>0.16666666666666666</v>
      </c>
      <c r="J108" s="2" t="s">
        <v>3411</v>
      </c>
      <c r="K108" t="s">
        <v>3410</v>
      </c>
      <c r="L108" t="s">
        <v>3409</v>
      </c>
    </row>
    <row r="109" spans="1:12" x14ac:dyDescent="0.3">
      <c r="A109" s="2">
        <v>25</v>
      </c>
      <c r="B109" s="2" t="s">
        <v>3066</v>
      </c>
      <c r="C109" s="2" t="s">
        <v>3278</v>
      </c>
      <c r="D109" s="60">
        <v>4.3750000000000004E-2</v>
      </c>
      <c r="E109" s="2">
        <v>49</v>
      </c>
      <c r="F109" s="60">
        <v>6.9444444444444447E-4</v>
      </c>
      <c r="G109" s="60">
        <v>1.3888888888888889E-3</v>
      </c>
      <c r="H109" s="60">
        <v>4.1666666666666664E-2</v>
      </c>
      <c r="J109" s="2" t="s">
        <v>3414</v>
      </c>
      <c r="K109" t="s">
        <v>3412</v>
      </c>
      <c r="L109" t="s">
        <v>3413</v>
      </c>
    </row>
    <row r="110" spans="1:12" x14ac:dyDescent="0.3">
      <c r="A110" s="2">
        <v>26</v>
      </c>
      <c r="B110" s="2" t="s">
        <v>3066</v>
      </c>
      <c r="C110" s="2" t="s">
        <v>3282</v>
      </c>
      <c r="D110" s="60">
        <v>0.12916666666666668</v>
      </c>
      <c r="E110" s="2">
        <v>49</v>
      </c>
      <c r="F110" s="60">
        <v>4.3055555555555562E-2</v>
      </c>
      <c r="G110" s="60">
        <v>4.2361111111111106E-2</v>
      </c>
      <c r="H110" s="60">
        <v>4.3750000000000004E-2</v>
      </c>
      <c r="J110" s="2" t="s">
        <v>3441</v>
      </c>
      <c r="K110" t="s">
        <v>3440</v>
      </c>
      <c r="L110" t="s">
        <v>3439</v>
      </c>
    </row>
    <row r="111" spans="1:12" x14ac:dyDescent="0.3">
      <c r="A111" s="2">
        <v>27</v>
      </c>
      <c r="B111" s="2" t="s">
        <v>3066</v>
      </c>
      <c r="C111" s="2" t="s">
        <v>3110</v>
      </c>
      <c r="D111" s="60" t="s">
        <v>352</v>
      </c>
      <c r="E111" s="2">
        <v>51</v>
      </c>
      <c r="F111" s="60">
        <v>8.3333333333333329E-2</v>
      </c>
      <c r="G111" s="60">
        <v>6.9444444444444447E-4</v>
      </c>
      <c r="H111" s="60">
        <v>6.9444444444444447E-4</v>
      </c>
      <c r="J111" s="2" t="s">
        <v>3443</v>
      </c>
      <c r="K111" t="s">
        <v>3444</v>
      </c>
      <c r="L111" t="s">
        <v>3442</v>
      </c>
    </row>
    <row r="112" spans="1:12" x14ac:dyDescent="0.3">
      <c r="A112" s="2">
        <v>28</v>
      </c>
      <c r="B112" s="2" t="s">
        <v>3066</v>
      </c>
      <c r="C112" s="2" t="s">
        <v>3098</v>
      </c>
      <c r="D112" s="60">
        <v>0.3347222222222222</v>
      </c>
      <c r="E112" s="2">
        <v>54</v>
      </c>
      <c r="F112" s="60">
        <v>0.16666666666666666</v>
      </c>
      <c r="G112" s="60">
        <v>8.3333333333333329E-2</v>
      </c>
      <c r="H112" s="60">
        <v>8.4722222222222213E-2</v>
      </c>
      <c r="J112" s="2" t="s">
        <v>3472</v>
      </c>
      <c r="K112" t="s">
        <v>3473</v>
      </c>
      <c r="L112" t="s">
        <v>3474</v>
      </c>
    </row>
    <row r="113" spans="1:12" x14ac:dyDescent="0.3">
      <c r="A113" s="2">
        <v>29</v>
      </c>
      <c r="B113" s="2" t="s">
        <v>3066</v>
      </c>
      <c r="C113" s="2" t="s">
        <v>3118</v>
      </c>
      <c r="D113" s="60">
        <v>8.7500000000000008E-2</v>
      </c>
      <c r="E113" s="2">
        <v>54</v>
      </c>
      <c r="F113" s="60">
        <v>1.3888888888888889E-3</v>
      </c>
      <c r="G113" s="60">
        <v>4.3055555555555562E-2</v>
      </c>
      <c r="H113" s="60">
        <v>4.3055555555555562E-2</v>
      </c>
      <c r="J113" s="2" t="s">
        <v>3493</v>
      </c>
      <c r="K113" t="s">
        <v>3503</v>
      </c>
      <c r="L113" t="s">
        <v>3502</v>
      </c>
    </row>
    <row r="114" spans="1:12" x14ac:dyDescent="0.3">
      <c r="A114" s="2">
        <v>30</v>
      </c>
      <c r="B114" s="2" t="s">
        <v>3066</v>
      </c>
      <c r="C114" s="2" t="s">
        <v>3114</v>
      </c>
      <c r="D114" s="60">
        <v>0.41736111111111113</v>
      </c>
      <c r="E114" s="2">
        <v>57</v>
      </c>
      <c r="F114" s="60">
        <v>0.12569444444444444</v>
      </c>
      <c r="G114" s="60">
        <v>8.3333333333333329E-2</v>
      </c>
      <c r="H114" s="60">
        <v>0.20833333333333334</v>
      </c>
      <c r="J114" s="2" t="s">
        <v>3492</v>
      </c>
      <c r="K114" t="s">
        <v>3504</v>
      </c>
      <c r="L114" t="s">
        <v>3505</v>
      </c>
    </row>
    <row r="115" spans="1:12" x14ac:dyDescent="0.3">
      <c r="A115" s="2">
        <v>31</v>
      </c>
      <c r="B115" s="2" t="s">
        <v>3066</v>
      </c>
      <c r="C115" s="2" t="s">
        <v>3323</v>
      </c>
      <c r="D115" s="60" t="s">
        <v>161</v>
      </c>
      <c r="E115" s="2">
        <v>58</v>
      </c>
      <c r="F115" s="60">
        <v>0</v>
      </c>
      <c r="G115" s="60">
        <v>4.2361111111111106E-2</v>
      </c>
      <c r="H115" s="60">
        <v>4.2361111111111106E-2</v>
      </c>
      <c r="J115" s="2" t="s">
        <v>3494</v>
      </c>
      <c r="K115" t="s">
        <v>3507</v>
      </c>
      <c r="L115" t="s">
        <v>3506</v>
      </c>
    </row>
    <row r="116" spans="1:12" x14ac:dyDescent="0.3">
      <c r="A116" s="2">
        <v>32</v>
      </c>
      <c r="B116" s="2" t="s">
        <v>3066</v>
      </c>
      <c r="C116" s="2" t="s">
        <v>3327</v>
      </c>
      <c r="D116" s="60">
        <v>0.12569444444444444</v>
      </c>
      <c r="E116" s="2">
        <v>61</v>
      </c>
      <c r="F116" s="60">
        <v>4.1666666666666664E-2</v>
      </c>
      <c r="G116" s="60">
        <v>6.9444444444444447E-4</v>
      </c>
      <c r="H116" s="60">
        <v>8.3333333333333329E-2</v>
      </c>
      <c r="J116" s="2" t="s">
        <v>3495</v>
      </c>
      <c r="K116" t="s">
        <v>3508</v>
      </c>
      <c r="L116" t="s">
        <v>3509</v>
      </c>
    </row>
    <row r="117" spans="1:12" x14ac:dyDescent="0.3">
      <c r="A117" s="2">
        <v>33</v>
      </c>
      <c r="B117" s="2" t="s">
        <v>3066</v>
      </c>
      <c r="C117" s="2" t="s">
        <v>3046</v>
      </c>
      <c r="D117" s="60">
        <v>0.16805555555555554</v>
      </c>
      <c r="E117" s="2">
        <v>64</v>
      </c>
      <c r="F117" s="60">
        <v>4.2361111111111106E-2</v>
      </c>
      <c r="G117" s="60">
        <v>0.125</v>
      </c>
      <c r="H117" s="60">
        <v>6.9444444444444447E-4</v>
      </c>
      <c r="J117" s="2" t="s">
        <v>3500</v>
      </c>
      <c r="K117" t="s">
        <v>3510</v>
      </c>
      <c r="L117" t="s">
        <v>3511</v>
      </c>
    </row>
    <row r="118" spans="1:12" x14ac:dyDescent="0.3">
      <c r="A118" s="2">
        <v>34</v>
      </c>
      <c r="B118" s="2" t="s">
        <v>3066</v>
      </c>
      <c r="C118" s="2" t="s">
        <v>3055</v>
      </c>
      <c r="D118" s="60">
        <v>0.1277777777777778</v>
      </c>
      <c r="E118" s="2">
        <v>64</v>
      </c>
      <c r="F118" s="60">
        <v>4.3750000000000004E-2</v>
      </c>
      <c r="G118" s="60">
        <v>8.4027777777777771E-2</v>
      </c>
      <c r="H118" s="60">
        <v>0</v>
      </c>
      <c r="J118" s="2" t="s">
        <v>3513</v>
      </c>
      <c r="K118" t="s">
        <v>3514</v>
      </c>
      <c r="L118" t="s">
        <v>3512</v>
      </c>
    </row>
    <row r="119" spans="1:12" x14ac:dyDescent="0.3">
      <c r="A119" s="2">
        <v>35</v>
      </c>
      <c r="B119" s="2" t="s">
        <v>3066</v>
      </c>
      <c r="C119" s="2" t="s">
        <v>3058</v>
      </c>
      <c r="D119" s="60" t="s">
        <v>359</v>
      </c>
      <c r="E119" s="2">
        <v>65</v>
      </c>
      <c r="F119" s="60">
        <v>8.4722222222222213E-2</v>
      </c>
      <c r="G119" s="60">
        <v>4.2361111111111106E-2</v>
      </c>
      <c r="H119" s="60">
        <v>4.2361111111111106E-2</v>
      </c>
      <c r="I119" s="2" t="s">
        <v>3213</v>
      </c>
      <c r="J119" s="2" t="s">
        <v>3523</v>
      </c>
      <c r="K119" t="s">
        <v>3522</v>
      </c>
      <c r="L119" t="s">
        <v>3521</v>
      </c>
    </row>
    <row r="120" spans="1:12" x14ac:dyDescent="0.3">
      <c r="A120" s="2">
        <v>36</v>
      </c>
      <c r="B120" s="2" t="s">
        <v>3066</v>
      </c>
      <c r="C120" s="2" t="s">
        <v>3070</v>
      </c>
      <c r="D120" s="60">
        <v>0.21319444444444444</v>
      </c>
      <c r="E120" s="2">
        <v>65</v>
      </c>
      <c r="F120" s="60">
        <v>8.5416666666666655E-2</v>
      </c>
      <c r="G120" s="60">
        <v>8.6111111111111124E-2</v>
      </c>
      <c r="H120" s="60">
        <v>4.1666666666666664E-2</v>
      </c>
      <c r="J120" s="2" t="s">
        <v>3526</v>
      </c>
      <c r="K120" t="s">
        <v>3524</v>
      </c>
      <c r="L120" t="s">
        <v>3525</v>
      </c>
    </row>
    <row r="121" spans="1:12" x14ac:dyDescent="0.3">
      <c r="A121" s="2">
        <v>37</v>
      </c>
      <c r="B121" s="2" t="s">
        <v>3066</v>
      </c>
      <c r="C121" s="2" t="s">
        <v>3065</v>
      </c>
      <c r="D121" s="60">
        <v>0.12638888888888888</v>
      </c>
      <c r="E121" s="2">
        <v>68</v>
      </c>
      <c r="F121" s="60">
        <v>4.2361111111111106E-2</v>
      </c>
      <c r="G121" s="60">
        <v>4.1666666666666664E-2</v>
      </c>
      <c r="H121" s="60">
        <v>4.2361111111111106E-2</v>
      </c>
      <c r="J121" s="2" t="s">
        <v>3529</v>
      </c>
      <c r="K121" t="s">
        <v>3528</v>
      </c>
      <c r="L121" t="s">
        <v>3527</v>
      </c>
    </row>
    <row r="122" spans="1:12" x14ac:dyDescent="0.3">
      <c r="A122" s="2">
        <v>38</v>
      </c>
      <c r="B122" s="2" t="s">
        <v>3066</v>
      </c>
      <c r="C122" s="2" t="s">
        <v>3086</v>
      </c>
      <c r="D122" s="60">
        <v>0.25208333333333333</v>
      </c>
      <c r="E122" s="2">
        <v>71</v>
      </c>
      <c r="F122" s="60">
        <v>0.16666666666666666</v>
      </c>
      <c r="G122" s="60">
        <v>4.3055555555555562E-2</v>
      </c>
      <c r="H122" s="60">
        <v>4.2361111111111106E-2</v>
      </c>
      <c r="J122" s="2" t="s">
        <v>3583</v>
      </c>
      <c r="K122" t="s">
        <v>3584</v>
      </c>
      <c r="L122" t="s">
        <v>3585</v>
      </c>
    </row>
    <row r="123" spans="1:12" x14ac:dyDescent="0.3">
      <c r="A123" s="2">
        <v>39</v>
      </c>
      <c r="B123" s="2" t="s">
        <v>3066</v>
      </c>
      <c r="C123" s="2" t="s">
        <v>3160</v>
      </c>
      <c r="D123" s="60">
        <v>0.16874999999999998</v>
      </c>
      <c r="E123" s="2">
        <v>74</v>
      </c>
      <c r="F123" s="60">
        <v>4.1666666666666664E-2</v>
      </c>
      <c r="G123" s="60">
        <v>8.3333333333333329E-2</v>
      </c>
      <c r="H123" s="60">
        <v>4.3750000000000004E-2</v>
      </c>
      <c r="J123" s="2" t="s">
        <v>3639</v>
      </c>
      <c r="K123" t="s">
        <v>3641</v>
      </c>
      <c r="L123" t="s">
        <v>3640</v>
      </c>
    </row>
    <row r="124" spans="1:12" x14ac:dyDescent="0.3">
      <c r="A124" s="2">
        <v>40</v>
      </c>
      <c r="B124" s="2" t="s">
        <v>3066</v>
      </c>
      <c r="C124" s="2" t="s">
        <v>3247</v>
      </c>
      <c r="D124" s="60">
        <v>0.12569444444444444</v>
      </c>
      <c r="E124" s="2">
        <v>77</v>
      </c>
      <c r="F124" s="60">
        <v>4.2361111111111106E-2</v>
      </c>
      <c r="G124" s="60">
        <v>4.1666666666666664E-2</v>
      </c>
      <c r="H124" s="60">
        <v>4.1666666666666664E-2</v>
      </c>
      <c r="J124" s="2" t="s">
        <v>3642</v>
      </c>
      <c r="K124" t="s">
        <v>3643</v>
      </c>
      <c r="L124" t="s">
        <v>3644</v>
      </c>
    </row>
    <row r="125" spans="1:12" x14ac:dyDescent="0.3">
      <c r="B125" s="2" t="s">
        <v>3215</v>
      </c>
      <c r="C125" s="2" t="s">
        <v>3282</v>
      </c>
      <c r="D125" s="60">
        <v>0.125</v>
      </c>
      <c r="E125" s="2" t="s">
        <v>3024</v>
      </c>
      <c r="F125" s="60">
        <v>0</v>
      </c>
      <c r="G125" s="60">
        <v>8.3333333333333329E-2</v>
      </c>
      <c r="H125" s="60">
        <v>4.1666666666666664E-2</v>
      </c>
      <c r="J125" s="60">
        <v>0.125</v>
      </c>
      <c r="K125" t="s">
        <v>3645</v>
      </c>
      <c r="L125" t="s">
        <v>3646</v>
      </c>
    </row>
    <row r="126" spans="1:12" x14ac:dyDescent="0.3">
      <c r="B126" s="2" t="s">
        <v>3215</v>
      </c>
      <c r="C126" s="2" t="s">
        <v>3055</v>
      </c>
      <c r="D126" s="60">
        <v>0.25208333333333333</v>
      </c>
      <c r="E126" s="2" t="s">
        <v>3029</v>
      </c>
      <c r="F126" s="60">
        <v>0.1673611111111111</v>
      </c>
      <c r="G126" s="60">
        <v>4.3055555555555562E-2</v>
      </c>
      <c r="H126" s="60">
        <v>4.1666666666666664E-2</v>
      </c>
      <c r="J126" s="2" t="s">
        <v>3163</v>
      </c>
      <c r="K126" t="s">
        <v>3647</v>
      </c>
      <c r="L126" t="s">
        <v>3648</v>
      </c>
    </row>
    <row r="127" spans="1:12" x14ac:dyDescent="0.3">
      <c r="B127" s="2" t="s">
        <v>3215</v>
      </c>
      <c r="C127" s="2" t="s">
        <v>3282</v>
      </c>
      <c r="D127" s="60">
        <v>0.33611111111111108</v>
      </c>
      <c r="E127" s="2" t="s">
        <v>3636</v>
      </c>
      <c r="F127" s="60">
        <v>8.4027777777777771E-2</v>
      </c>
      <c r="G127" s="60">
        <v>0.16666666666666666</v>
      </c>
      <c r="H127" s="60">
        <v>8.5416666666666655E-2</v>
      </c>
      <c r="J127" s="2" t="s">
        <v>3637</v>
      </c>
      <c r="K127" t="s">
        <v>3649</v>
      </c>
      <c r="L127" t="s">
        <v>3650</v>
      </c>
    </row>
    <row r="128" spans="1:12" x14ac:dyDescent="0.3">
      <c r="B128" s="1197" t="s">
        <v>3638</v>
      </c>
      <c r="C128" s="1197"/>
      <c r="D128" s="1197"/>
      <c r="F128" s="60"/>
      <c r="G128" s="60"/>
      <c r="H128" s="60"/>
    </row>
    <row r="129" spans="1:12" ht="6.75" customHeight="1" thickBot="1" x14ac:dyDescent="0.35">
      <c r="D129" s="60"/>
      <c r="F129" s="60"/>
      <c r="G129" s="60"/>
      <c r="H129" s="60"/>
    </row>
    <row r="130" spans="1:12" s="292" customFormat="1" ht="15" thickBot="1" x14ac:dyDescent="0.35">
      <c r="B130" s="382"/>
      <c r="C130" s="380" t="s">
        <v>4811</v>
      </c>
      <c r="D130" s="380"/>
      <c r="E130" s="380"/>
      <c r="F130" s="380"/>
      <c r="G130" s="380"/>
      <c r="H130" s="380"/>
      <c r="I130" s="380"/>
      <c r="J130" s="380"/>
    </row>
    <row r="131" spans="1:12" x14ac:dyDescent="0.3">
      <c r="B131" s="1197" t="s">
        <v>4812</v>
      </c>
      <c r="C131" s="1197"/>
      <c r="D131" s="1197"/>
      <c r="F131" s="60"/>
      <c r="G131" s="60"/>
      <c r="H131" s="60"/>
    </row>
    <row r="132" spans="1:12" ht="6.75" customHeight="1" thickBot="1" x14ac:dyDescent="0.35">
      <c r="D132" s="60"/>
      <c r="F132" s="60"/>
      <c r="G132" s="60"/>
      <c r="H132" s="60"/>
    </row>
    <row r="133" spans="1:12" s="292" customFormat="1" ht="15" thickBot="1" x14ac:dyDescent="0.35">
      <c r="B133" s="382"/>
      <c r="C133" s="380" t="s">
        <v>4814</v>
      </c>
      <c r="D133" s="380"/>
      <c r="E133" s="380"/>
      <c r="F133" s="380"/>
      <c r="G133" s="380"/>
      <c r="H133" s="380"/>
      <c r="I133" s="380"/>
      <c r="J133" s="380"/>
    </row>
    <row r="134" spans="1:12" x14ac:dyDescent="0.3">
      <c r="A134" s="2">
        <v>1</v>
      </c>
      <c r="B134" s="2" t="s">
        <v>3066</v>
      </c>
      <c r="C134" s="2" t="s">
        <v>4817</v>
      </c>
      <c r="D134" s="60">
        <v>0.25347222222222221</v>
      </c>
      <c r="E134" s="2">
        <v>3</v>
      </c>
      <c r="F134" s="60">
        <v>4.3750000000000004E-2</v>
      </c>
      <c r="G134" s="60">
        <v>0.12638888888888888</v>
      </c>
      <c r="H134" s="60">
        <v>8.3333333333333329E-2</v>
      </c>
      <c r="J134" s="2" t="s">
        <v>4818</v>
      </c>
      <c r="K134" t="s">
        <v>4815</v>
      </c>
      <c r="L134" t="s">
        <v>4816</v>
      </c>
    </row>
    <row r="135" spans="1:12" x14ac:dyDescent="0.3">
      <c r="A135" s="2">
        <v>2</v>
      </c>
      <c r="B135" s="2" t="s">
        <v>3066</v>
      </c>
      <c r="C135" s="2" t="s">
        <v>4819</v>
      </c>
      <c r="D135" s="60">
        <v>0.1277777777777778</v>
      </c>
      <c r="E135" s="2">
        <v>3</v>
      </c>
      <c r="F135" s="60">
        <v>4.1666666666666664E-2</v>
      </c>
      <c r="G135" s="60">
        <v>4.2361111111111106E-2</v>
      </c>
      <c r="H135" s="60">
        <v>4.3750000000000004E-2</v>
      </c>
      <c r="J135" s="2" t="s">
        <v>4149</v>
      </c>
      <c r="K135" t="s">
        <v>4820</v>
      </c>
      <c r="L135" t="s">
        <v>4821</v>
      </c>
    </row>
    <row r="136" spans="1:12" x14ac:dyDescent="0.3">
      <c r="A136" s="2">
        <v>3</v>
      </c>
      <c r="B136" s="2" t="s">
        <v>3066</v>
      </c>
      <c r="C136" s="2" t="s">
        <v>3046</v>
      </c>
      <c r="D136" s="60">
        <v>0.3354166666666667</v>
      </c>
      <c r="E136" s="2">
        <v>6</v>
      </c>
      <c r="F136" s="60">
        <v>8.4027777777777771E-2</v>
      </c>
      <c r="G136" s="60">
        <v>0.16805555555555554</v>
      </c>
      <c r="H136" s="60">
        <v>8.3333333333333329E-2</v>
      </c>
      <c r="J136" s="2" t="s">
        <v>4824</v>
      </c>
      <c r="K136" t="s">
        <v>4822</v>
      </c>
      <c r="L136" t="s">
        <v>4823</v>
      </c>
    </row>
    <row r="137" spans="1:12" x14ac:dyDescent="0.3">
      <c r="A137" s="2">
        <v>4</v>
      </c>
      <c r="B137" s="2" t="s">
        <v>3066</v>
      </c>
      <c r="C137" s="2" t="s">
        <v>4825</v>
      </c>
      <c r="D137" s="60">
        <v>0.58680555555555558</v>
      </c>
      <c r="E137" s="2">
        <v>9</v>
      </c>
      <c r="F137" s="60">
        <v>0.25208333333333333</v>
      </c>
      <c r="G137" s="60">
        <v>0.25138888888888888</v>
      </c>
      <c r="H137" s="60">
        <v>8.3333333333333329E-2</v>
      </c>
      <c r="J137" s="2" t="s">
        <v>4828</v>
      </c>
      <c r="K137" t="s">
        <v>4826</v>
      </c>
      <c r="L137" t="s">
        <v>4827</v>
      </c>
    </row>
    <row r="138" spans="1:12" x14ac:dyDescent="0.3">
      <c r="A138" s="2">
        <v>5</v>
      </c>
      <c r="B138" s="2" t="s">
        <v>3066</v>
      </c>
      <c r="C138" s="2" t="s">
        <v>3327</v>
      </c>
      <c r="D138" s="60">
        <v>0.50069444444444444</v>
      </c>
      <c r="E138" s="2">
        <v>12</v>
      </c>
      <c r="F138" s="60">
        <v>0.12569444444444444</v>
      </c>
      <c r="G138" s="60">
        <v>0.20833333333333334</v>
      </c>
      <c r="H138" s="60">
        <v>0.16666666666666666</v>
      </c>
      <c r="J138" s="2" t="s">
        <v>4831</v>
      </c>
      <c r="K138" t="s">
        <v>4829</v>
      </c>
      <c r="L138" t="s">
        <v>4830</v>
      </c>
    </row>
    <row r="139" spans="1:12" x14ac:dyDescent="0.3">
      <c r="A139" s="2">
        <v>6</v>
      </c>
      <c r="B139" s="2" t="s">
        <v>3066</v>
      </c>
      <c r="C139" s="2" t="s">
        <v>4832</v>
      </c>
      <c r="D139" s="60">
        <v>0.37777777777777777</v>
      </c>
      <c r="E139" s="2">
        <v>15</v>
      </c>
      <c r="F139" s="60">
        <v>8.4027777777777771E-2</v>
      </c>
      <c r="G139" s="60">
        <v>8.4027777777777771E-2</v>
      </c>
      <c r="H139" s="60">
        <v>0.20972222222222223</v>
      </c>
      <c r="J139" s="2" t="s">
        <v>4835</v>
      </c>
      <c r="K139" t="s">
        <v>4833</v>
      </c>
      <c r="L139" t="s">
        <v>4834</v>
      </c>
    </row>
    <row r="140" spans="1:12" x14ac:dyDescent="0.3">
      <c r="A140" s="2">
        <v>7</v>
      </c>
      <c r="B140" s="2" t="s">
        <v>3066</v>
      </c>
      <c r="C140" s="2" t="s">
        <v>4836</v>
      </c>
      <c r="D140" s="60">
        <v>4.3055555555555562E-2</v>
      </c>
      <c r="E140" s="2">
        <v>15</v>
      </c>
      <c r="F140" s="60">
        <v>1.3888888888888889E-3</v>
      </c>
      <c r="G140" s="60">
        <v>4.1666666666666664E-2</v>
      </c>
      <c r="H140" s="60">
        <v>0</v>
      </c>
      <c r="J140" s="2" t="s">
        <v>4837</v>
      </c>
      <c r="K140" t="s">
        <v>4838</v>
      </c>
      <c r="L140" t="s">
        <v>4839</v>
      </c>
    </row>
    <row r="141" spans="1:12" x14ac:dyDescent="0.3">
      <c r="A141" s="2">
        <v>8</v>
      </c>
      <c r="B141" s="2" t="s">
        <v>3066</v>
      </c>
      <c r="C141" s="2" t="s">
        <v>4840</v>
      </c>
      <c r="D141" s="60">
        <v>0.25347222222222221</v>
      </c>
      <c r="E141" s="2">
        <v>18</v>
      </c>
      <c r="F141" s="60">
        <v>4.3055555555555562E-2</v>
      </c>
      <c r="G141" s="60">
        <v>0.12569444444444444</v>
      </c>
      <c r="H141" s="60">
        <v>8.4722222222222213E-2</v>
      </c>
      <c r="J141" s="2" t="s">
        <v>4843</v>
      </c>
      <c r="K141" t="s">
        <v>4841</v>
      </c>
      <c r="L141" t="s">
        <v>4842</v>
      </c>
    </row>
    <row r="142" spans="1:12" x14ac:dyDescent="0.3">
      <c r="A142" s="2">
        <v>9</v>
      </c>
      <c r="B142" s="2" t="s">
        <v>3066</v>
      </c>
      <c r="C142" s="2" t="s">
        <v>4844</v>
      </c>
      <c r="D142" s="60">
        <v>4.7916666666666663E-2</v>
      </c>
      <c r="E142" s="2">
        <v>18</v>
      </c>
      <c r="F142" s="60">
        <v>1.3888888888888889E-3</v>
      </c>
      <c r="G142" s="60">
        <v>2.0833333333333333E-3</v>
      </c>
      <c r="H142" s="60">
        <v>4.4444444444444446E-2</v>
      </c>
      <c r="J142" s="2" t="s">
        <v>4846</v>
      </c>
      <c r="K142" t="s">
        <v>4845</v>
      </c>
      <c r="L142" t="s">
        <v>4849</v>
      </c>
    </row>
    <row r="143" spans="1:12" x14ac:dyDescent="0.3">
      <c r="A143" s="2">
        <v>10</v>
      </c>
      <c r="B143" s="2" t="s">
        <v>3066</v>
      </c>
      <c r="C143" s="2" t="s">
        <v>3278</v>
      </c>
      <c r="D143" s="60">
        <v>0.17291666666666669</v>
      </c>
      <c r="E143" s="2">
        <v>18</v>
      </c>
      <c r="F143" s="60">
        <v>8.4722222222222213E-2</v>
      </c>
      <c r="G143" s="60">
        <v>6.9444444444444447E-4</v>
      </c>
      <c r="H143" s="60">
        <v>8.7500000000000008E-2</v>
      </c>
      <c r="J143" s="2" t="s">
        <v>4850</v>
      </c>
      <c r="K143" t="s">
        <v>4847</v>
      </c>
      <c r="L143" t="s">
        <v>4848</v>
      </c>
    </row>
    <row r="144" spans="1:12" x14ac:dyDescent="0.3">
      <c r="A144" s="2">
        <v>11</v>
      </c>
      <c r="B144" s="2" t="s">
        <v>3066</v>
      </c>
      <c r="C144" s="2" t="s">
        <v>4851</v>
      </c>
      <c r="D144" s="60">
        <v>0.33611111111111108</v>
      </c>
      <c r="E144" s="2">
        <v>21</v>
      </c>
      <c r="F144" s="60">
        <v>8.4027777777777771E-2</v>
      </c>
      <c r="G144" s="60">
        <v>0.1673611111111111</v>
      </c>
      <c r="H144" s="60">
        <v>8.4722222222222213E-2</v>
      </c>
      <c r="J144" s="2" t="s">
        <v>4854</v>
      </c>
      <c r="K144" t="s">
        <v>4852</v>
      </c>
      <c r="L144" t="s">
        <v>4853</v>
      </c>
    </row>
    <row r="145" spans="1:12" x14ac:dyDescent="0.3">
      <c r="A145" s="2">
        <v>12</v>
      </c>
      <c r="B145" s="2" t="s">
        <v>3066</v>
      </c>
      <c r="C145" s="2" t="s">
        <v>3247</v>
      </c>
      <c r="D145" s="60">
        <v>0.1277777777777778</v>
      </c>
      <c r="E145" s="2">
        <v>21</v>
      </c>
      <c r="F145" s="60">
        <v>4.1666666666666664E-2</v>
      </c>
      <c r="G145" s="60">
        <v>8.4027777777777771E-2</v>
      </c>
      <c r="H145" s="60">
        <v>2.0833333333333333E-3</v>
      </c>
      <c r="J145" s="2" t="s">
        <v>4857</v>
      </c>
      <c r="K145" t="s">
        <v>4856</v>
      </c>
      <c r="L145" t="s">
        <v>4855</v>
      </c>
    </row>
    <row r="146" spans="1:12" x14ac:dyDescent="0.3">
      <c r="A146" s="2">
        <v>13</v>
      </c>
      <c r="B146" s="2" t="s">
        <v>3066</v>
      </c>
      <c r="C146" s="2" t="s">
        <v>4858</v>
      </c>
      <c r="D146" s="60">
        <v>0.33402777777777781</v>
      </c>
      <c r="E146" s="2">
        <v>24</v>
      </c>
      <c r="F146" s="60">
        <v>8.3333333333333329E-2</v>
      </c>
      <c r="G146" s="60">
        <v>0.16666666666666666</v>
      </c>
      <c r="H146" s="60">
        <v>8.4027777777777771E-2</v>
      </c>
      <c r="J146" s="2" t="s">
        <v>4861</v>
      </c>
      <c r="K146" t="s">
        <v>4859</v>
      </c>
      <c r="L146" t="s">
        <v>4860</v>
      </c>
    </row>
    <row r="147" spans="1:12" x14ac:dyDescent="0.3">
      <c r="A147" s="2">
        <v>14</v>
      </c>
      <c r="B147" s="2" t="s">
        <v>3066</v>
      </c>
      <c r="C147" s="2" t="s">
        <v>4862</v>
      </c>
      <c r="D147" s="60">
        <v>1.3888888888888889E-3</v>
      </c>
      <c r="E147" s="2">
        <v>24</v>
      </c>
      <c r="F147" s="60">
        <v>0</v>
      </c>
      <c r="G147" s="60">
        <v>0</v>
      </c>
      <c r="H147" s="60">
        <v>1.3888888888888889E-3</v>
      </c>
      <c r="J147" s="60">
        <v>1.3888888888888889E-3</v>
      </c>
      <c r="K147" t="s">
        <v>515</v>
      </c>
      <c r="L147" t="s">
        <v>4863</v>
      </c>
    </row>
    <row r="148" spans="1:12" x14ac:dyDescent="0.3">
      <c r="A148" s="2">
        <v>15</v>
      </c>
      <c r="B148" s="2" t="s">
        <v>3066</v>
      </c>
      <c r="C148" s="2" t="s">
        <v>4864</v>
      </c>
      <c r="D148" s="60">
        <v>4.4444444444444446E-2</v>
      </c>
      <c r="E148" s="2">
        <v>24</v>
      </c>
      <c r="F148" s="60">
        <v>4.1666666666666664E-2</v>
      </c>
      <c r="G148" s="60">
        <v>6.9444444444444447E-4</v>
      </c>
      <c r="H148" s="60">
        <v>2.0833333333333333E-3</v>
      </c>
      <c r="J148" s="2" t="s">
        <v>4516</v>
      </c>
      <c r="K148" t="s">
        <v>4866</v>
      </c>
      <c r="L148" t="s">
        <v>4865</v>
      </c>
    </row>
    <row r="149" spans="1:12" x14ac:dyDescent="0.3">
      <c r="A149" s="2">
        <v>16</v>
      </c>
      <c r="B149" s="2" t="s">
        <v>3066</v>
      </c>
      <c r="C149" s="2" t="s">
        <v>4819</v>
      </c>
      <c r="D149" s="60">
        <v>0.12638888888888888</v>
      </c>
      <c r="E149" s="2">
        <v>27</v>
      </c>
      <c r="F149" s="60">
        <v>0</v>
      </c>
      <c r="G149" s="60">
        <v>6.9444444444444447E-4</v>
      </c>
      <c r="H149" s="60">
        <v>0.12569444444444444</v>
      </c>
      <c r="J149" s="2" t="s">
        <v>3821</v>
      </c>
      <c r="K149" t="s">
        <v>4868</v>
      </c>
      <c r="L149" t="s">
        <v>4867</v>
      </c>
    </row>
    <row r="150" spans="1:12" x14ac:dyDescent="0.3">
      <c r="A150" s="2">
        <v>17</v>
      </c>
      <c r="B150" s="2" t="s">
        <v>3066</v>
      </c>
      <c r="C150" s="2" t="s">
        <v>3046</v>
      </c>
      <c r="D150" s="60">
        <v>0.29722222222222222</v>
      </c>
      <c r="E150" s="2">
        <v>27</v>
      </c>
      <c r="F150" s="60">
        <v>0.12708333333333333</v>
      </c>
      <c r="G150" s="60">
        <v>4.5138888888888888E-2</v>
      </c>
      <c r="H150" s="60">
        <v>0.125</v>
      </c>
      <c r="J150" s="2" t="s">
        <v>4871</v>
      </c>
      <c r="K150" t="s">
        <v>4869</v>
      </c>
      <c r="L150" t="s">
        <v>4870</v>
      </c>
    </row>
    <row r="151" spans="1:12" x14ac:dyDescent="0.3">
      <c r="A151" s="2">
        <v>18</v>
      </c>
      <c r="B151" s="2" t="s">
        <v>3066</v>
      </c>
      <c r="C151" s="2" t="s">
        <v>4825</v>
      </c>
      <c r="D151" s="60">
        <v>0.12638888888888888</v>
      </c>
      <c r="E151" s="2">
        <v>30</v>
      </c>
      <c r="F151" s="60">
        <v>8.4027777777777771E-2</v>
      </c>
      <c r="G151" s="60">
        <v>4.2361111111111106E-2</v>
      </c>
      <c r="H151" s="60">
        <v>0</v>
      </c>
      <c r="J151" s="2" t="s">
        <v>3815</v>
      </c>
      <c r="K151" t="s">
        <v>4873</v>
      </c>
      <c r="L151" t="s">
        <v>4872</v>
      </c>
    </row>
    <row r="152" spans="1:12" x14ac:dyDescent="0.3">
      <c r="A152" s="2">
        <v>19</v>
      </c>
      <c r="B152" s="2" t="s">
        <v>3066</v>
      </c>
      <c r="C152" s="2" t="s">
        <v>3327</v>
      </c>
      <c r="D152" s="60">
        <v>0.20972222222222223</v>
      </c>
      <c r="E152" s="2">
        <v>33</v>
      </c>
      <c r="F152" s="60">
        <v>8.4722222222222213E-2</v>
      </c>
      <c r="G152" s="60">
        <v>8.3333333333333329E-2</v>
      </c>
      <c r="H152" s="60">
        <v>4.1666666666666664E-2</v>
      </c>
      <c r="J152" s="2" t="s">
        <v>4876</v>
      </c>
      <c r="K152" t="s">
        <v>4874</v>
      </c>
      <c r="L152" t="s">
        <v>4875</v>
      </c>
    </row>
    <row r="153" spans="1:12" x14ac:dyDescent="0.3">
      <c r="A153" s="2">
        <v>20</v>
      </c>
      <c r="B153" s="2" t="s">
        <v>3066</v>
      </c>
      <c r="C153" s="2" t="s">
        <v>4832</v>
      </c>
      <c r="D153" s="60" t="s">
        <v>590</v>
      </c>
      <c r="E153" s="2">
        <v>34</v>
      </c>
      <c r="F153" s="60">
        <v>8.5416666666666655E-2</v>
      </c>
      <c r="G153" s="60">
        <v>0</v>
      </c>
      <c r="H153" s="60">
        <v>0.12638888888888888</v>
      </c>
      <c r="I153" s="2" t="s">
        <v>3213</v>
      </c>
      <c r="J153" s="2" t="s">
        <v>4879</v>
      </c>
      <c r="K153" t="s">
        <v>4878</v>
      </c>
      <c r="L153" t="s">
        <v>4877</v>
      </c>
    </row>
    <row r="154" spans="1:12" x14ac:dyDescent="0.3">
      <c r="A154" s="2">
        <v>21</v>
      </c>
      <c r="B154" s="2" t="s">
        <v>3066</v>
      </c>
      <c r="C154" s="2" t="s">
        <v>4836</v>
      </c>
      <c r="D154" s="60" t="s">
        <v>208</v>
      </c>
      <c r="E154" s="2">
        <v>35</v>
      </c>
      <c r="F154" s="60">
        <v>0</v>
      </c>
      <c r="G154" s="60">
        <v>4.2361111111111106E-2</v>
      </c>
      <c r="H154" s="60">
        <v>0</v>
      </c>
      <c r="I154" s="2" t="s">
        <v>158</v>
      </c>
      <c r="J154" s="2" t="s">
        <v>3837</v>
      </c>
      <c r="K154" t="s">
        <v>4881</v>
      </c>
      <c r="L154" t="s">
        <v>4880</v>
      </c>
    </row>
    <row r="155" spans="1:12" x14ac:dyDescent="0.3">
      <c r="A155" s="2">
        <v>22</v>
      </c>
      <c r="B155" s="2" t="s">
        <v>3066</v>
      </c>
      <c r="C155" s="2" t="s">
        <v>4840</v>
      </c>
      <c r="D155" s="60">
        <v>0.16805555555555554</v>
      </c>
      <c r="E155" s="2">
        <v>38</v>
      </c>
      <c r="F155" s="60">
        <v>6.9444444444444447E-4</v>
      </c>
      <c r="G155" s="60">
        <v>0.12569444444444444</v>
      </c>
      <c r="H155" s="60">
        <v>4.1666666666666664E-2</v>
      </c>
      <c r="J155" s="2" t="s">
        <v>3780</v>
      </c>
      <c r="K155" t="s">
        <v>4883</v>
      </c>
      <c r="L155" t="s">
        <v>4882</v>
      </c>
    </row>
    <row r="156" spans="1:12" x14ac:dyDescent="0.3">
      <c r="A156" s="2">
        <v>23</v>
      </c>
      <c r="B156" s="2" t="s">
        <v>3066</v>
      </c>
      <c r="C156" s="2" t="s">
        <v>4844</v>
      </c>
      <c r="D156" s="60">
        <v>0.25277777777777777</v>
      </c>
      <c r="E156" s="2">
        <v>41</v>
      </c>
      <c r="F156" s="60">
        <v>8.4027777777777771E-2</v>
      </c>
      <c r="G156" s="60">
        <v>4.2361111111111106E-2</v>
      </c>
      <c r="H156" s="60">
        <v>0.12638888888888888</v>
      </c>
      <c r="J156" s="2" t="s">
        <v>4886</v>
      </c>
      <c r="K156" t="s">
        <v>4885</v>
      </c>
      <c r="L156" t="s">
        <v>4884</v>
      </c>
    </row>
    <row r="157" spans="1:12" x14ac:dyDescent="0.3">
      <c r="A157" s="2">
        <v>24</v>
      </c>
      <c r="B157" s="2" t="s">
        <v>3066</v>
      </c>
      <c r="C157" s="2" t="s">
        <v>3278</v>
      </c>
      <c r="D157" s="60">
        <v>0.21111111111111111</v>
      </c>
      <c r="E157" s="2">
        <v>44</v>
      </c>
      <c r="F157" s="60">
        <v>4.3750000000000004E-2</v>
      </c>
      <c r="G157" s="60">
        <v>0.12569444444444444</v>
      </c>
      <c r="H157" s="60">
        <v>4.1666666666666664E-2</v>
      </c>
      <c r="J157" s="2" t="s">
        <v>4889</v>
      </c>
      <c r="K157" t="s">
        <v>4888</v>
      </c>
      <c r="L157" t="s">
        <v>4887</v>
      </c>
    </row>
    <row r="158" spans="1:12" x14ac:dyDescent="0.3">
      <c r="A158" s="2">
        <v>25</v>
      </c>
      <c r="B158" s="2" t="s">
        <v>3066</v>
      </c>
      <c r="C158" s="2" t="s">
        <v>4851</v>
      </c>
      <c r="D158" s="60">
        <v>0.54375000000000007</v>
      </c>
      <c r="E158" s="2">
        <v>47</v>
      </c>
      <c r="F158" s="60">
        <v>0.21041666666666667</v>
      </c>
      <c r="G158" s="60">
        <v>0.20833333333333334</v>
      </c>
      <c r="H158" s="60">
        <v>0.125</v>
      </c>
      <c r="J158" s="2" t="s">
        <v>4892</v>
      </c>
      <c r="K158" t="s">
        <v>4890</v>
      </c>
      <c r="L158" t="s">
        <v>4891</v>
      </c>
    </row>
    <row r="159" spans="1:12" x14ac:dyDescent="0.3">
      <c r="A159" s="2">
        <v>26</v>
      </c>
      <c r="B159" s="2" t="s">
        <v>3066</v>
      </c>
      <c r="C159" s="2" t="s">
        <v>3247</v>
      </c>
      <c r="D159" s="60">
        <v>0.13055555555555556</v>
      </c>
      <c r="E159" s="2">
        <v>47</v>
      </c>
      <c r="F159" s="60">
        <v>1.3888888888888889E-3</v>
      </c>
      <c r="G159" s="60">
        <v>8.6111111111111124E-2</v>
      </c>
      <c r="H159" s="60">
        <v>4.3055555555555562E-2</v>
      </c>
      <c r="J159" s="2" t="s">
        <v>4895</v>
      </c>
      <c r="K159" t="s">
        <v>4893</v>
      </c>
      <c r="L159" t="s">
        <v>4894</v>
      </c>
    </row>
    <row r="160" spans="1:12" x14ac:dyDescent="0.3">
      <c r="A160" s="2">
        <v>27</v>
      </c>
      <c r="B160" s="2" t="s">
        <v>3066</v>
      </c>
      <c r="C160" s="2" t="s">
        <v>4864</v>
      </c>
      <c r="D160" s="60" t="s">
        <v>590</v>
      </c>
      <c r="E160" s="2">
        <v>48</v>
      </c>
      <c r="F160" s="60">
        <v>8.4027777777777771E-2</v>
      </c>
      <c r="G160" s="60">
        <v>4.3750000000000004E-2</v>
      </c>
      <c r="H160" s="60">
        <v>8.4027777777777771E-2</v>
      </c>
      <c r="I160" s="2" t="s">
        <v>3213</v>
      </c>
      <c r="J160" s="2" t="s">
        <v>4905</v>
      </c>
      <c r="K160" t="s">
        <v>4903</v>
      </c>
      <c r="L160" t="s">
        <v>4904</v>
      </c>
    </row>
    <row r="161" spans="1:12" x14ac:dyDescent="0.3">
      <c r="A161" s="2">
        <v>28</v>
      </c>
      <c r="B161" s="2" t="s">
        <v>3066</v>
      </c>
      <c r="C161" s="2" t="s">
        <v>4858</v>
      </c>
      <c r="D161" s="60">
        <v>0.29375000000000001</v>
      </c>
      <c r="E161" s="2">
        <v>51</v>
      </c>
      <c r="F161" s="60">
        <v>0</v>
      </c>
      <c r="G161" s="60">
        <v>0.16805555555555554</v>
      </c>
      <c r="H161" s="60">
        <v>0.12569444444444444</v>
      </c>
      <c r="J161" s="2" t="s">
        <v>4908</v>
      </c>
      <c r="K161" t="s">
        <v>4906</v>
      </c>
      <c r="L161" t="s">
        <v>4907</v>
      </c>
    </row>
    <row r="162" spans="1:12" x14ac:dyDescent="0.3">
      <c r="A162" s="2">
        <v>29</v>
      </c>
      <c r="B162" s="2" t="s">
        <v>3066</v>
      </c>
      <c r="C162" s="2" t="s">
        <v>4862</v>
      </c>
      <c r="D162" s="60">
        <v>0.21041666666666667</v>
      </c>
      <c r="E162" s="2">
        <v>54</v>
      </c>
      <c r="F162" s="60">
        <v>4.1666666666666664E-2</v>
      </c>
      <c r="G162" s="60">
        <v>0.125</v>
      </c>
      <c r="H162" s="60">
        <v>4.3750000000000004E-2</v>
      </c>
      <c r="J162" s="2" t="s">
        <v>4911</v>
      </c>
      <c r="K162" t="s">
        <v>4910</v>
      </c>
      <c r="L162" t="s">
        <v>4909</v>
      </c>
    </row>
    <row r="163" spans="1:12" x14ac:dyDescent="0.3">
      <c r="A163" s="2">
        <v>30</v>
      </c>
      <c r="B163" s="2" t="s">
        <v>3066</v>
      </c>
      <c r="C163" s="2" t="s">
        <v>4819</v>
      </c>
      <c r="D163" s="60" t="s">
        <v>164</v>
      </c>
      <c r="E163" s="2">
        <v>56</v>
      </c>
      <c r="F163" s="60">
        <v>8.4027777777777771E-2</v>
      </c>
      <c r="G163" s="60">
        <v>4.1666666666666664E-2</v>
      </c>
      <c r="H163" s="60">
        <v>1.3888888888888889E-3</v>
      </c>
      <c r="I163" s="2" t="s">
        <v>756</v>
      </c>
      <c r="J163" s="2" t="s">
        <v>4912</v>
      </c>
      <c r="K163" t="s">
        <v>4913</v>
      </c>
      <c r="L163" t="s">
        <v>4914</v>
      </c>
    </row>
    <row r="164" spans="1:12" x14ac:dyDescent="0.3">
      <c r="A164" s="2">
        <v>31</v>
      </c>
      <c r="B164" s="2" t="s">
        <v>3066</v>
      </c>
      <c r="C164" s="2" t="s">
        <v>3046</v>
      </c>
      <c r="D164" s="60">
        <v>0.37777777777777777</v>
      </c>
      <c r="E164" s="2">
        <v>59</v>
      </c>
      <c r="F164" s="60">
        <v>4.3055555555555562E-2</v>
      </c>
      <c r="G164" s="60">
        <v>0.25138888888888888</v>
      </c>
      <c r="H164" s="60">
        <v>8.3333333333333329E-2</v>
      </c>
      <c r="J164" s="2" t="s">
        <v>4917</v>
      </c>
      <c r="K164" t="s">
        <v>4915</v>
      </c>
      <c r="L164" t="s">
        <v>4916</v>
      </c>
    </row>
    <row r="165" spans="1:12" x14ac:dyDescent="0.3">
      <c r="A165" s="2">
        <v>32</v>
      </c>
      <c r="B165" s="2" t="s">
        <v>3066</v>
      </c>
      <c r="C165" s="2" t="s">
        <v>3327</v>
      </c>
      <c r="D165" s="60">
        <v>0.29305555555555557</v>
      </c>
      <c r="E165" s="2">
        <v>62</v>
      </c>
      <c r="F165" s="60">
        <v>8.4027777777777771E-2</v>
      </c>
      <c r="G165" s="60">
        <v>4.1666666666666664E-2</v>
      </c>
      <c r="H165" s="60">
        <v>0.1673611111111111</v>
      </c>
      <c r="J165" s="2" t="s">
        <v>4918</v>
      </c>
      <c r="K165" t="s">
        <v>4919</v>
      </c>
      <c r="L165" t="s">
        <v>4922</v>
      </c>
    </row>
    <row r="166" spans="1:12" x14ac:dyDescent="0.3">
      <c r="A166" s="2">
        <v>33</v>
      </c>
      <c r="B166" s="2" t="s">
        <v>3066</v>
      </c>
      <c r="C166" s="2" t="s">
        <v>4832</v>
      </c>
      <c r="D166" s="60">
        <v>0.21111111111111111</v>
      </c>
      <c r="E166" s="2">
        <v>65</v>
      </c>
      <c r="F166" s="60">
        <v>8.6111111111111124E-2</v>
      </c>
      <c r="G166" s="60">
        <v>4.1666666666666664E-2</v>
      </c>
      <c r="H166" s="60">
        <v>8.3333333333333329E-2</v>
      </c>
      <c r="J166" s="2" t="s">
        <v>4923</v>
      </c>
      <c r="K166" t="s">
        <v>4920</v>
      </c>
      <c r="L166" t="s">
        <v>4921</v>
      </c>
    </row>
    <row r="167" spans="1:12" x14ac:dyDescent="0.3">
      <c r="A167" s="2">
        <v>34</v>
      </c>
      <c r="B167" s="2" t="s">
        <v>3066</v>
      </c>
      <c r="C167" s="2" t="s">
        <v>4836</v>
      </c>
      <c r="D167" s="60" t="s">
        <v>171</v>
      </c>
      <c r="E167" s="2">
        <v>66</v>
      </c>
      <c r="F167" s="60">
        <v>0</v>
      </c>
      <c r="G167" s="60">
        <v>4.3055555555555562E-2</v>
      </c>
      <c r="H167" s="60">
        <v>4.1666666666666664E-2</v>
      </c>
      <c r="I167" s="2" t="s">
        <v>3213</v>
      </c>
      <c r="J167" s="2" t="s">
        <v>4924</v>
      </c>
      <c r="K167" t="s">
        <v>4925</v>
      </c>
      <c r="L167" t="s">
        <v>4926</v>
      </c>
    </row>
    <row r="168" spans="1:12" x14ac:dyDescent="0.3">
      <c r="A168" s="2">
        <v>35</v>
      </c>
      <c r="B168" s="2" t="s">
        <v>3066</v>
      </c>
      <c r="C168" s="2" t="s">
        <v>4840</v>
      </c>
      <c r="D168" s="60">
        <v>4.4444444444444446E-2</v>
      </c>
      <c r="E168" s="2">
        <v>66</v>
      </c>
      <c r="F168" s="60">
        <v>4.1666666666666664E-2</v>
      </c>
      <c r="G168" s="60">
        <v>2.0833333333333333E-3</v>
      </c>
      <c r="H168" s="60">
        <v>6.9444444444444447E-4</v>
      </c>
      <c r="J168" s="2" t="s">
        <v>4516</v>
      </c>
      <c r="K168" t="s">
        <v>4927</v>
      </c>
      <c r="L168" t="s">
        <v>4928</v>
      </c>
    </row>
    <row r="169" spans="1:12" x14ac:dyDescent="0.3">
      <c r="A169" s="2">
        <v>36</v>
      </c>
      <c r="B169" s="2" t="s">
        <v>3066</v>
      </c>
      <c r="C169" s="2" t="s">
        <v>4844</v>
      </c>
      <c r="D169" s="60">
        <v>0.16805555555555554</v>
      </c>
      <c r="E169" s="2">
        <v>69</v>
      </c>
      <c r="F169" s="60">
        <v>4.2361111111111106E-2</v>
      </c>
      <c r="G169" s="60">
        <v>8.4027777777777771E-2</v>
      </c>
      <c r="H169" s="60">
        <v>4.1666666666666664E-2</v>
      </c>
      <c r="J169" s="2" t="s">
        <v>4931</v>
      </c>
      <c r="K169" t="s">
        <v>4930</v>
      </c>
      <c r="L169" t="s">
        <v>4929</v>
      </c>
    </row>
    <row r="170" spans="1:12" x14ac:dyDescent="0.3">
      <c r="A170" s="2">
        <v>37</v>
      </c>
      <c r="B170" s="2" t="s">
        <v>3066</v>
      </c>
      <c r="C170" s="2" t="s">
        <v>4825</v>
      </c>
      <c r="D170" s="60">
        <v>0.17013888888888887</v>
      </c>
      <c r="E170" s="2">
        <v>69</v>
      </c>
      <c r="F170" s="60">
        <v>4.3055555555555562E-2</v>
      </c>
      <c r="G170" s="60">
        <v>4.1666666666666664E-2</v>
      </c>
      <c r="H170" s="60">
        <v>8.5416666666666655E-2</v>
      </c>
      <c r="J170" s="2" t="s">
        <v>4737</v>
      </c>
      <c r="K170" t="s">
        <v>4932</v>
      </c>
      <c r="L170" t="s">
        <v>4933</v>
      </c>
    </row>
    <row r="171" spans="1:12" x14ac:dyDescent="0.3">
      <c r="A171" s="2">
        <v>38</v>
      </c>
      <c r="B171" s="2" t="s">
        <v>3066</v>
      </c>
      <c r="C171" s="2" t="s">
        <v>3278</v>
      </c>
      <c r="D171" s="60">
        <v>0.20972222222222223</v>
      </c>
      <c r="E171" s="2">
        <v>72</v>
      </c>
      <c r="F171" s="60">
        <v>8.4027777777777771E-2</v>
      </c>
      <c r="G171" s="60">
        <v>0</v>
      </c>
      <c r="H171" s="60">
        <v>0.12569444444444444</v>
      </c>
      <c r="J171" s="2" t="s">
        <v>4935</v>
      </c>
      <c r="K171" t="s">
        <v>4934</v>
      </c>
      <c r="L171" t="s">
        <v>4936</v>
      </c>
    </row>
    <row r="172" spans="1:12" x14ac:dyDescent="0.3">
      <c r="A172" s="2">
        <v>39</v>
      </c>
      <c r="B172" s="2" t="s">
        <v>3066</v>
      </c>
      <c r="C172" s="2" t="s">
        <v>4851</v>
      </c>
      <c r="D172" s="60">
        <v>0.5854166666666667</v>
      </c>
      <c r="E172" s="2">
        <v>75</v>
      </c>
      <c r="F172" s="60">
        <v>0.125</v>
      </c>
      <c r="G172" s="60">
        <v>0.20833333333333334</v>
      </c>
      <c r="H172" s="60">
        <v>0.25208333333333333</v>
      </c>
      <c r="J172" s="2" t="s">
        <v>4937</v>
      </c>
      <c r="K172" t="s">
        <v>4938</v>
      </c>
      <c r="L172" t="s">
        <v>4939</v>
      </c>
    </row>
    <row r="173" spans="1:12" x14ac:dyDescent="0.3">
      <c r="A173" s="2">
        <v>40</v>
      </c>
      <c r="B173" s="2" t="s">
        <v>3066</v>
      </c>
      <c r="C173" s="2" t="s">
        <v>3247</v>
      </c>
      <c r="D173" s="60">
        <v>0.16874999999999998</v>
      </c>
      <c r="E173" s="2">
        <v>78</v>
      </c>
      <c r="F173" s="60">
        <v>1.3888888888888889E-3</v>
      </c>
      <c r="G173" s="60">
        <v>8.4027777777777771E-2</v>
      </c>
      <c r="H173" s="60">
        <v>8.3333333333333329E-2</v>
      </c>
      <c r="J173" s="2" t="s">
        <v>4941</v>
      </c>
      <c r="K173" t="s">
        <v>4940</v>
      </c>
      <c r="L173" t="s">
        <v>4942</v>
      </c>
    </row>
    <row r="174" spans="1:12" x14ac:dyDescent="0.3">
      <c r="A174" s="2">
        <v>41</v>
      </c>
      <c r="B174" s="2" t="s">
        <v>3066</v>
      </c>
      <c r="C174" s="2" t="s">
        <v>4858</v>
      </c>
      <c r="D174" s="60">
        <v>0.21041666666666667</v>
      </c>
      <c r="E174" s="2">
        <v>81</v>
      </c>
      <c r="F174" s="60">
        <v>8.4027777777777771E-2</v>
      </c>
      <c r="G174" s="60">
        <v>4.2361111111111106E-2</v>
      </c>
      <c r="H174" s="60">
        <v>8.4027777777777771E-2</v>
      </c>
      <c r="J174" s="2" t="s">
        <v>4944</v>
      </c>
      <c r="K174" t="s">
        <v>4943</v>
      </c>
      <c r="L174" t="s">
        <v>4945</v>
      </c>
    </row>
    <row r="175" spans="1:12" x14ac:dyDescent="0.3">
      <c r="A175" s="2">
        <v>42</v>
      </c>
      <c r="B175" s="2" t="s">
        <v>3066</v>
      </c>
      <c r="C175" s="2" t="s">
        <v>4862</v>
      </c>
      <c r="D175" s="60">
        <v>8.6111111111111124E-2</v>
      </c>
      <c r="E175" s="2">
        <v>81</v>
      </c>
      <c r="F175" s="60">
        <v>2.0833333333333333E-3</v>
      </c>
      <c r="G175" s="60">
        <v>4.1666666666666664E-2</v>
      </c>
      <c r="H175" s="60">
        <v>4.2361111111111106E-2</v>
      </c>
      <c r="J175" s="2" t="s">
        <v>4947</v>
      </c>
      <c r="K175" t="s">
        <v>4946</v>
      </c>
      <c r="L175" t="s">
        <v>4948</v>
      </c>
    </row>
    <row r="176" spans="1:12" x14ac:dyDescent="0.3">
      <c r="B176" s="2" t="s">
        <v>3216</v>
      </c>
      <c r="C176" s="2" t="s">
        <v>4836</v>
      </c>
      <c r="D176" s="60">
        <v>4.3750000000000004E-2</v>
      </c>
      <c r="E176" s="2" t="s">
        <v>3035</v>
      </c>
      <c r="F176" s="60">
        <v>0</v>
      </c>
      <c r="G176" s="60">
        <v>1.3888888888888889E-3</v>
      </c>
      <c r="H176" s="60">
        <v>4.2361111111111106E-2</v>
      </c>
      <c r="J176" s="2" t="s">
        <v>3377</v>
      </c>
      <c r="K176" t="s">
        <v>4950</v>
      </c>
      <c r="L176" t="s">
        <v>4949</v>
      </c>
    </row>
    <row r="177" spans="1:12" x14ac:dyDescent="0.3">
      <c r="B177" s="2" t="s">
        <v>3216</v>
      </c>
      <c r="C177" s="2" t="s">
        <v>4862</v>
      </c>
      <c r="D177" s="60">
        <v>0.25208333333333333</v>
      </c>
      <c r="E177" s="2" t="s">
        <v>3028</v>
      </c>
      <c r="F177" s="60">
        <v>0.1673611111111111</v>
      </c>
      <c r="G177" s="60">
        <v>8.4722222222222213E-2</v>
      </c>
      <c r="H177" s="60">
        <v>0</v>
      </c>
      <c r="J177" s="2" t="s">
        <v>4953</v>
      </c>
      <c r="K177" t="s">
        <v>4954</v>
      </c>
      <c r="L177" t="s">
        <v>4952</v>
      </c>
    </row>
    <row r="178" spans="1:12" x14ac:dyDescent="0.3">
      <c r="B178" s="2" t="s">
        <v>3216</v>
      </c>
      <c r="C178" s="2" t="s">
        <v>4836</v>
      </c>
      <c r="D178" s="60" t="s">
        <v>352</v>
      </c>
      <c r="E178" s="2" t="s">
        <v>3034</v>
      </c>
      <c r="F178" s="60">
        <v>6.9444444444444447E-4</v>
      </c>
      <c r="G178" s="60">
        <v>4.1666666666666664E-2</v>
      </c>
      <c r="H178" s="60">
        <v>4.2361111111111106E-2</v>
      </c>
      <c r="I178" s="2" t="s">
        <v>4555</v>
      </c>
      <c r="J178" s="2" t="s">
        <v>4957</v>
      </c>
      <c r="K178" t="s">
        <v>4955</v>
      </c>
      <c r="L178" t="s">
        <v>4956</v>
      </c>
    </row>
    <row r="179" spans="1:12" x14ac:dyDescent="0.3">
      <c r="B179" s="2" t="s">
        <v>3216</v>
      </c>
      <c r="C179" s="2" t="s">
        <v>4862</v>
      </c>
      <c r="D179" s="60">
        <v>2.0833333333333333E-3</v>
      </c>
      <c r="E179" s="2" t="s">
        <v>4958</v>
      </c>
      <c r="F179" s="60">
        <v>0</v>
      </c>
      <c r="G179" s="60">
        <v>0</v>
      </c>
      <c r="H179" s="60">
        <v>2.0833333333333333E-3</v>
      </c>
      <c r="J179" s="60">
        <v>2.0833333333333333E-3</v>
      </c>
      <c r="K179" t="s">
        <v>515</v>
      </c>
      <c r="L179" t="s">
        <v>4961</v>
      </c>
    </row>
    <row r="180" spans="1:12" x14ac:dyDescent="0.3">
      <c r="B180" s="2" t="s">
        <v>3216</v>
      </c>
      <c r="C180" s="2" t="s">
        <v>4836</v>
      </c>
      <c r="D180" s="60">
        <v>0.12569444444444444</v>
      </c>
      <c r="E180" s="2" t="s">
        <v>4959</v>
      </c>
      <c r="F180" s="60">
        <v>4.1666666666666664E-2</v>
      </c>
      <c r="G180" s="60">
        <v>6.9444444444444447E-4</v>
      </c>
      <c r="H180" s="60">
        <v>8.3333333333333329E-2</v>
      </c>
      <c r="J180" s="2" t="s">
        <v>3804</v>
      </c>
      <c r="K180" t="s">
        <v>4968</v>
      </c>
      <c r="L180" t="s">
        <v>4969</v>
      </c>
    </row>
    <row r="181" spans="1:12" x14ac:dyDescent="0.3">
      <c r="B181" s="2" t="s">
        <v>3216</v>
      </c>
      <c r="C181" s="2" t="s">
        <v>4862</v>
      </c>
      <c r="D181" s="60">
        <v>8.6111111111111124E-2</v>
      </c>
      <c r="E181" s="2" t="s">
        <v>4951</v>
      </c>
      <c r="F181" s="60">
        <v>6.9444444444444447E-4</v>
      </c>
      <c r="G181" s="60">
        <v>4.3750000000000004E-2</v>
      </c>
      <c r="H181" s="60">
        <v>4.1666666666666664E-2</v>
      </c>
      <c r="J181" s="2" t="s">
        <v>4963</v>
      </c>
      <c r="K181" t="s">
        <v>4962</v>
      </c>
      <c r="L181" t="s">
        <v>4964</v>
      </c>
    </row>
    <row r="182" spans="1:12" x14ac:dyDescent="0.3">
      <c r="B182" s="2" t="s">
        <v>3216</v>
      </c>
      <c r="C182" s="2" t="s">
        <v>4836</v>
      </c>
      <c r="D182" s="60" t="s">
        <v>161</v>
      </c>
      <c r="E182" s="2" t="s">
        <v>4960</v>
      </c>
      <c r="F182" s="60">
        <v>4.1666666666666664E-2</v>
      </c>
      <c r="G182" s="60">
        <v>4.2361111111111106E-2</v>
      </c>
      <c r="H182" s="60">
        <v>6.9444444444444447E-4</v>
      </c>
      <c r="I182" s="2" t="s">
        <v>158</v>
      </c>
      <c r="J182" s="2" t="s">
        <v>4967</v>
      </c>
      <c r="K182" t="s">
        <v>4966</v>
      </c>
      <c r="L182" t="s">
        <v>4965</v>
      </c>
    </row>
    <row r="183" spans="1:12" ht="6" customHeight="1" thickBot="1" x14ac:dyDescent="0.35">
      <c r="D183" s="60"/>
      <c r="F183" s="60"/>
      <c r="G183" s="60"/>
      <c r="H183" s="60"/>
    </row>
    <row r="184" spans="1:12" s="292" customFormat="1" ht="15" thickBot="1" x14ac:dyDescent="0.35">
      <c r="B184" s="382"/>
      <c r="C184" s="380" t="s">
        <v>4970</v>
      </c>
      <c r="D184" s="380"/>
      <c r="E184" s="380"/>
      <c r="F184" s="380"/>
      <c r="G184" s="380"/>
      <c r="H184" s="380"/>
      <c r="I184" s="380"/>
      <c r="J184" s="380"/>
    </row>
    <row r="185" spans="1:12" ht="6.75" customHeight="1" x14ac:dyDescent="0.3">
      <c r="D185" s="60"/>
      <c r="F185" s="60"/>
      <c r="G185" s="60"/>
      <c r="H185" s="60"/>
    </row>
    <row r="186" spans="1:12" x14ac:dyDescent="0.3">
      <c r="A186" s="2">
        <v>1</v>
      </c>
      <c r="B186" s="2" t="s">
        <v>3066</v>
      </c>
      <c r="C186" s="2" t="s">
        <v>4971</v>
      </c>
      <c r="D186" s="60">
        <v>0.125</v>
      </c>
      <c r="E186" s="2">
        <v>3</v>
      </c>
      <c r="F186" s="60">
        <v>0</v>
      </c>
      <c r="G186" s="60">
        <v>4.1666666666666664E-2</v>
      </c>
      <c r="H186" s="60">
        <v>8.3333333333333329E-2</v>
      </c>
      <c r="J186" s="60">
        <v>0.125</v>
      </c>
      <c r="K186" t="s">
        <v>4972</v>
      </c>
      <c r="L186" t="s">
        <v>4973</v>
      </c>
    </row>
    <row r="187" spans="1:12" x14ac:dyDescent="0.3">
      <c r="A187" s="2">
        <v>2</v>
      </c>
      <c r="B187" s="2" t="s">
        <v>3066</v>
      </c>
      <c r="C187" s="2" t="s">
        <v>3278</v>
      </c>
      <c r="D187" s="60">
        <v>0.12638888888888888</v>
      </c>
      <c r="E187" s="2">
        <v>6</v>
      </c>
      <c r="F187" s="60">
        <v>4.1666666666666664E-2</v>
      </c>
      <c r="G187" s="60">
        <v>0</v>
      </c>
      <c r="H187" s="60">
        <v>8.4722222222222213E-2</v>
      </c>
      <c r="J187" s="2" t="s">
        <v>4974</v>
      </c>
      <c r="K187" t="s">
        <v>4976</v>
      </c>
      <c r="L187" t="s">
        <v>4975</v>
      </c>
    </row>
    <row r="188" spans="1:12" x14ac:dyDescent="0.3">
      <c r="A188" s="2">
        <v>3</v>
      </c>
      <c r="B188" s="2" t="s">
        <v>3066</v>
      </c>
      <c r="C188" s="2" t="s">
        <v>4832</v>
      </c>
      <c r="D188" s="60">
        <v>0.25277777777777777</v>
      </c>
      <c r="E188" s="2">
        <v>9</v>
      </c>
      <c r="F188" s="60">
        <v>6.9444444444444447E-4</v>
      </c>
      <c r="G188" s="60">
        <v>0.12638888888888888</v>
      </c>
      <c r="H188" s="60">
        <v>0.12569444444444444</v>
      </c>
      <c r="J188" s="2" t="s">
        <v>4977</v>
      </c>
      <c r="K188" t="s">
        <v>4979</v>
      </c>
      <c r="L188" t="s">
        <v>4978</v>
      </c>
    </row>
    <row r="189" spans="1:12" x14ac:dyDescent="0.3">
      <c r="A189" s="2">
        <v>4</v>
      </c>
      <c r="B189" s="2" t="s">
        <v>3066</v>
      </c>
      <c r="C189" s="2" t="s">
        <v>4819</v>
      </c>
      <c r="D189" s="60">
        <v>1.3888888888888889E-3</v>
      </c>
      <c r="E189" s="2">
        <v>9</v>
      </c>
      <c r="F189" s="60">
        <v>6.9444444444444447E-4</v>
      </c>
      <c r="G189" s="60">
        <v>6.9444444444444447E-4</v>
      </c>
      <c r="H189" s="60">
        <v>0</v>
      </c>
      <c r="J189" s="60">
        <v>1.3888888888888889E-3</v>
      </c>
      <c r="K189" t="s">
        <v>515</v>
      </c>
      <c r="L189" t="s">
        <v>4980</v>
      </c>
    </row>
    <row r="190" spans="1:12" x14ac:dyDescent="0.3">
      <c r="A190" s="2">
        <v>5</v>
      </c>
      <c r="B190" s="2" t="s">
        <v>3066</v>
      </c>
      <c r="C190" s="2" t="s">
        <v>4982</v>
      </c>
      <c r="D190" s="60">
        <v>4.5833333333333337E-2</v>
      </c>
      <c r="E190" s="2">
        <v>9</v>
      </c>
      <c r="F190" s="60">
        <v>1.3888888888888889E-3</v>
      </c>
      <c r="G190" s="60">
        <v>2.0833333333333333E-3</v>
      </c>
      <c r="H190" s="60">
        <v>4.2361111111111106E-2</v>
      </c>
      <c r="J190" s="2" t="s">
        <v>4983</v>
      </c>
      <c r="K190" t="s">
        <v>4984</v>
      </c>
      <c r="L190" t="s">
        <v>4981</v>
      </c>
    </row>
    <row r="191" spans="1:12" x14ac:dyDescent="0.3">
      <c r="A191" s="2">
        <v>6</v>
      </c>
      <c r="B191" s="2" t="s">
        <v>3066</v>
      </c>
      <c r="C191" s="2" t="s">
        <v>4985</v>
      </c>
      <c r="D191" s="60">
        <v>0.3354166666666667</v>
      </c>
      <c r="E191" s="2">
        <v>12</v>
      </c>
      <c r="F191" s="60">
        <v>0.12569444444444444</v>
      </c>
      <c r="G191" s="60">
        <v>8.4722222222222213E-2</v>
      </c>
      <c r="H191" s="60">
        <v>0.125</v>
      </c>
      <c r="J191" s="2" t="s">
        <v>4988</v>
      </c>
      <c r="K191" t="s">
        <v>4987</v>
      </c>
      <c r="L191" t="s">
        <v>4986</v>
      </c>
    </row>
    <row r="192" spans="1:12" x14ac:dyDescent="0.3">
      <c r="A192" s="2">
        <v>7</v>
      </c>
      <c r="B192" s="2" t="s">
        <v>3066</v>
      </c>
      <c r="C192" s="2" t="s">
        <v>4989</v>
      </c>
      <c r="D192" s="60">
        <v>0.29444444444444445</v>
      </c>
      <c r="E192" s="2">
        <v>15</v>
      </c>
      <c r="F192" s="60">
        <v>0.12569444444444444</v>
      </c>
      <c r="G192" s="60">
        <v>8.4027777777777771E-2</v>
      </c>
      <c r="H192" s="60">
        <v>8.4722222222222213E-2</v>
      </c>
      <c r="J192" s="2" t="s">
        <v>4991</v>
      </c>
      <c r="K192" t="s">
        <v>4990</v>
      </c>
      <c r="L192" t="s">
        <v>4992</v>
      </c>
    </row>
    <row r="193" spans="1:12" x14ac:dyDescent="0.3">
      <c r="A193" s="2">
        <v>8</v>
      </c>
      <c r="B193" s="2" t="s">
        <v>3066</v>
      </c>
      <c r="C193" s="2" t="s">
        <v>4993</v>
      </c>
      <c r="D193" s="60">
        <v>0.17152777777777775</v>
      </c>
      <c r="E193" s="2">
        <v>15</v>
      </c>
      <c r="F193" s="60">
        <v>8.4722222222222213E-2</v>
      </c>
      <c r="G193" s="60">
        <v>4.3750000000000004E-2</v>
      </c>
      <c r="H193" s="60">
        <v>4.3055555555555562E-2</v>
      </c>
      <c r="J193" s="2" t="s">
        <v>4996</v>
      </c>
      <c r="K193" t="s">
        <v>4995</v>
      </c>
      <c r="L193" t="s">
        <v>4994</v>
      </c>
    </row>
    <row r="194" spans="1:12" x14ac:dyDescent="0.3">
      <c r="A194" s="2">
        <v>9</v>
      </c>
      <c r="B194" s="2" t="s">
        <v>3066</v>
      </c>
      <c r="C194" s="2" t="s">
        <v>4997</v>
      </c>
      <c r="D194" s="60">
        <v>8.819444444444445E-2</v>
      </c>
      <c r="E194" s="2">
        <v>15</v>
      </c>
      <c r="F194" s="60">
        <v>2.0833333333333333E-3</v>
      </c>
      <c r="G194" s="60">
        <v>8.5416666666666655E-2</v>
      </c>
      <c r="H194" s="60">
        <v>6.9444444444444447E-4</v>
      </c>
      <c r="J194" s="2" t="s">
        <v>5002</v>
      </c>
      <c r="K194" t="s">
        <v>5003</v>
      </c>
      <c r="L194" t="s">
        <v>5008</v>
      </c>
    </row>
    <row r="195" spans="1:12" x14ac:dyDescent="0.3">
      <c r="A195" s="2">
        <v>10</v>
      </c>
      <c r="B195" s="2" t="s">
        <v>3066</v>
      </c>
      <c r="C195" s="2" t="s">
        <v>4998</v>
      </c>
      <c r="D195" s="60">
        <v>4.6527777777777779E-2</v>
      </c>
      <c r="E195" s="2">
        <v>15</v>
      </c>
      <c r="F195" s="60">
        <v>1.3888888888888889E-3</v>
      </c>
      <c r="G195" s="60">
        <v>2.7777777777777779E-3</v>
      </c>
      <c r="H195" s="60">
        <v>4.2361111111111106E-2</v>
      </c>
      <c r="J195" s="2" t="s">
        <v>5000</v>
      </c>
      <c r="K195" t="s">
        <v>5001</v>
      </c>
      <c r="L195" t="s">
        <v>4999</v>
      </c>
    </row>
    <row r="196" spans="1:12" x14ac:dyDescent="0.3">
      <c r="A196" s="2">
        <v>11</v>
      </c>
      <c r="B196" s="2" t="s">
        <v>3066</v>
      </c>
      <c r="C196" s="2" t="s">
        <v>5004</v>
      </c>
      <c r="D196" s="60" t="s">
        <v>159</v>
      </c>
      <c r="E196" s="2">
        <v>17</v>
      </c>
      <c r="F196" s="60">
        <v>4.1666666666666664E-2</v>
      </c>
      <c r="G196" s="60">
        <v>8.4027777777777771E-2</v>
      </c>
      <c r="H196" s="60">
        <v>1.3888888888888889E-3</v>
      </c>
      <c r="J196" s="2" t="s">
        <v>5005</v>
      </c>
      <c r="K196" t="s">
        <v>5006</v>
      </c>
      <c r="L196" t="s">
        <v>5007</v>
      </c>
    </row>
    <row r="197" spans="1:12" x14ac:dyDescent="0.3">
      <c r="A197" s="2">
        <v>12</v>
      </c>
      <c r="B197" s="2" t="s">
        <v>3066</v>
      </c>
      <c r="C197" s="2" t="s">
        <v>4840</v>
      </c>
      <c r="D197" s="60" t="s">
        <v>601</v>
      </c>
      <c r="E197" s="2">
        <v>19</v>
      </c>
      <c r="F197" s="60">
        <v>4.2361111111111106E-2</v>
      </c>
      <c r="G197" s="60">
        <v>8.5416666666666655E-2</v>
      </c>
      <c r="H197" s="60">
        <v>4.1666666666666664E-2</v>
      </c>
      <c r="I197" s="2" t="s">
        <v>756</v>
      </c>
      <c r="J197" s="2" t="s">
        <v>5011</v>
      </c>
      <c r="K197" t="s">
        <v>5009</v>
      </c>
      <c r="L197" t="s">
        <v>5010</v>
      </c>
    </row>
    <row r="198" spans="1:12" x14ac:dyDescent="0.3">
      <c r="A198" s="2">
        <v>13</v>
      </c>
      <c r="B198" s="2" t="s">
        <v>3066</v>
      </c>
      <c r="C198" s="2" t="s">
        <v>5012</v>
      </c>
      <c r="D198" s="60">
        <v>8.6805555555555566E-2</v>
      </c>
      <c r="E198" s="2">
        <v>19</v>
      </c>
      <c r="F198" s="60">
        <v>1.3888888888888889E-3</v>
      </c>
      <c r="G198" s="60">
        <v>1.3888888888888889E-3</v>
      </c>
      <c r="H198" s="60">
        <v>8.4027777777777771E-2</v>
      </c>
      <c r="J198" s="2" t="s">
        <v>5013</v>
      </c>
      <c r="K198" t="s">
        <v>5014</v>
      </c>
      <c r="L198" t="s">
        <v>5015</v>
      </c>
    </row>
    <row r="199" spans="1:12" x14ac:dyDescent="0.3">
      <c r="A199" s="2">
        <v>14</v>
      </c>
      <c r="B199" s="2" t="s">
        <v>3066</v>
      </c>
      <c r="C199" s="2" t="s">
        <v>3065</v>
      </c>
      <c r="D199" s="60">
        <v>0.17083333333333331</v>
      </c>
      <c r="E199" s="2">
        <v>19</v>
      </c>
      <c r="F199" s="60">
        <v>8.4722222222222213E-2</v>
      </c>
      <c r="G199" s="60">
        <v>4.3750000000000004E-2</v>
      </c>
      <c r="H199" s="60">
        <v>4.2361111111111106E-2</v>
      </c>
      <c r="J199" s="2" t="s">
        <v>5016</v>
      </c>
      <c r="K199" t="s">
        <v>5017</v>
      </c>
      <c r="L199" t="s">
        <v>5018</v>
      </c>
    </row>
    <row r="200" spans="1:12" x14ac:dyDescent="0.3">
      <c r="A200" s="2">
        <v>15</v>
      </c>
      <c r="B200" s="2" t="s">
        <v>3066</v>
      </c>
      <c r="C200" s="2" t="s">
        <v>5019</v>
      </c>
      <c r="D200" s="60">
        <v>8.9583333333333334E-2</v>
      </c>
      <c r="E200" s="2">
        <v>19</v>
      </c>
      <c r="F200" s="60">
        <v>8.5416666666666655E-2</v>
      </c>
      <c r="G200" s="60">
        <v>2.7777777777777779E-3</v>
      </c>
      <c r="H200" s="60">
        <v>1.3888888888888889E-3</v>
      </c>
      <c r="J200" s="2" t="s">
        <v>5022</v>
      </c>
      <c r="K200" t="s">
        <v>5021</v>
      </c>
      <c r="L200" t="s">
        <v>5020</v>
      </c>
    </row>
    <row r="201" spans="1:12" x14ac:dyDescent="0.3">
      <c r="A201" s="2">
        <v>16</v>
      </c>
      <c r="B201" s="2" t="s">
        <v>3066</v>
      </c>
      <c r="C201" s="2" t="s">
        <v>3046</v>
      </c>
      <c r="D201" s="60">
        <v>0.25347222222222221</v>
      </c>
      <c r="E201" s="2">
        <v>22</v>
      </c>
      <c r="F201" s="60">
        <v>8.3333333333333329E-2</v>
      </c>
      <c r="G201" s="60">
        <v>8.5416666666666655E-2</v>
      </c>
      <c r="H201" s="60">
        <v>8.4722222222222213E-2</v>
      </c>
      <c r="J201" s="2" t="s">
        <v>5023</v>
      </c>
      <c r="K201" t="s">
        <v>5024</v>
      </c>
      <c r="L201" t="s">
        <v>5025</v>
      </c>
    </row>
    <row r="202" spans="1:12" x14ac:dyDescent="0.3">
      <c r="A202" s="2">
        <v>17</v>
      </c>
      <c r="B202" s="2" t="s">
        <v>3066</v>
      </c>
      <c r="C202" s="2" t="s">
        <v>5026</v>
      </c>
      <c r="D202" s="60">
        <v>4.3750000000000004E-2</v>
      </c>
      <c r="E202" s="2">
        <v>22</v>
      </c>
      <c r="F202" s="60">
        <v>4.1666666666666664E-2</v>
      </c>
      <c r="G202" s="60">
        <v>1.3888888888888889E-3</v>
      </c>
      <c r="H202" s="60">
        <v>6.9444444444444447E-4</v>
      </c>
      <c r="J202" s="2" t="s">
        <v>3601</v>
      </c>
      <c r="K202" t="s">
        <v>5027</v>
      </c>
      <c r="L202" t="s">
        <v>5028</v>
      </c>
    </row>
    <row r="203" spans="1:12" x14ac:dyDescent="0.3">
      <c r="A203" s="2">
        <v>18</v>
      </c>
      <c r="B203" s="2" t="s">
        <v>3066</v>
      </c>
      <c r="C203" s="2" t="s">
        <v>4844</v>
      </c>
      <c r="D203" s="60">
        <v>4.8611111111111112E-3</v>
      </c>
      <c r="E203" s="2">
        <v>22</v>
      </c>
      <c r="F203" s="60">
        <v>2.7777777777777779E-3</v>
      </c>
      <c r="G203" s="60">
        <v>6.9444444444444447E-4</v>
      </c>
      <c r="H203" s="60">
        <v>1.3888888888888889E-3</v>
      </c>
      <c r="J203" s="60">
        <v>4.8611111111111112E-3</v>
      </c>
      <c r="K203" t="s">
        <v>515</v>
      </c>
      <c r="L203" t="s">
        <v>5029</v>
      </c>
    </row>
    <row r="204" spans="1:12" x14ac:dyDescent="0.3">
      <c r="A204" s="2">
        <v>19</v>
      </c>
      <c r="B204" s="2" t="s">
        <v>3066</v>
      </c>
      <c r="C204" s="2" t="s">
        <v>5030</v>
      </c>
      <c r="D204" s="60">
        <v>0.20902777777777778</v>
      </c>
      <c r="E204" s="2">
        <v>25</v>
      </c>
      <c r="F204" s="60">
        <v>8.3333333333333329E-2</v>
      </c>
      <c r="G204" s="60">
        <v>4.1666666666666664E-2</v>
      </c>
      <c r="H204" s="60">
        <v>8.4027777777777771E-2</v>
      </c>
      <c r="J204" s="2" t="s">
        <v>4540</v>
      </c>
      <c r="K204" t="s">
        <v>5031</v>
      </c>
      <c r="L204" t="s">
        <v>5032</v>
      </c>
    </row>
    <row r="205" spans="1:12" x14ac:dyDescent="0.3">
      <c r="A205" s="2">
        <v>20</v>
      </c>
      <c r="B205" s="2" t="s">
        <v>3066</v>
      </c>
      <c r="C205" s="2" t="s">
        <v>5033</v>
      </c>
      <c r="D205" s="60">
        <v>0.17291666666666669</v>
      </c>
      <c r="E205" s="2">
        <v>25</v>
      </c>
      <c r="F205" s="60">
        <v>4.5138888888888888E-2</v>
      </c>
      <c r="G205" s="60">
        <v>8.5416666666666655E-2</v>
      </c>
      <c r="H205" s="60">
        <v>4.2361111111111106E-2</v>
      </c>
      <c r="J205" s="2" t="s">
        <v>5036</v>
      </c>
      <c r="K205" t="s">
        <v>5034</v>
      </c>
      <c r="L205" t="s">
        <v>5035</v>
      </c>
    </row>
    <row r="206" spans="1:12" x14ac:dyDescent="0.3">
      <c r="A206" s="2">
        <v>21</v>
      </c>
      <c r="B206" s="2" t="s">
        <v>3066</v>
      </c>
      <c r="C206" s="2" t="s">
        <v>5037</v>
      </c>
      <c r="D206" s="60">
        <v>0.12569444444444444</v>
      </c>
      <c r="E206" s="2">
        <v>28</v>
      </c>
      <c r="F206" s="60">
        <v>4.1666666666666664E-2</v>
      </c>
      <c r="G206" s="60">
        <v>6.9444444444444447E-4</v>
      </c>
      <c r="H206" s="60">
        <v>8.3333333333333329E-2</v>
      </c>
      <c r="J206" s="2" t="s">
        <v>3804</v>
      </c>
      <c r="K206" t="s">
        <v>5038</v>
      </c>
      <c r="L206" t="s">
        <v>5039</v>
      </c>
    </row>
    <row r="207" spans="1:12" x14ac:dyDescent="0.3">
      <c r="A207" s="2">
        <v>22</v>
      </c>
      <c r="B207" s="2" t="s">
        <v>3066</v>
      </c>
      <c r="C207" s="2" t="s">
        <v>3058</v>
      </c>
      <c r="D207" s="60">
        <v>0.37708333333333338</v>
      </c>
      <c r="E207" s="2">
        <v>31</v>
      </c>
      <c r="F207" s="60">
        <v>0.16666666666666666</v>
      </c>
      <c r="G207" s="60">
        <v>0.125</v>
      </c>
      <c r="H207" s="60">
        <v>8.5416666666666655E-2</v>
      </c>
      <c r="J207" s="2" t="s">
        <v>5063</v>
      </c>
      <c r="K207" t="s">
        <v>5064</v>
      </c>
      <c r="L207" t="s">
        <v>5062</v>
      </c>
    </row>
    <row r="208" spans="1:12" x14ac:dyDescent="0.3">
      <c r="A208" s="2">
        <v>23</v>
      </c>
      <c r="B208" s="2" t="s">
        <v>3066</v>
      </c>
      <c r="C208" s="2" t="s">
        <v>5066</v>
      </c>
      <c r="D208" s="60">
        <v>0.29444444444444445</v>
      </c>
      <c r="E208" s="2">
        <v>34</v>
      </c>
      <c r="F208" s="60">
        <v>4.2361111111111106E-2</v>
      </c>
      <c r="G208" s="60">
        <v>0.12708333333333333</v>
      </c>
      <c r="H208" s="60">
        <v>0.125</v>
      </c>
      <c r="J208" s="2" t="s">
        <v>5065</v>
      </c>
      <c r="K208" t="s">
        <v>5138</v>
      </c>
      <c r="L208" t="s">
        <v>5137</v>
      </c>
    </row>
    <row r="209" spans="1:12" x14ac:dyDescent="0.3">
      <c r="A209" s="2">
        <v>24</v>
      </c>
      <c r="B209" s="2" t="s">
        <v>3066</v>
      </c>
      <c r="C209" s="2" t="s">
        <v>5079</v>
      </c>
      <c r="D209" s="60">
        <v>4.5138888888888888E-2</v>
      </c>
      <c r="E209" s="2">
        <v>34</v>
      </c>
      <c r="F209" s="60">
        <v>4.2361111111111106E-2</v>
      </c>
      <c r="G209" s="60">
        <v>1.3888888888888889E-3</v>
      </c>
      <c r="H209" s="60">
        <v>1.3888888888888889E-3</v>
      </c>
      <c r="J209" s="2" t="s">
        <v>3057</v>
      </c>
      <c r="K209" t="s">
        <v>5135</v>
      </c>
      <c r="L209" t="s">
        <v>5136</v>
      </c>
    </row>
    <row r="210" spans="1:12" x14ac:dyDescent="0.3">
      <c r="A210" s="2">
        <v>25</v>
      </c>
      <c r="B210" s="2" t="s">
        <v>3066</v>
      </c>
      <c r="C210" s="2" t="s">
        <v>5084</v>
      </c>
      <c r="D210" s="60" t="s">
        <v>359</v>
      </c>
      <c r="E210" s="2">
        <v>35</v>
      </c>
      <c r="F210" s="60">
        <v>8.4027777777777771E-2</v>
      </c>
      <c r="G210" s="60">
        <v>1.3888888888888889E-3</v>
      </c>
      <c r="H210" s="60">
        <v>8.4027777777777771E-2</v>
      </c>
      <c r="I210" s="2" t="s">
        <v>3213</v>
      </c>
      <c r="J210" s="2" t="s">
        <v>5085</v>
      </c>
      <c r="K210" t="s">
        <v>5133</v>
      </c>
      <c r="L210" t="s">
        <v>5134</v>
      </c>
    </row>
    <row r="211" spans="1:12" x14ac:dyDescent="0.3">
      <c r="A211" s="2">
        <v>26</v>
      </c>
      <c r="B211" s="2" t="s">
        <v>3066</v>
      </c>
      <c r="C211" s="2" t="s">
        <v>4817</v>
      </c>
      <c r="D211" s="60" t="s">
        <v>5088</v>
      </c>
      <c r="E211" s="2">
        <v>38</v>
      </c>
      <c r="F211" s="60">
        <v>0.33333333333333331</v>
      </c>
      <c r="G211" s="1193" t="s">
        <v>5086</v>
      </c>
      <c r="H211" s="1193"/>
      <c r="J211" s="2" t="s">
        <v>5087</v>
      </c>
      <c r="K211" t="s">
        <v>5131</v>
      </c>
      <c r="L211" t="s">
        <v>5132</v>
      </c>
    </row>
    <row r="212" spans="1:12" x14ac:dyDescent="0.3">
      <c r="A212" s="2">
        <v>27</v>
      </c>
      <c r="B212" s="2" t="s">
        <v>3066</v>
      </c>
      <c r="C212" s="2" t="s">
        <v>5103</v>
      </c>
      <c r="D212" s="60">
        <v>0.20972222222222223</v>
      </c>
      <c r="E212" s="2">
        <v>41</v>
      </c>
      <c r="F212" s="60">
        <v>8.4722222222222213E-2</v>
      </c>
      <c r="G212" s="60">
        <v>0.125</v>
      </c>
      <c r="H212" s="60">
        <v>0</v>
      </c>
      <c r="J212" s="2" t="s">
        <v>5104</v>
      </c>
      <c r="K212" t="s">
        <v>5129</v>
      </c>
      <c r="L212" t="s">
        <v>5130</v>
      </c>
    </row>
    <row r="213" spans="1:12" x14ac:dyDescent="0.3">
      <c r="A213" s="2">
        <v>28</v>
      </c>
      <c r="B213" s="2" t="s">
        <v>3066</v>
      </c>
      <c r="C213" s="2" t="s">
        <v>5107</v>
      </c>
      <c r="D213" s="60">
        <v>0.21041666666666667</v>
      </c>
      <c r="E213" s="2">
        <v>44</v>
      </c>
      <c r="F213" s="60">
        <v>4.1666666666666664E-2</v>
      </c>
      <c r="G213" s="60">
        <v>0.12638888888888888</v>
      </c>
      <c r="H213" s="60">
        <v>4.2361111111111106E-2</v>
      </c>
      <c r="J213" s="2" t="s">
        <v>5108</v>
      </c>
      <c r="K213" t="s">
        <v>5109</v>
      </c>
      <c r="L213" t="s">
        <v>5110</v>
      </c>
    </row>
    <row r="214" spans="1:12" x14ac:dyDescent="0.3">
      <c r="A214" s="2">
        <v>29</v>
      </c>
      <c r="B214" s="2" t="s">
        <v>3066</v>
      </c>
      <c r="C214" s="2" t="s">
        <v>5139</v>
      </c>
      <c r="D214" s="60">
        <v>4.8611111111111112E-3</v>
      </c>
      <c r="E214" s="2">
        <v>44</v>
      </c>
      <c r="F214" s="60">
        <v>1.3888888888888889E-3</v>
      </c>
      <c r="G214" s="60">
        <v>2.0833333333333333E-3</v>
      </c>
      <c r="H214" s="60">
        <v>2</v>
      </c>
      <c r="J214" s="60">
        <v>4.8611111111111112E-3</v>
      </c>
      <c r="K214" t="s">
        <v>515</v>
      </c>
      <c r="L214" t="s">
        <v>5140</v>
      </c>
    </row>
    <row r="215" spans="1:12" x14ac:dyDescent="0.3">
      <c r="A215" s="2">
        <v>30</v>
      </c>
      <c r="B215" s="2" t="s">
        <v>3066</v>
      </c>
      <c r="C215" s="2" t="s">
        <v>5145</v>
      </c>
      <c r="D215" s="60">
        <v>4.3055555555555562E-2</v>
      </c>
      <c r="E215" s="2">
        <v>44</v>
      </c>
      <c r="F215" s="60">
        <v>6.9444444444444447E-4</v>
      </c>
      <c r="G215" s="60">
        <v>4.2361111111111106E-2</v>
      </c>
      <c r="H215" s="60">
        <v>0</v>
      </c>
      <c r="J215" s="2" t="s">
        <v>3062</v>
      </c>
    </row>
    <row r="216" spans="1:12" x14ac:dyDescent="0.3">
      <c r="A216" s="2">
        <v>31</v>
      </c>
      <c r="B216" s="2" t="s">
        <v>3066</v>
      </c>
      <c r="C216" s="2" t="s">
        <v>4844</v>
      </c>
      <c r="D216" s="60" t="s">
        <v>162</v>
      </c>
      <c r="E216" s="2">
        <v>46</v>
      </c>
      <c r="F216" s="60">
        <v>4.1666666666666664E-2</v>
      </c>
      <c r="G216" s="60">
        <v>1.3888888888888889E-3</v>
      </c>
      <c r="H216" s="60">
        <v>0.12638888888888888</v>
      </c>
      <c r="I216" s="2" t="s">
        <v>355</v>
      </c>
      <c r="J216" s="2" t="s">
        <v>5146</v>
      </c>
    </row>
    <row r="217" spans="1:12" x14ac:dyDescent="0.3">
      <c r="A217" s="2">
        <v>32</v>
      </c>
      <c r="B217" s="2" t="s">
        <v>3066</v>
      </c>
      <c r="D217" s="60"/>
      <c r="F217" s="60"/>
      <c r="G217" s="60"/>
      <c r="H217" s="60"/>
    </row>
    <row r="218" spans="1:12" x14ac:dyDescent="0.3">
      <c r="A218" s="2">
        <v>33</v>
      </c>
      <c r="B218" s="2" t="s">
        <v>3066</v>
      </c>
      <c r="D218" s="60"/>
      <c r="F218" s="60"/>
      <c r="G218" s="60"/>
      <c r="H218" s="60"/>
    </row>
    <row r="219" spans="1:12" x14ac:dyDescent="0.3">
      <c r="A219" s="2">
        <v>34</v>
      </c>
      <c r="B219" s="2" t="s">
        <v>3066</v>
      </c>
      <c r="D219" s="60"/>
      <c r="F219" s="60"/>
      <c r="G219" s="60"/>
      <c r="H219" s="60"/>
    </row>
    <row r="220" spans="1:12" x14ac:dyDescent="0.3">
      <c r="A220" s="2">
        <v>35</v>
      </c>
      <c r="B220" s="2" t="s">
        <v>3066</v>
      </c>
      <c r="D220" s="60"/>
      <c r="F220" s="60"/>
      <c r="G220" s="60"/>
      <c r="H220" s="60"/>
    </row>
    <row r="221" spans="1:12" x14ac:dyDescent="0.3">
      <c r="A221" s="2">
        <v>36</v>
      </c>
      <c r="B221" s="2" t="s">
        <v>3066</v>
      </c>
      <c r="D221" s="60"/>
      <c r="F221" s="60"/>
      <c r="G221" s="60"/>
      <c r="H221" s="60"/>
    </row>
    <row r="222" spans="1:12" x14ac:dyDescent="0.3">
      <c r="A222" s="2">
        <v>37</v>
      </c>
      <c r="B222" s="2" t="s">
        <v>3066</v>
      </c>
      <c r="D222" s="60"/>
      <c r="F222" s="60"/>
      <c r="G222" s="60"/>
      <c r="H222" s="60"/>
    </row>
    <row r="223" spans="1:12" x14ac:dyDescent="0.3">
      <c r="A223" s="2">
        <v>38</v>
      </c>
      <c r="B223" s="2" t="s">
        <v>3066</v>
      </c>
      <c r="D223" s="60"/>
      <c r="F223" s="60"/>
      <c r="G223" s="60"/>
      <c r="H223" s="60"/>
    </row>
    <row r="224" spans="1:12" x14ac:dyDescent="0.3">
      <c r="A224" s="2">
        <v>39</v>
      </c>
      <c r="B224" s="2" t="s">
        <v>3066</v>
      </c>
      <c r="D224" s="60"/>
      <c r="F224" s="60"/>
      <c r="G224" s="60"/>
      <c r="H224" s="60"/>
    </row>
    <row r="225" spans="1:8" x14ac:dyDescent="0.3">
      <c r="A225" s="2">
        <v>40</v>
      </c>
      <c r="B225" s="2" t="s">
        <v>3066</v>
      </c>
      <c r="D225" s="60"/>
      <c r="F225" s="60"/>
      <c r="G225" s="60"/>
      <c r="H225" s="60"/>
    </row>
    <row r="226" spans="1:8" x14ac:dyDescent="0.3">
      <c r="A226" s="2">
        <v>41</v>
      </c>
      <c r="B226" s="2" t="s">
        <v>3066</v>
      </c>
      <c r="D226" s="60"/>
      <c r="F226" s="60"/>
      <c r="G226" s="60"/>
      <c r="H226" s="60"/>
    </row>
    <row r="227" spans="1:8" x14ac:dyDescent="0.3">
      <c r="A227" s="2">
        <v>42</v>
      </c>
      <c r="B227" s="2" t="s">
        <v>3066</v>
      </c>
      <c r="D227" s="60"/>
      <c r="F227" s="60"/>
      <c r="G227" s="60"/>
      <c r="H227" s="60"/>
    </row>
    <row r="228" spans="1:8" x14ac:dyDescent="0.3">
      <c r="A228" s="2">
        <v>43</v>
      </c>
      <c r="B228" s="2" t="s">
        <v>3066</v>
      </c>
      <c r="D228" s="60"/>
      <c r="F228" s="60"/>
      <c r="G228" s="60"/>
      <c r="H228" s="60"/>
    </row>
    <row r="229" spans="1:8" x14ac:dyDescent="0.3">
      <c r="A229" s="2">
        <v>44</v>
      </c>
      <c r="B229" s="2" t="s">
        <v>3066</v>
      </c>
      <c r="D229" s="60"/>
      <c r="F229" s="60"/>
      <c r="G229" s="60"/>
      <c r="H229" s="60"/>
    </row>
    <row r="230" spans="1:8" x14ac:dyDescent="0.3">
      <c r="A230" s="2"/>
      <c r="D230" s="60"/>
      <c r="F230" s="60"/>
      <c r="G230" s="60"/>
      <c r="H230" s="60"/>
    </row>
    <row r="231" spans="1:8" x14ac:dyDescent="0.3">
      <c r="A231" s="2"/>
      <c r="D231" s="60"/>
      <c r="F231" s="60"/>
      <c r="G231" s="60"/>
      <c r="H231" s="60"/>
    </row>
    <row r="232" spans="1:8" x14ac:dyDescent="0.3">
      <c r="A232" s="2"/>
      <c r="D232" s="60"/>
      <c r="F232" s="60"/>
      <c r="G232" s="60"/>
      <c r="H232" s="60"/>
    </row>
    <row r="233" spans="1:8" x14ac:dyDescent="0.3">
      <c r="D233" s="60"/>
      <c r="F233" s="60"/>
      <c r="G233" s="60"/>
      <c r="H233" s="60"/>
    </row>
    <row r="234" spans="1:8" x14ac:dyDescent="0.3">
      <c r="D234" s="60"/>
      <c r="F234" s="60"/>
      <c r="G234" s="60"/>
      <c r="H234" s="60"/>
    </row>
    <row r="235" spans="1:8" x14ac:dyDescent="0.3">
      <c r="D235" s="60"/>
      <c r="F235" s="60"/>
      <c r="G235" s="60"/>
      <c r="H235" s="60"/>
    </row>
    <row r="236" spans="1:8" x14ac:dyDescent="0.3">
      <c r="D236" s="60"/>
      <c r="F236" s="60"/>
      <c r="G236" s="60"/>
      <c r="H236" s="60"/>
    </row>
    <row r="237" spans="1:8" x14ac:dyDescent="0.3">
      <c r="D237" s="60"/>
      <c r="F237" s="60"/>
      <c r="G237" s="60"/>
      <c r="H237" s="60"/>
    </row>
    <row r="238" spans="1:8" x14ac:dyDescent="0.3">
      <c r="D238" s="60"/>
      <c r="F238" s="60"/>
      <c r="G238" s="60"/>
      <c r="H238" s="60"/>
    </row>
    <row r="239" spans="1:8" x14ac:dyDescent="0.3">
      <c r="D239" s="60"/>
      <c r="F239" s="60"/>
      <c r="G239" s="60"/>
      <c r="H239" s="60"/>
    </row>
    <row r="240" spans="1:8" x14ac:dyDescent="0.3">
      <c r="D240" s="60"/>
      <c r="F240" s="60"/>
      <c r="G240" s="60"/>
      <c r="H240" s="60"/>
    </row>
    <row r="241" spans="4:8" x14ac:dyDescent="0.3">
      <c r="D241" s="60"/>
      <c r="F241" s="60"/>
      <c r="G241" s="60"/>
      <c r="H241" s="60"/>
    </row>
    <row r="242" spans="4:8" x14ac:dyDescent="0.3">
      <c r="D242" s="60"/>
      <c r="F242" s="60"/>
      <c r="G242" s="60"/>
      <c r="H242" s="60"/>
    </row>
    <row r="243" spans="4:8" x14ac:dyDescent="0.3">
      <c r="D243" s="60"/>
      <c r="F243" s="60"/>
      <c r="G243" s="60"/>
      <c r="H243" s="60"/>
    </row>
    <row r="244" spans="4:8" x14ac:dyDescent="0.3">
      <c r="D244" s="60"/>
      <c r="F244" s="60"/>
      <c r="G244" s="60"/>
      <c r="H244" s="60"/>
    </row>
    <row r="245" spans="4:8" x14ac:dyDescent="0.3">
      <c r="D245" s="60"/>
      <c r="F245" s="60"/>
      <c r="G245" s="60"/>
      <c r="H245" s="60"/>
    </row>
    <row r="246" spans="4:8" x14ac:dyDescent="0.3">
      <c r="D246" s="60"/>
      <c r="F246" s="60"/>
      <c r="G246" s="60"/>
      <c r="H246" s="60"/>
    </row>
    <row r="247" spans="4:8" x14ac:dyDescent="0.3">
      <c r="D247" s="60"/>
      <c r="F247" s="60"/>
      <c r="G247" s="60"/>
      <c r="H247" s="60"/>
    </row>
    <row r="248" spans="4:8" x14ac:dyDescent="0.3">
      <c r="D248" s="60"/>
      <c r="F248" s="60"/>
      <c r="G248" s="60"/>
      <c r="H248" s="60"/>
    </row>
    <row r="249" spans="4:8" x14ac:dyDescent="0.3">
      <c r="D249" s="60"/>
      <c r="F249" s="60"/>
      <c r="G249" s="60"/>
      <c r="H249" s="60"/>
    </row>
    <row r="250" spans="4:8" x14ac:dyDescent="0.3">
      <c r="D250" s="60"/>
      <c r="F250" s="60"/>
      <c r="G250" s="60"/>
      <c r="H250" s="60"/>
    </row>
    <row r="251" spans="4:8" x14ac:dyDescent="0.3">
      <c r="D251" s="60"/>
      <c r="F251" s="60"/>
      <c r="G251" s="60"/>
      <c r="H251" s="60"/>
    </row>
    <row r="252" spans="4:8" x14ac:dyDescent="0.3">
      <c r="D252" s="60"/>
      <c r="F252" s="60"/>
      <c r="G252" s="60"/>
      <c r="H252" s="60"/>
    </row>
    <row r="253" spans="4:8" x14ac:dyDescent="0.3">
      <c r="D253" s="60"/>
      <c r="F253" s="60"/>
      <c r="G253" s="60"/>
      <c r="H253" s="60"/>
    </row>
    <row r="254" spans="4:8" x14ac:dyDescent="0.3">
      <c r="D254" s="60"/>
      <c r="F254" s="60"/>
      <c r="G254" s="60"/>
      <c r="H254" s="60"/>
    </row>
    <row r="255" spans="4:8" x14ac:dyDescent="0.3">
      <c r="D255" s="60"/>
      <c r="F255" s="60"/>
      <c r="G255" s="60"/>
      <c r="H255" s="60"/>
    </row>
    <row r="256" spans="4:8" x14ac:dyDescent="0.3">
      <c r="D256" s="60"/>
      <c r="F256" s="60"/>
      <c r="G256" s="60"/>
      <c r="H256" s="60"/>
    </row>
    <row r="257" spans="4:8" x14ac:dyDescent="0.3">
      <c r="D257" s="60"/>
      <c r="F257" s="60"/>
      <c r="G257" s="60"/>
      <c r="H257" s="60"/>
    </row>
    <row r="258" spans="4:8" x14ac:dyDescent="0.3">
      <c r="D258" s="60"/>
      <c r="F258" s="60"/>
      <c r="G258" s="60"/>
      <c r="H258" s="60"/>
    </row>
    <row r="259" spans="4:8" x14ac:dyDescent="0.3">
      <c r="D259" s="60"/>
      <c r="F259" s="60"/>
      <c r="G259" s="60"/>
      <c r="H259" s="60"/>
    </row>
    <row r="260" spans="4:8" x14ac:dyDescent="0.3">
      <c r="D260" s="60"/>
      <c r="F260" s="60"/>
      <c r="G260" s="60"/>
      <c r="H260" s="60"/>
    </row>
    <row r="261" spans="4:8" x14ac:dyDescent="0.3">
      <c r="D261" s="60"/>
      <c r="F261" s="60"/>
      <c r="G261" s="60"/>
      <c r="H261" s="60"/>
    </row>
    <row r="262" spans="4:8" x14ac:dyDescent="0.3">
      <c r="D262" s="60"/>
      <c r="F262" s="60"/>
      <c r="G262" s="60"/>
      <c r="H262" s="60"/>
    </row>
    <row r="263" spans="4:8" x14ac:dyDescent="0.3">
      <c r="D263" s="60"/>
      <c r="F263" s="60"/>
      <c r="G263" s="60"/>
      <c r="H263" s="60"/>
    </row>
    <row r="264" spans="4:8" x14ac:dyDescent="0.3">
      <c r="D264" s="60"/>
      <c r="F264" s="60"/>
      <c r="G264" s="60"/>
      <c r="H264" s="60"/>
    </row>
    <row r="265" spans="4:8" x14ac:dyDescent="0.3">
      <c r="D265" s="60"/>
      <c r="F265" s="60"/>
      <c r="G265" s="60"/>
      <c r="H265" s="60"/>
    </row>
    <row r="266" spans="4:8" x14ac:dyDescent="0.3">
      <c r="D266" s="60"/>
      <c r="F266" s="60"/>
      <c r="G266" s="60"/>
      <c r="H266" s="60"/>
    </row>
    <row r="267" spans="4:8" x14ac:dyDescent="0.3">
      <c r="D267" s="60"/>
      <c r="F267" s="60"/>
      <c r="G267" s="60"/>
      <c r="H267" s="60"/>
    </row>
    <row r="268" spans="4:8" x14ac:dyDescent="0.3">
      <c r="D268" s="60"/>
      <c r="F268" s="60"/>
      <c r="G268" s="60"/>
      <c r="H268" s="60"/>
    </row>
    <row r="269" spans="4:8" x14ac:dyDescent="0.3">
      <c r="D269" s="60"/>
      <c r="F269" s="60"/>
      <c r="G269" s="60"/>
      <c r="H269" s="60"/>
    </row>
    <row r="270" spans="4:8" x14ac:dyDescent="0.3">
      <c r="D270" s="60"/>
      <c r="F270" s="60"/>
      <c r="G270" s="60"/>
      <c r="H270" s="60"/>
    </row>
    <row r="271" spans="4:8" x14ac:dyDescent="0.3">
      <c r="D271" s="60"/>
      <c r="F271" s="60"/>
      <c r="G271" s="60"/>
      <c r="H271" s="60"/>
    </row>
    <row r="272" spans="4:8" x14ac:dyDescent="0.3">
      <c r="D272" s="60"/>
      <c r="F272" s="60"/>
      <c r="G272" s="60"/>
      <c r="H272" s="60"/>
    </row>
    <row r="273" spans="4:8" x14ac:dyDescent="0.3">
      <c r="D273" s="60"/>
      <c r="F273" s="60"/>
      <c r="G273" s="60"/>
      <c r="H273" s="60"/>
    </row>
    <row r="274" spans="4:8" x14ac:dyDescent="0.3">
      <c r="D274" s="60"/>
      <c r="F274" s="60"/>
      <c r="G274" s="60"/>
      <c r="H274" s="60"/>
    </row>
    <row r="275" spans="4:8" x14ac:dyDescent="0.3">
      <c r="D275" s="60"/>
      <c r="F275" s="60"/>
      <c r="G275" s="60"/>
      <c r="H275" s="60"/>
    </row>
    <row r="276" spans="4:8" x14ac:dyDescent="0.3">
      <c r="D276" s="60"/>
      <c r="F276" s="60"/>
      <c r="G276" s="60"/>
      <c r="H276" s="60"/>
    </row>
    <row r="277" spans="4:8" x14ac:dyDescent="0.3">
      <c r="D277" s="60"/>
      <c r="F277" s="60"/>
      <c r="G277" s="60"/>
      <c r="H277" s="60"/>
    </row>
    <row r="278" spans="4:8" x14ac:dyDescent="0.3">
      <c r="D278" s="60"/>
      <c r="F278" s="60"/>
      <c r="G278" s="60"/>
      <c r="H278" s="60"/>
    </row>
    <row r="279" spans="4:8" x14ac:dyDescent="0.3">
      <c r="D279" s="60"/>
      <c r="F279" s="60"/>
      <c r="G279" s="60"/>
      <c r="H279" s="60"/>
    </row>
    <row r="280" spans="4:8" x14ac:dyDescent="0.3">
      <c r="D280" s="60"/>
      <c r="F280" s="60"/>
      <c r="G280" s="60"/>
      <c r="H280" s="60"/>
    </row>
    <row r="281" spans="4:8" x14ac:dyDescent="0.3">
      <c r="D281" s="60"/>
      <c r="F281" s="60"/>
      <c r="G281" s="60"/>
      <c r="H281" s="60"/>
    </row>
    <row r="282" spans="4:8" x14ac:dyDescent="0.3">
      <c r="D282" s="60"/>
      <c r="F282" s="60"/>
      <c r="G282" s="60"/>
      <c r="H282" s="60"/>
    </row>
    <row r="283" spans="4:8" x14ac:dyDescent="0.3">
      <c r="D283" s="60"/>
      <c r="F283" s="60"/>
      <c r="G283" s="60"/>
      <c r="H283" s="60"/>
    </row>
    <row r="284" spans="4:8" x14ac:dyDescent="0.3">
      <c r="D284" s="60"/>
      <c r="F284" s="60"/>
      <c r="G284" s="60"/>
      <c r="H284" s="60"/>
    </row>
    <row r="285" spans="4:8" x14ac:dyDescent="0.3">
      <c r="D285" s="60"/>
      <c r="F285" s="60"/>
      <c r="G285" s="60"/>
      <c r="H285" s="60"/>
    </row>
    <row r="286" spans="4:8" x14ac:dyDescent="0.3">
      <c r="D286" s="60"/>
      <c r="F286" s="60"/>
      <c r="G286" s="60"/>
      <c r="H286" s="60"/>
    </row>
    <row r="287" spans="4:8" x14ac:dyDescent="0.3">
      <c r="D287" s="60"/>
      <c r="F287" s="60"/>
      <c r="G287" s="60"/>
      <c r="H287" s="60"/>
    </row>
    <row r="288" spans="4:8" x14ac:dyDescent="0.3">
      <c r="D288" s="60"/>
      <c r="F288" s="60"/>
      <c r="G288" s="60"/>
      <c r="H288" s="60"/>
    </row>
    <row r="289" spans="4:8" x14ac:dyDescent="0.3">
      <c r="D289" s="60"/>
      <c r="F289" s="60"/>
      <c r="G289" s="60"/>
      <c r="H289" s="60"/>
    </row>
    <row r="290" spans="4:8" x14ac:dyDescent="0.3">
      <c r="D290" s="60"/>
      <c r="F290" s="60"/>
      <c r="G290" s="60"/>
      <c r="H290" s="60"/>
    </row>
    <row r="291" spans="4:8" x14ac:dyDescent="0.3">
      <c r="D291" s="60"/>
      <c r="F291" s="60"/>
      <c r="G291" s="60"/>
      <c r="H291" s="60"/>
    </row>
    <row r="292" spans="4:8" x14ac:dyDescent="0.3">
      <c r="D292" s="60"/>
      <c r="F292" s="60"/>
      <c r="G292" s="60"/>
      <c r="H292" s="60"/>
    </row>
    <row r="293" spans="4:8" x14ac:dyDescent="0.3">
      <c r="D293" s="60"/>
      <c r="F293" s="60"/>
      <c r="G293" s="60"/>
      <c r="H293" s="60"/>
    </row>
    <row r="294" spans="4:8" x14ac:dyDescent="0.3">
      <c r="D294" s="60"/>
      <c r="F294" s="60"/>
      <c r="G294" s="60"/>
      <c r="H294" s="60"/>
    </row>
    <row r="295" spans="4:8" x14ac:dyDescent="0.3">
      <c r="D295" s="60"/>
      <c r="F295" s="60"/>
      <c r="G295" s="60"/>
      <c r="H295" s="60"/>
    </row>
    <row r="296" spans="4:8" x14ac:dyDescent="0.3">
      <c r="D296" s="60"/>
      <c r="F296" s="60"/>
      <c r="G296" s="60"/>
      <c r="H296" s="60"/>
    </row>
    <row r="297" spans="4:8" x14ac:dyDescent="0.3">
      <c r="D297" s="60"/>
      <c r="F297" s="60"/>
      <c r="G297" s="60"/>
      <c r="H297" s="60"/>
    </row>
    <row r="298" spans="4:8" x14ac:dyDescent="0.3">
      <c r="D298" s="60"/>
      <c r="F298" s="60"/>
      <c r="G298" s="60"/>
      <c r="H298" s="60"/>
    </row>
    <row r="299" spans="4:8" x14ac:dyDescent="0.3">
      <c r="D299" s="60"/>
      <c r="F299" s="60"/>
      <c r="G299" s="60"/>
      <c r="H299" s="60"/>
    </row>
    <row r="300" spans="4:8" x14ac:dyDescent="0.3">
      <c r="D300" s="60"/>
      <c r="F300" s="60"/>
      <c r="G300" s="60"/>
      <c r="H300" s="60"/>
    </row>
    <row r="301" spans="4:8" x14ac:dyDescent="0.3">
      <c r="D301" s="60"/>
      <c r="F301" s="60"/>
      <c r="G301" s="60"/>
      <c r="H301" s="60"/>
    </row>
    <row r="302" spans="4:8" x14ac:dyDescent="0.3">
      <c r="D302" s="60"/>
      <c r="F302" s="60"/>
      <c r="G302" s="60"/>
      <c r="H302" s="60"/>
    </row>
    <row r="303" spans="4:8" x14ac:dyDescent="0.3">
      <c r="D303" s="60"/>
      <c r="F303" s="60"/>
      <c r="G303" s="60"/>
      <c r="H303" s="60"/>
    </row>
    <row r="304" spans="4:8" x14ac:dyDescent="0.3">
      <c r="D304" s="60"/>
      <c r="F304" s="60"/>
      <c r="G304" s="60"/>
      <c r="H304" s="60"/>
    </row>
    <row r="305" spans="4:8" x14ac:dyDescent="0.3">
      <c r="D305" s="60"/>
      <c r="F305" s="60"/>
      <c r="G305" s="60"/>
      <c r="H305" s="60"/>
    </row>
    <row r="306" spans="4:8" x14ac:dyDescent="0.3">
      <c r="D306" s="60"/>
      <c r="F306" s="60"/>
      <c r="G306" s="60"/>
      <c r="H306" s="60"/>
    </row>
    <row r="307" spans="4:8" x14ac:dyDescent="0.3">
      <c r="D307" s="60"/>
      <c r="F307" s="60"/>
      <c r="G307" s="60"/>
      <c r="H307" s="60"/>
    </row>
    <row r="308" spans="4:8" x14ac:dyDescent="0.3">
      <c r="D308" s="60"/>
      <c r="F308" s="60"/>
      <c r="G308" s="60"/>
      <c r="H308" s="60"/>
    </row>
    <row r="309" spans="4:8" x14ac:dyDescent="0.3">
      <c r="D309" s="60"/>
      <c r="F309" s="60"/>
      <c r="G309" s="60"/>
      <c r="H309" s="60"/>
    </row>
    <row r="310" spans="4:8" x14ac:dyDescent="0.3">
      <c r="D310" s="60"/>
      <c r="F310" s="60"/>
      <c r="G310" s="60"/>
      <c r="H310" s="60"/>
    </row>
    <row r="311" spans="4:8" x14ac:dyDescent="0.3">
      <c r="D311" s="60"/>
      <c r="F311" s="60"/>
      <c r="G311" s="60"/>
      <c r="H311" s="60"/>
    </row>
    <row r="312" spans="4:8" x14ac:dyDescent="0.3">
      <c r="D312" s="60"/>
      <c r="F312" s="60"/>
      <c r="G312" s="60"/>
      <c r="H312" s="60"/>
    </row>
    <row r="313" spans="4:8" x14ac:dyDescent="0.3">
      <c r="D313" s="60"/>
      <c r="F313" s="60"/>
      <c r="G313" s="60"/>
      <c r="H313" s="60"/>
    </row>
    <row r="314" spans="4:8" x14ac:dyDescent="0.3">
      <c r="D314" s="60"/>
      <c r="F314" s="60"/>
      <c r="G314" s="60"/>
      <c r="H314" s="60"/>
    </row>
    <row r="315" spans="4:8" x14ac:dyDescent="0.3">
      <c r="D315" s="60"/>
      <c r="F315" s="60"/>
      <c r="G315" s="60"/>
      <c r="H315" s="60"/>
    </row>
    <row r="316" spans="4:8" x14ac:dyDescent="0.3">
      <c r="D316" s="60"/>
      <c r="F316" s="60"/>
      <c r="G316" s="60"/>
      <c r="H316" s="60"/>
    </row>
    <row r="317" spans="4:8" x14ac:dyDescent="0.3">
      <c r="D317" s="60"/>
      <c r="F317" s="60"/>
      <c r="G317" s="60"/>
      <c r="H317" s="60"/>
    </row>
    <row r="318" spans="4:8" x14ac:dyDescent="0.3">
      <c r="D318" s="60"/>
      <c r="F318" s="60"/>
      <c r="G318" s="60"/>
      <c r="H318" s="60"/>
    </row>
    <row r="319" spans="4:8" x14ac:dyDescent="0.3">
      <c r="D319" s="60"/>
      <c r="F319" s="60"/>
      <c r="G319" s="60"/>
      <c r="H319" s="60"/>
    </row>
    <row r="320" spans="4:8" x14ac:dyDescent="0.3">
      <c r="D320" s="60"/>
      <c r="F320" s="60"/>
      <c r="G320" s="60"/>
      <c r="H320" s="60"/>
    </row>
    <row r="321" spans="4:8" x14ac:dyDescent="0.3">
      <c r="D321" s="60"/>
      <c r="F321" s="60"/>
      <c r="G321" s="60"/>
      <c r="H321" s="60"/>
    </row>
    <row r="322" spans="4:8" x14ac:dyDescent="0.3">
      <c r="D322" s="60"/>
      <c r="F322" s="60"/>
      <c r="G322" s="60"/>
      <c r="H322" s="60"/>
    </row>
    <row r="323" spans="4:8" x14ac:dyDescent="0.3">
      <c r="D323" s="60"/>
      <c r="F323" s="60"/>
      <c r="G323" s="60"/>
      <c r="H323" s="60"/>
    </row>
    <row r="324" spans="4:8" x14ac:dyDescent="0.3">
      <c r="D324" s="60"/>
      <c r="F324" s="60"/>
      <c r="G324" s="60"/>
      <c r="H324" s="60"/>
    </row>
    <row r="325" spans="4:8" x14ac:dyDescent="0.3">
      <c r="D325" s="60"/>
      <c r="F325" s="60"/>
      <c r="G325" s="60"/>
      <c r="H325" s="60"/>
    </row>
    <row r="326" spans="4:8" x14ac:dyDescent="0.3">
      <c r="D326" s="60"/>
      <c r="F326" s="60"/>
      <c r="G326" s="60"/>
      <c r="H326" s="60"/>
    </row>
    <row r="327" spans="4:8" x14ac:dyDescent="0.3">
      <c r="D327" s="60"/>
      <c r="F327" s="60"/>
      <c r="G327" s="60"/>
      <c r="H327" s="60"/>
    </row>
    <row r="328" spans="4:8" x14ac:dyDescent="0.3">
      <c r="D328" s="60"/>
      <c r="F328" s="60"/>
      <c r="G328" s="60"/>
      <c r="H328" s="60"/>
    </row>
    <row r="329" spans="4:8" x14ac:dyDescent="0.3">
      <c r="D329" s="60"/>
      <c r="F329" s="60"/>
      <c r="G329" s="60"/>
      <c r="H329" s="60"/>
    </row>
    <row r="330" spans="4:8" x14ac:dyDescent="0.3">
      <c r="D330" s="60"/>
      <c r="F330" s="60"/>
      <c r="G330" s="60"/>
      <c r="H330" s="60"/>
    </row>
    <row r="331" spans="4:8" x14ac:dyDescent="0.3">
      <c r="D331" s="60"/>
      <c r="F331" s="60"/>
      <c r="G331" s="60"/>
      <c r="H331" s="60"/>
    </row>
    <row r="332" spans="4:8" x14ac:dyDescent="0.3">
      <c r="D332" s="60"/>
      <c r="F332" s="60"/>
      <c r="G332" s="60"/>
      <c r="H332" s="60"/>
    </row>
    <row r="333" spans="4:8" x14ac:dyDescent="0.3">
      <c r="D333" s="60"/>
      <c r="F333" s="60"/>
      <c r="G333" s="60"/>
      <c r="H333" s="60"/>
    </row>
    <row r="334" spans="4:8" x14ac:dyDescent="0.3">
      <c r="D334" s="60"/>
      <c r="F334" s="60"/>
      <c r="G334" s="60"/>
      <c r="H334" s="60"/>
    </row>
    <row r="335" spans="4:8" x14ac:dyDescent="0.3">
      <c r="D335" s="60"/>
      <c r="F335" s="60"/>
      <c r="G335" s="60"/>
      <c r="H335" s="60"/>
    </row>
    <row r="336" spans="4:8" x14ac:dyDescent="0.3">
      <c r="D336" s="60"/>
      <c r="F336" s="60"/>
      <c r="G336" s="60"/>
      <c r="H336" s="60"/>
    </row>
    <row r="337" spans="4:8" x14ac:dyDescent="0.3">
      <c r="D337" s="60"/>
      <c r="F337" s="60"/>
      <c r="G337" s="60"/>
      <c r="H337" s="60"/>
    </row>
    <row r="338" spans="4:8" x14ac:dyDescent="0.3">
      <c r="D338" s="60"/>
      <c r="F338" s="60"/>
      <c r="G338" s="60"/>
      <c r="H338" s="60"/>
    </row>
    <row r="339" spans="4:8" x14ac:dyDescent="0.3">
      <c r="D339" s="60"/>
      <c r="F339" s="60"/>
      <c r="G339" s="60"/>
      <c r="H339" s="60"/>
    </row>
    <row r="340" spans="4:8" x14ac:dyDescent="0.3">
      <c r="D340" s="60"/>
      <c r="F340" s="60"/>
      <c r="G340" s="60"/>
      <c r="H340" s="60"/>
    </row>
    <row r="341" spans="4:8" x14ac:dyDescent="0.3">
      <c r="D341" s="60"/>
      <c r="F341" s="60"/>
      <c r="G341" s="60"/>
      <c r="H341" s="60"/>
    </row>
    <row r="342" spans="4:8" x14ac:dyDescent="0.3">
      <c r="D342" s="60"/>
      <c r="F342" s="60"/>
      <c r="G342" s="60"/>
      <c r="H342" s="60"/>
    </row>
    <row r="343" spans="4:8" x14ac:dyDescent="0.3">
      <c r="D343" s="60"/>
      <c r="F343" s="60"/>
      <c r="G343" s="60"/>
      <c r="H343" s="60"/>
    </row>
    <row r="344" spans="4:8" x14ac:dyDescent="0.3">
      <c r="D344" s="60"/>
      <c r="F344" s="60"/>
      <c r="G344" s="60"/>
      <c r="H344" s="60"/>
    </row>
    <row r="345" spans="4:8" x14ac:dyDescent="0.3">
      <c r="D345" s="60"/>
      <c r="F345" s="60"/>
      <c r="G345" s="60"/>
      <c r="H345" s="60"/>
    </row>
    <row r="346" spans="4:8" x14ac:dyDescent="0.3">
      <c r="D346" s="60"/>
      <c r="F346" s="60"/>
      <c r="G346" s="60"/>
      <c r="H346" s="60"/>
    </row>
    <row r="347" spans="4:8" x14ac:dyDescent="0.3">
      <c r="D347" s="60"/>
      <c r="F347" s="60"/>
      <c r="G347" s="60"/>
      <c r="H347" s="60"/>
    </row>
    <row r="348" spans="4:8" x14ac:dyDescent="0.3">
      <c r="D348" s="60"/>
      <c r="F348" s="60"/>
      <c r="G348" s="60"/>
      <c r="H348" s="60"/>
    </row>
    <row r="349" spans="4:8" x14ac:dyDescent="0.3">
      <c r="D349" s="60"/>
      <c r="F349" s="60"/>
      <c r="G349" s="60"/>
      <c r="H349" s="60"/>
    </row>
    <row r="350" spans="4:8" x14ac:dyDescent="0.3">
      <c r="D350" s="60"/>
      <c r="F350" s="60"/>
      <c r="G350" s="60"/>
      <c r="H350" s="60"/>
    </row>
    <row r="351" spans="4:8" x14ac:dyDescent="0.3">
      <c r="D351" s="60"/>
      <c r="F351" s="60"/>
      <c r="G351" s="60"/>
      <c r="H351" s="60"/>
    </row>
    <row r="352" spans="4:8" x14ac:dyDescent="0.3">
      <c r="D352" s="60"/>
      <c r="F352" s="60"/>
      <c r="G352" s="60"/>
      <c r="H352" s="60"/>
    </row>
    <row r="353" spans="4:8" x14ac:dyDescent="0.3">
      <c r="D353" s="60"/>
      <c r="F353" s="60"/>
      <c r="G353" s="60"/>
      <c r="H353" s="60"/>
    </row>
    <row r="354" spans="4:8" x14ac:dyDescent="0.3">
      <c r="D354" s="60"/>
      <c r="F354" s="60"/>
      <c r="G354" s="60"/>
      <c r="H354" s="60"/>
    </row>
    <row r="355" spans="4:8" x14ac:dyDescent="0.3">
      <c r="D355" s="60"/>
      <c r="F355" s="60"/>
      <c r="G355" s="60"/>
      <c r="H355" s="60"/>
    </row>
    <row r="356" spans="4:8" x14ac:dyDescent="0.3">
      <c r="D356" s="60"/>
      <c r="F356" s="60"/>
      <c r="G356" s="60"/>
      <c r="H356" s="60"/>
    </row>
    <row r="357" spans="4:8" x14ac:dyDescent="0.3">
      <c r="D357" s="60"/>
      <c r="F357" s="60"/>
      <c r="G357" s="60"/>
      <c r="H357" s="60"/>
    </row>
    <row r="358" spans="4:8" x14ac:dyDescent="0.3">
      <c r="D358" s="60"/>
      <c r="F358" s="60"/>
      <c r="G358" s="60"/>
      <c r="H358" s="60"/>
    </row>
    <row r="359" spans="4:8" x14ac:dyDescent="0.3">
      <c r="D359" s="60"/>
      <c r="F359" s="60"/>
      <c r="G359" s="60"/>
      <c r="H359" s="60"/>
    </row>
    <row r="360" spans="4:8" x14ac:dyDescent="0.3">
      <c r="D360" s="60"/>
      <c r="F360" s="60"/>
      <c r="G360" s="60"/>
      <c r="H360" s="60"/>
    </row>
    <row r="361" spans="4:8" x14ac:dyDescent="0.3">
      <c r="D361" s="60"/>
      <c r="F361" s="60"/>
      <c r="G361" s="60"/>
      <c r="H361" s="60"/>
    </row>
    <row r="362" spans="4:8" x14ac:dyDescent="0.3">
      <c r="D362" s="60"/>
      <c r="F362" s="60"/>
      <c r="G362" s="60"/>
      <c r="H362" s="60"/>
    </row>
    <row r="363" spans="4:8" x14ac:dyDescent="0.3">
      <c r="D363" s="60"/>
      <c r="F363" s="60"/>
      <c r="G363" s="60"/>
      <c r="H363" s="60"/>
    </row>
    <row r="364" spans="4:8" x14ac:dyDescent="0.3">
      <c r="D364" s="60"/>
      <c r="F364" s="60"/>
      <c r="G364" s="60"/>
      <c r="H364" s="60"/>
    </row>
    <row r="365" spans="4:8" x14ac:dyDescent="0.3">
      <c r="D365" s="60"/>
      <c r="F365" s="60"/>
      <c r="G365" s="60"/>
      <c r="H365" s="60"/>
    </row>
    <row r="366" spans="4:8" x14ac:dyDescent="0.3">
      <c r="D366" s="60"/>
      <c r="F366" s="60"/>
      <c r="G366" s="60"/>
      <c r="H366" s="60"/>
    </row>
    <row r="367" spans="4:8" x14ac:dyDescent="0.3">
      <c r="D367" s="60"/>
      <c r="F367" s="60"/>
      <c r="G367" s="60"/>
      <c r="H367" s="60"/>
    </row>
    <row r="368" spans="4:8" x14ac:dyDescent="0.3">
      <c r="D368" s="60"/>
      <c r="F368" s="60"/>
      <c r="G368" s="60"/>
      <c r="H368" s="60"/>
    </row>
    <row r="369" spans="4:8" x14ac:dyDescent="0.3">
      <c r="D369" s="60"/>
      <c r="F369" s="60"/>
      <c r="G369" s="60"/>
      <c r="H369" s="60"/>
    </row>
    <row r="370" spans="4:8" x14ac:dyDescent="0.3">
      <c r="D370" s="60"/>
      <c r="F370" s="60"/>
      <c r="G370" s="60"/>
      <c r="H370" s="60"/>
    </row>
    <row r="371" spans="4:8" x14ac:dyDescent="0.3">
      <c r="D371" s="60"/>
      <c r="F371" s="60"/>
      <c r="G371" s="60"/>
      <c r="H371" s="60"/>
    </row>
    <row r="372" spans="4:8" x14ac:dyDescent="0.3">
      <c r="D372" s="60"/>
      <c r="F372" s="60"/>
      <c r="G372" s="60"/>
      <c r="H372" s="60"/>
    </row>
    <row r="373" spans="4:8" x14ac:dyDescent="0.3">
      <c r="D373" s="60"/>
      <c r="F373" s="60"/>
      <c r="G373" s="60"/>
      <c r="H373" s="60"/>
    </row>
    <row r="374" spans="4:8" x14ac:dyDescent="0.3">
      <c r="D374" s="60"/>
      <c r="F374" s="60"/>
      <c r="G374" s="60"/>
      <c r="H374" s="60"/>
    </row>
    <row r="375" spans="4:8" x14ac:dyDescent="0.3">
      <c r="D375" s="60"/>
      <c r="F375" s="60"/>
      <c r="G375" s="60"/>
      <c r="H375" s="60"/>
    </row>
    <row r="376" spans="4:8" x14ac:dyDescent="0.3">
      <c r="D376" s="60"/>
      <c r="F376" s="60"/>
      <c r="G376" s="60"/>
      <c r="H376" s="60"/>
    </row>
    <row r="377" spans="4:8" x14ac:dyDescent="0.3">
      <c r="D377" s="60"/>
      <c r="F377" s="60"/>
      <c r="G377" s="60"/>
      <c r="H377" s="60"/>
    </row>
    <row r="378" spans="4:8" x14ac:dyDescent="0.3">
      <c r="D378" s="60"/>
      <c r="F378" s="60"/>
      <c r="G378" s="60"/>
      <c r="H378" s="60"/>
    </row>
    <row r="379" spans="4:8" x14ac:dyDescent="0.3">
      <c r="D379" s="60"/>
      <c r="F379" s="60"/>
      <c r="G379" s="60"/>
      <c r="H379" s="60"/>
    </row>
    <row r="380" spans="4:8" x14ac:dyDescent="0.3">
      <c r="D380" s="60"/>
      <c r="F380" s="60"/>
      <c r="G380" s="60"/>
      <c r="H380" s="60"/>
    </row>
    <row r="381" spans="4:8" x14ac:dyDescent="0.3">
      <c r="D381" s="60"/>
      <c r="F381" s="60"/>
      <c r="G381" s="60"/>
      <c r="H381" s="60"/>
    </row>
    <row r="382" spans="4:8" x14ac:dyDescent="0.3">
      <c r="D382" s="60"/>
      <c r="F382" s="60"/>
      <c r="G382" s="60"/>
      <c r="H382" s="60"/>
    </row>
    <row r="383" spans="4:8" x14ac:dyDescent="0.3">
      <c r="D383" s="60"/>
      <c r="F383" s="60"/>
      <c r="G383" s="60"/>
      <c r="H383" s="60"/>
    </row>
    <row r="384" spans="4:8" x14ac:dyDescent="0.3">
      <c r="D384" s="60"/>
      <c r="F384" s="60"/>
      <c r="G384" s="60"/>
      <c r="H384" s="60"/>
    </row>
    <row r="385" spans="4:8" x14ac:dyDescent="0.3">
      <c r="D385" s="60"/>
      <c r="F385" s="60"/>
      <c r="G385" s="60"/>
      <c r="H385" s="60"/>
    </row>
    <row r="386" spans="4:8" x14ac:dyDescent="0.3">
      <c r="D386" s="60"/>
      <c r="F386" s="60"/>
      <c r="G386" s="60"/>
      <c r="H386" s="60"/>
    </row>
    <row r="387" spans="4:8" x14ac:dyDescent="0.3">
      <c r="D387" s="60"/>
      <c r="F387" s="60"/>
      <c r="G387" s="60"/>
      <c r="H387" s="60"/>
    </row>
    <row r="388" spans="4:8" x14ac:dyDescent="0.3">
      <c r="D388" s="60"/>
      <c r="F388" s="60"/>
      <c r="G388" s="60"/>
      <c r="H388" s="60"/>
    </row>
    <row r="389" spans="4:8" x14ac:dyDescent="0.3">
      <c r="D389" s="60"/>
      <c r="F389" s="60"/>
      <c r="G389" s="60"/>
      <c r="H389" s="60"/>
    </row>
    <row r="390" spans="4:8" x14ac:dyDescent="0.3">
      <c r="D390" s="60"/>
      <c r="F390" s="60"/>
      <c r="G390" s="60"/>
      <c r="H390" s="60"/>
    </row>
    <row r="391" spans="4:8" x14ac:dyDescent="0.3">
      <c r="D391" s="60"/>
      <c r="F391" s="60"/>
      <c r="G391" s="60"/>
      <c r="H391" s="60"/>
    </row>
    <row r="392" spans="4:8" x14ac:dyDescent="0.3">
      <c r="D392" s="60"/>
      <c r="F392" s="60"/>
      <c r="G392" s="60"/>
      <c r="H392" s="60"/>
    </row>
    <row r="393" spans="4:8" x14ac:dyDescent="0.3">
      <c r="D393" s="60"/>
      <c r="F393" s="60"/>
      <c r="G393" s="60"/>
      <c r="H393" s="60"/>
    </row>
    <row r="394" spans="4:8" x14ac:dyDescent="0.3">
      <c r="D394" s="60"/>
      <c r="F394" s="60"/>
      <c r="G394" s="60"/>
      <c r="H394" s="60"/>
    </row>
    <row r="395" spans="4:8" x14ac:dyDescent="0.3">
      <c r="D395" s="60"/>
      <c r="F395" s="60"/>
      <c r="G395" s="60"/>
      <c r="H395" s="60"/>
    </row>
    <row r="396" spans="4:8" x14ac:dyDescent="0.3">
      <c r="D396" s="60"/>
      <c r="F396" s="60"/>
      <c r="G396" s="60"/>
      <c r="H396" s="60"/>
    </row>
    <row r="397" spans="4:8" x14ac:dyDescent="0.3">
      <c r="D397" s="60"/>
      <c r="F397" s="60"/>
      <c r="G397" s="60"/>
      <c r="H397" s="60"/>
    </row>
    <row r="398" spans="4:8" x14ac:dyDescent="0.3">
      <c r="D398" s="60"/>
      <c r="F398" s="60"/>
      <c r="G398" s="60"/>
      <c r="H398" s="60"/>
    </row>
    <row r="399" spans="4:8" x14ac:dyDescent="0.3">
      <c r="D399" s="60"/>
      <c r="F399" s="60"/>
      <c r="G399" s="60"/>
      <c r="H399" s="60"/>
    </row>
    <row r="400" spans="4:8" x14ac:dyDescent="0.3">
      <c r="D400" s="60"/>
      <c r="F400" s="60"/>
      <c r="G400" s="60"/>
      <c r="H400" s="60"/>
    </row>
    <row r="401" spans="4:8" x14ac:dyDescent="0.3">
      <c r="D401" s="60"/>
      <c r="F401" s="60"/>
      <c r="G401" s="60"/>
      <c r="H401" s="60"/>
    </row>
    <row r="402" spans="4:8" x14ac:dyDescent="0.3">
      <c r="D402" s="60"/>
      <c r="F402" s="60"/>
      <c r="G402" s="60"/>
      <c r="H402" s="60"/>
    </row>
    <row r="403" spans="4:8" x14ac:dyDescent="0.3">
      <c r="D403" s="60"/>
      <c r="F403" s="60"/>
      <c r="G403" s="60"/>
      <c r="H403" s="60"/>
    </row>
    <row r="404" spans="4:8" x14ac:dyDescent="0.3">
      <c r="D404" s="60"/>
      <c r="F404" s="60"/>
      <c r="G404" s="60"/>
      <c r="H404" s="60"/>
    </row>
    <row r="405" spans="4:8" x14ac:dyDescent="0.3">
      <c r="D405" s="60"/>
      <c r="F405" s="60"/>
      <c r="G405" s="60"/>
      <c r="H405" s="60"/>
    </row>
    <row r="406" spans="4:8" x14ac:dyDescent="0.3">
      <c r="D406" s="60"/>
      <c r="F406" s="60"/>
      <c r="G406" s="60"/>
      <c r="H406" s="60"/>
    </row>
    <row r="407" spans="4:8" x14ac:dyDescent="0.3">
      <c r="D407" s="60"/>
      <c r="F407" s="60"/>
      <c r="G407" s="60"/>
      <c r="H407" s="60"/>
    </row>
    <row r="408" spans="4:8" x14ac:dyDescent="0.3">
      <c r="D408" s="60"/>
      <c r="F408" s="60"/>
      <c r="G408" s="60"/>
      <c r="H408" s="60"/>
    </row>
    <row r="409" spans="4:8" x14ac:dyDescent="0.3">
      <c r="D409" s="60"/>
      <c r="F409" s="60"/>
      <c r="G409" s="60"/>
      <c r="H409" s="60"/>
    </row>
    <row r="410" spans="4:8" x14ac:dyDescent="0.3">
      <c r="D410" s="60"/>
      <c r="F410" s="60"/>
      <c r="G410" s="60"/>
      <c r="H410" s="60"/>
    </row>
    <row r="411" spans="4:8" x14ac:dyDescent="0.3">
      <c r="D411" s="60"/>
      <c r="F411" s="60"/>
      <c r="G411" s="60"/>
      <c r="H411" s="60"/>
    </row>
    <row r="412" spans="4:8" x14ac:dyDescent="0.3">
      <c r="D412" s="60"/>
      <c r="F412" s="60"/>
      <c r="G412" s="60"/>
      <c r="H412" s="60"/>
    </row>
    <row r="413" spans="4:8" x14ac:dyDescent="0.3">
      <c r="D413" s="60"/>
      <c r="F413" s="60"/>
      <c r="G413" s="60"/>
      <c r="H413" s="60"/>
    </row>
    <row r="414" spans="4:8" x14ac:dyDescent="0.3">
      <c r="D414" s="60"/>
      <c r="F414" s="60"/>
      <c r="G414" s="60"/>
      <c r="H414" s="60"/>
    </row>
    <row r="415" spans="4:8" x14ac:dyDescent="0.3">
      <c r="D415" s="60"/>
      <c r="F415" s="60"/>
      <c r="G415" s="60"/>
      <c r="H415" s="60"/>
    </row>
    <row r="416" spans="4:8" x14ac:dyDescent="0.3">
      <c r="D416" s="60"/>
      <c r="F416" s="60"/>
      <c r="G416" s="60"/>
      <c r="H416" s="60"/>
    </row>
    <row r="417" spans="4:8" x14ac:dyDescent="0.3">
      <c r="D417" s="60"/>
      <c r="F417" s="60"/>
      <c r="G417" s="60"/>
      <c r="H417" s="60"/>
    </row>
    <row r="418" spans="4:8" x14ac:dyDescent="0.3">
      <c r="D418" s="60"/>
      <c r="F418" s="60"/>
      <c r="G418" s="60"/>
      <c r="H418" s="60"/>
    </row>
    <row r="419" spans="4:8" x14ac:dyDescent="0.3">
      <c r="D419" s="60"/>
      <c r="F419" s="60"/>
      <c r="G419" s="60"/>
      <c r="H419" s="60"/>
    </row>
    <row r="420" spans="4:8" x14ac:dyDescent="0.3">
      <c r="D420" s="60"/>
      <c r="F420" s="60"/>
      <c r="G420" s="60"/>
      <c r="H420" s="60"/>
    </row>
    <row r="421" spans="4:8" x14ac:dyDescent="0.3">
      <c r="D421" s="60"/>
      <c r="F421" s="60"/>
      <c r="G421" s="60"/>
      <c r="H421" s="60"/>
    </row>
    <row r="422" spans="4:8" x14ac:dyDescent="0.3">
      <c r="D422" s="60"/>
      <c r="F422" s="60"/>
      <c r="G422" s="60"/>
      <c r="H422" s="60"/>
    </row>
    <row r="423" spans="4:8" x14ac:dyDescent="0.3">
      <c r="D423" s="60"/>
      <c r="F423" s="60"/>
      <c r="G423" s="60"/>
      <c r="H423" s="60"/>
    </row>
    <row r="424" spans="4:8" x14ac:dyDescent="0.3">
      <c r="D424" s="60"/>
      <c r="F424" s="60"/>
      <c r="G424" s="60"/>
      <c r="H424" s="60"/>
    </row>
    <row r="425" spans="4:8" x14ac:dyDescent="0.3">
      <c r="D425" s="60"/>
      <c r="F425" s="60"/>
      <c r="G425" s="60"/>
      <c r="H425" s="60"/>
    </row>
    <row r="426" spans="4:8" x14ac:dyDescent="0.3">
      <c r="D426" s="60"/>
      <c r="F426" s="60"/>
      <c r="G426" s="60"/>
      <c r="H426" s="60"/>
    </row>
    <row r="427" spans="4:8" x14ac:dyDescent="0.3">
      <c r="D427" s="60"/>
      <c r="F427" s="60"/>
      <c r="G427" s="60"/>
      <c r="H427" s="60"/>
    </row>
    <row r="428" spans="4:8" x14ac:dyDescent="0.3">
      <c r="D428" s="60"/>
      <c r="F428" s="60"/>
      <c r="G428" s="60"/>
      <c r="H428" s="60"/>
    </row>
    <row r="429" spans="4:8" x14ac:dyDescent="0.3">
      <c r="D429" s="60"/>
      <c r="F429" s="60"/>
      <c r="G429" s="60"/>
      <c r="H429" s="60"/>
    </row>
    <row r="430" spans="4:8" x14ac:dyDescent="0.3">
      <c r="D430" s="60"/>
      <c r="F430" s="60"/>
      <c r="G430" s="60"/>
      <c r="H430" s="60"/>
    </row>
    <row r="431" spans="4:8" x14ac:dyDescent="0.3">
      <c r="D431" s="60"/>
      <c r="F431" s="60"/>
      <c r="G431" s="60"/>
      <c r="H431" s="60"/>
    </row>
    <row r="432" spans="4:8" x14ac:dyDescent="0.3">
      <c r="D432" s="60"/>
      <c r="F432" s="60"/>
      <c r="G432" s="60"/>
      <c r="H432" s="60"/>
    </row>
    <row r="433" spans="4:8" x14ac:dyDescent="0.3">
      <c r="D433" s="60"/>
      <c r="F433" s="60"/>
      <c r="G433" s="60"/>
      <c r="H433" s="60"/>
    </row>
    <row r="434" spans="4:8" x14ac:dyDescent="0.3">
      <c r="D434" s="60"/>
      <c r="F434" s="60"/>
      <c r="G434" s="60"/>
      <c r="H434" s="60"/>
    </row>
    <row r="435" spans="4:8" x14ac:dyDescent="0.3">
      <c r="D435" s="60"/>
      <c r="F435" s="60"/>
      <c r="G435" s="60"/>
      <c r="H435" s="60"/>
    </row>
    <row r="436" spans="4:8" x14ac:dyDescent="0.3">
      <c r="D436" s="60"/>
      <c r="F436" s="60"/>
      <c r="G436" s="60"/>
      <c r="H436" s="60"/>
    </row>
    <row r="437" spans="4:8" x14ac:dyDescent="0.3">
      <c r="D437" s="60"/>
      <c r="F437" s="60"/>
      <c r="G437" s="60"/>
      <c r="H437" s="60"/>
    </row>
    <row r="438" spans="4:8" x14ac:dyDescent="0.3">
      <c r="D438" s="60"/>
      <c r="F438" s="60"/>
      <c r="G438" s="60"/>
      <c r="H438" s="60"/>
    </row>
    <row r="439" spans="4:8" x14ac:dyDescent="0.3">
      <c r="D439" s="60"/>
      <c r="F439" s="60"/>
      <c r="G439" s="60"/>
      <c r="H439" s="60"/>
    </row>
    <row r="440" spans="4:8" x14ac:dyDescent="0.3">
      <c r="D440" s="60"/>
      <c r="F440" s="60"/>
      <c r="G440" s="60"/>
      <c r="H440" s="60"/>
    </row>
    <row r="441" spans="4:8" x14ac:dyDescent="0.3">
      <c r="D441" s="60"/>
      <c r="F441" s="60"/>
      <c r="G441" s="60"/>
      <c r="H441" s="60"/>
    </row>
    <row r="442" spans="4:8" x14ac:dyDescent="0.3">
      <c r="D442" s="60"/>
      <c r="F442" s="60"/>
      <c r="G442" s="60"/>
      <c r="H442" s="60"/>
    </row>
    <row r="443" spans="4:8" x14ac:dyDescent="0.3">
      <c r="D443" s="60"/>
      <c r="F443" s="60"/>
      <c r="G443" s="60"/>
      <c r="H443" s="60"/>
    </row>
    <row r="444" spans="4:8" x14ac:dyDescent="0.3">
      <c r="D444" s="60"/>
      <c r="F444" s="60"/>
      <c r="G444" s="60"/>
      <c r="H444" s="60"/>
    </row>
    <row r="445" spans="4:8" x14ac:dyDescent="0.3">
      <c r="D445" s="60"/>
      <c r="F445" s="60"/>
      <c r="G445" s="60"/>
      <c r="H445" s="60"/>
    </row>
    <row r="446" spans="4:8" x14ac:dyDescent="0.3">
      <c r="D446" s="60"/>
      <c r="F446" s="60"/>
      <c r="G446" s="60"/>
      <c r="H446" s="60"/>
    </row>
    <row r="447" spans="4:8" x14ac:dyDescent="0.3">
      <c r="D447" s="60"/>
      <c r="F447" s="60"/>
      <c r="G447" s="60"/>
      <c r="H447" s="60"/>
    </row>
    <row r="448" spans="4:8" x14ac:dyDescent="0.3">
      <c r="D448" s="60"/>
      <c r="F448" s="60"/>
      <c r="G448" s="60"/>
      <c r="H448" s="60"/>
    </row>
    <row r="449" spans="4:8" x14ac:dyDescent="0.3">
      <c r="D449" s="60"/>
      <c r="F449" s="60"/>
      <c r="G449" s="60"/>
      <c r="H449" s="60"/>
    </row>
    <row r="450" spans="4:8" x14ac:dyDescent="0.3">
      <c r="D450" s="60"/>
      <c r="F450" s="60"/>
      <c r="G450" s="60"/>
      <c r="H450" s="60"/>
    </row>
    <row r="451" spans="4:8" x14ac:dyDescent="0.3">
      <c r="D451" s="60"/>
      <c r="F451" s="60"/>
      <c r="G451" s="60"/>
      <c r="H451" s="60"/>
    </row>
    <row r="452" spans="4:8" x14ac:dyDescent="0.3">
      <c r="D452" s="60"/>
      <c r="F452" s="60"/>
      <c r="G452" s="60"/>
      <c r="H452" s="60"/>
    </row>
    <row r="453" spans="4:8" x14ac:dyDescent="0.3">
      <c r="D453" s="60"/>
      <c r="F453" s="60"/>
      <c r="G453" s="60"/>
      <c r="H453" s="60"/>
    </row>
    <row r="454" spans="4:8" x14ac:dyDescent="0.3">
      <c r="D454" s="60"/>
      <c r="F454" s="60"/>
      <c r="G454" s="60"/>
      <c r="H454" s="60"/>
    </row>
    <row r="455" spans="4:8" x14ac:dyDescent="0.3">
      <c r="D455" s="60"/>
      <c r="F455" s="60"/>
      <c r="G455" s="60"/>
      <c r="H455" s="60"/>
    </row>
    <row r="456" spans="4:8" x14ac:dyDescent="0.3">
      <c r="D456" s="60"/>
      <c r="F456" s="60"/>
      <c r="G456" s="60"/>
      <c r="H456" s="60"/>
    </row>
    <row r="457" spans="4:8" x14ac:dyDescent="0.3">
      <c r="D457" s="60"/>
      <c r="F457" s="60"/>
      <c r="G457" s="60"/>
      <c r="H457" s="60"/>
    </row>
    <row r="458" spans="4:8" x14ac:dyDescent="0.3">
      <c r="D458" s="60"/>
      <c r="F458" s="60"/>
      <c r="G458" s="60"/>
      <c r="H458" s="60"/>
    </row>
    <row r="459" spans="4:8" x14ac:dyDescent="0.3">
      <c r="D459" s="60"/>
      <c r="F459" s="60"/>
      <c r="G459" s="60"/>
      <c r="H459" s="60"/>
    </row>
    <row r="460" spans="4:8" x14ac:dyDescent="0.3">
      <c r="D460" s="60"/>
      <c r="F460" s="60"/>
      <c r="G460" s="60"/>
      <c r="H460" s="60"/>
    </row>
    <row r="461" spans="4:8" x14ac:dyDescent="0.3">
      <c r="D461" s="60"/>
      <c r="F461" s="60"/>
      <c r="G461" s="60"/>
      <c r="H461" s="60"/>
    </row>
    <row r="462" spans="4:8" x14ac:dyDescent="0.3">
      <c r="D462" s="60"/>
      <c r="F462" s="60"/>
      <c r="G462" s="60"/>
      <c r="H462" s="60"/>
    </row>
    <row r="463" spans="4:8" x14ac:dyDescent="0.3">
      <c r="D463" s="60"/>
      <c r="F463" s="60"/>
      <c r="G463" s="60"/>
      <c r="H463" s="60"/>
    </row>
    <row r="464" spans="4:8" x14ac:dyDescent="0.3">
      <c r="D464" s="60"/>
      <c r="F464" s="60"/>
      <c r="G464" s="60"/>
      <c r="H464" s="60"/>
    </row>
    <row r="465" spans="4:8" x14ac:dyDescent="0.3">
      <c r="D465" s="60"/>
      <c r="F465" s="60"/>
      <c r="G465" s="60"/>
      <c r="H465" s="60"/>
    </row>
    <row r="466" spans="4:8" x14ac:dyDescent="0.3">
      <c r="D466" s="60"/>
      <c r="F466" s="60"/>
      <c r="G466" s="60"/>
      <c r="H466" s="60"/>
    </row>
    <row r="467" spans="4:8" x14ac:dyDescent="0.3">
      <c r="D467" s="60"/>
      <c r="F467" s="60"/>
      <c r="G467" s="60"/>
      <c r="H467" s="60"/>
    </row>
    <row r="468" spans="4:8" x14ac:dyDescent="0.3">
      <c r="D468" s="60"/>
      <c r="F468" s="60"/>
      <c r="G468" s="60"/>
      <c r="H468" s="60"/>
    </row>
    <row r="469" spans="4:8" x14ac:dyDescent="0.3">
      <c r="D469" s="60"/>
      <c r="F469" s="60"/>
      <c r="G469" s="60"/>
      <c r="H469" s="60"/>
    </row>
    <row r="470" spans="4:8" x14ac:dyDescent="0.3">
      <c r="D470" s="60"/>
      <c r="F470" s="60"/>
      <c r="G470" s="60"/>
      <c r="H470" s="60"/>
    </row>
    <row r="471" spans="4:8" x14ac:dyDescent="0.3">
      <c r="D471" s="60"/>
      <c r="F471" s="60"/>
      <c r="G471" s="60"/>
      <c r="H471" s="60"/>
    </row>
    <row r="472" spans="4:8" x14ac:dyDescent="0.3">
      <c r="D472" s="60"/>
      <c r="F472" s="60"/>
      <c r="G472" s="60"/>
      <c r="H472" s="60"/>
    </row>
    <row r="473" spans="4:8" x14ac:dyDescent="0.3">
      <c r="D473" s="60"/>
      <c r="F473" s="60"/>
      <c r="G473" s="60"/>
      <c r="H473" s="60"/>
    </row>
    <row r="474" spans="4:8" x14ac:dyDescent="0.3">
      <c r="D474" s="60"/>
      <c r="F474" s="60"/>
      <c r="G474" s="60"/>
      <c r="H474" s="60"/>
    </row>
    <row r="475" spans="4:8" x14ac:dyDescent="0.3">
      <c r="D475" s="60"/>
      <c r="F475" s="60"/>
      <c r="G475" s="60"/>
      <c r="H475" s="60"/>
    </row>
    <row r="476" spans="4:8" x14ac:dyDescent="0.3">
      <c r="D476" s="60"/>
      <c r="F476" s="60"/>
      <c r="G476" s="60"/>
      <c r="H476" s="60"/>
    </row>
    <row r="477" spans="4:8" x14ac:dyDescent="0.3">
      <c r="D477" s="60"/>
      <c r="F477" s="60"/>
      <c r="G477" s="60"/>
      <c r="H477" s="60"/>
    </row>
    <row r="478" spans="4:8" x14ac:dyDescent="0.3">
      <c r="D478" s="60"/>
      <c r="F478" s="60"/>
      <c r="G478" s="60"/>
      <c r="H478" s="60"/>
    </row>
    <row r="479" spans="4:8" x14ac:dyDescent="0.3">
      <c r="D479" s="60"/>
      <c r="F479" s="60"/>
      <c r="G479" s="60"/>
      <c r="H479" s="60"/>
    </row>
    <row r="480" spans="4:8" x14ac:dyDescent="0.3">
      <c r="D480" s="60"/>
      <c r="F480" s="60"/>
      <c r="G480" s="60"/>
      <c r="H480" s="60"/>
    </row>
    <row r="481" spans="4:8" x14ac:dyDescent="0.3">
      <c r="D481" s="60"/>
      <c r="F481" s="60"/>
      <c r="G481" s="60"/>
      <c r="H481" s="60"/>
    </row>
    <row r="482" spans="4:8" x14ac:dyDescent="0.3">
      <c r="D482" s="60"/>
      <c r="F482" s="60"/>
      <c r="G482" s="60"/>
      <c r="H482" s="60"/>
    </row>
    <row r="483" spans="4:8" x14ac:dyDescent="0.3">
      <c r="D483" s="60"/>
      <c r="F483" s="60"/>
      <c r="G483" s="60"/>
      <c r="H483" s="60"/>
    </row>
    <row r="484" spans="4:8" x14ac:dyDescent="0.3">
      <c r="D484" s="60"/>
      <c r="F484" s="60"/>
      <c r="G484" s="60"/>
      <c r="H484" s="60"/>
    </row>
    <row r="485" spans="4:8" x14ac:dyDescent="0.3">
      <c r="D485" s="60"/>
      <c r="F485" s="60"/>
      <c r="G485" s="60"/>
      <c r="H485" s="60"/>
    </row>
    <row r="486" spans="4:8" x14ac:dyDescent="0.3">
      <c r="D486" s="60"/>
      <c r="F486" s="60"/>
      <c r="G486" s="60"/>
      <c r="H486" s="60"/>
    </row>
    <row r="487" spans="4:8" x14ac:dyDescent="0.3">
      <c r="D487" s="60"/>
      <c r="F487" s="60"/>
      <c r="G487" s="60"/>
      <c r="H487" s="60"/>
    </row>
    <row r="488" spans="4:8" x14ac:dyDescent="0.3">
      <c r="D488" s="60"/>
      <c r="F488" s="60"/>
      <c r="G488" s="60"/>
      <c r="H488" s="60"/>
    </row>
    <row r="489" spans="4:8" x14ac:dyDescent="0.3">
      <c r="D489" s="60"/>
      <c r="F489" s="60"/>
      <c r="G489" s="60"/>
      <c r="H489" s="60"/>
    </row>
    <row r="490" spans="4:8" x14ac:dyDescent="0.3">
      <c r="D490" s="60"/>
      <c r="F490" s="60"/>
      <c r="G490" s="60"/>
      <c r="H490" s="60"/>
    </row>
    <row r="491" spans="4:8" x14ac:dyDescent="0.3">
      <c r="D491" s="60"/>
      <c r="F491" s="60"/>
      <c r="G491" s="60"/>
      <c r="H491" s="60"/>
    </row>
    <row r="492" spans="4:8" x14ac:dyDescent="0.3">
      <c r="D492" s="60"/>
      <c r="F492" s="60"/>
      <c r="G492" s="60"/>
      <c r="H492" s="60"/>
    </row>
    <row r="493" spans="4:8" x14ac:dyDescent="0.3">
      <c r="D493" s="60"/>
      <c r="F493" s="60"/>
      <c r="G493" s="60"/>
      <c r="H493" s="60"/>
    </row>
    <row r="494" spans="4:8" x14ac:dyDescent="0.3">
      <c r="D494" s="60"/>
      <c r="F494" s="60"/>
      <c r="G494" s="60"/>
      <c r="H494" s="60"/>
    </row>
    <row r="495" spans="4:8" x14ac:dyDescent="0.3">
      <c r="D495" s="60"/>
      <c r="F495" s="60"/>
      <c r="G495" s="60"/>
      <c r="H495" s="60"/>
    </row>
    <row r="496" spans="4:8" x14ac:dyDescent="0.3">
      <c r="D496" s="60"/>
      <c r="F496" s="60"/>
      <c r="G496" s="60"/>
      <c r="H496" s="60"/>
    </row>
    <row r="497" spans="4:8" x14ac:dyDescent="0.3">
      <c r="D497" s="60"/>
      <c r="F497" s="60"/>
      <c r="G497" s="60"/>
      <c r="H497" s="60"/>
    </row>
    <row r="498" spans="4:8" x14ac:dyDescent="0.3">
      <c r="D498" s="60"/>
      <c r="F498" s="60"/>
      <c r="G498" s="60"/>
      <c r="H498" s="60"/>
    </row>
    <row r="499" spans="4:8" x14ac:dyDescent="0.3">
      <c r="D499" s="60"/>
      <c r="F499" s="60"/>
      <c r="G499" s="60"/>
      <c r="H499" s="60"/>
    </row>
    <row r="500" spans="4:8" x14ac:dyDescent="0.3">
      <c r="D500" s="60"/>
      <c r="F500" s="60"/>
      <c r="G500" s="60"/>
      <c r="H500" s="60"/>
    </row>
    <row r="501" spans="4:8" x14ac:dyDescent="0.3">
      <c r="D501" s="60"/>
      <c r="F501" s="60"/>
      <c r="G501" s="60"/>
      <c r="H501" s="60"/>
    </row>
    <row r="502" spans="4:8" x14ac:dyDescent="0.3">
      <c r="D502" s="60"/>
      <c r="F502" s="60"/>
      <c r="G502" s="60"/>
      <c r="H502" s="60"/>
    </row>
    <row r="503" spans="4:8" x14ac:dyDescent="0.3">
      <c r="D503" s="60"/>
      <c r="F503" s="60"/>
      <c r="G503" s="60"/>
      <c r="H503" s="60"/>
    </row>
    <row r="504" spans="4:8" x14ac:dyDescent="0.3">
      <c r="D504" s="60"/>
      <c r="F504" s="60"/>
      <c r="G504" s="60"/>
      <c r="H504" s="60"/>
    </row>
    <row r="505" spans="4:8" x14ac:dyDescent="0.3">
      <c r="D505" s="60"/>
      <c r="F505" s="60"/>
      <c r="G505" s="60"/>
      <c r="H505" s="60"/>
    </row>
    <row r="506" spans="4:8" x14ac:dyDescent="0.3">
      <c r="D506" s="60"/>
      <c r="F506" s="60"/>
      <c r="G506" s="60"/>
      <c r="H506" s="60"/>
    </row>
    <row r="507" spans="4:8" x14ac:dyDescent="0.3">
      <c r="D507" s="60"/>
      <c r="F507" s="60"/>
      <c r="G507" s="60"/>
      <c r="H507" s="60"/>
    </row>
    <row r="508" spans="4:8" x14ac:dyDescent="0.3">
      <c r="D508" s="60"/>
      <c r="F508" s="60"/>
      <c r="G508" s="60"/>
      <c r="H508" s="60"/>
    </row>
    <row r="509" spans="4:8" x14ac:dyDescent="0.3">
      <c r="D509" s="60"/>
      <c r="F509" s="60"/>
      <c r="G509" s="60"/>
      <c r="H509" s="60"/>
    </row>
    <row r="510" spans="4:8" x14ac:dyDescent="0.3">
      <c r="D510" s="60"/>
      <c r="F510" s="60"/>
      <c r="G510" s="60"/>
      <c r="H510" s="60"/>
    </row>
    <row r="511" spans="4:8" x14ac:dyDescent="0.3">
      <c r="D511" s="60"/>
      <c r="F511" s="60"/>
      <c r="G511" s="60"/>
      <c r="H511" s="60"/>
    </row>
    <row r="512" spans="4:8" x14ac:dyDescent="0.3">
      <c r="D512" s="60"/>
      <c r="F512" s="60"/>
      <c r="G512" s="60"/>
      <c r="H512" s="60"/>
    </row>
    <row r="513" spans="4:8" x14ac:dyDescent="0.3">
      <c r="D513" s="60"/>
      <c r="F513" s="60"/>
      <c r="G513" s="60"/>
      <c r="H513" s="60"/>
    </row>
    <row r="514" spans="4:8" x14ac:dyDescent="0.3">
      <c r="D514" s="60"/>
      <c r="F514" s="60"/>
      <c r="G514" s="60"/>
      <c r="H514" s="60"/>
    </row>
    <row r="515" spans="4:8" x14ac:dyDescent="0.3">
      <c r="D515" s="60"/>
      <c r="F515" s="60"/>
      <c r="G515" s="60"/>
      <c r="H515" s="60"/>
    </row>
    <row r="516" spans="4:8" x14ac:dyDescent="0.3">
      <c r="D516" s="60"/>
      <c r="F516" s="60"/>
      <c r="G516" s="60"/>
      <c r="H516" s="60"/>
    </row>
    <row r="517" spans="4:8" x14ac:dyDescent="0.3">
      <c r="D517" s="60"/>
      <c r="F517" s="60"/>
      <c r="G517" s="60"/>
      <c r="H517" s="60"/>
    </row>
    <row r="518" spans="4:8" x14ac:dyDescent="0.3">
      <c r="D518" s="60"/>
      <c r="F518" s="60"/>
      <c r="G518" s="60"/>
      <c r="H518" s="60"/>
    </row>
    <row r="519" spans="4:8" x14ac:dyDescent="0.3">
      <c r="D519" s="60"/>
      <c r="F519" s="60"/>
      <c r="G519" s="60"/>
      <c r="H519" s="60"/>
    </row>
    <row r="520" spans="4:8" x14ac:dyDescent="0.3">
      <c r="D520" s="60"/>
      <c r="F520" s="60"/>
      <c r="G520" s="60"/>
      <c r="H520" s="60"/>
    </row>
    <row r="521" spans="4:8" x14ac:dyDescent="0.3">
      <c r="D521" s="60"/>
      <c r="F521" s="60"/>
      <c r="G521" s="60"/>
      <c r="H521" s="60"/>
    </row>
    <row r="522" spans="4:8" x14ac:dyDescent="0.3">
      <c r="D522" s="60"/>
      <c r="F522" s="60"/>
      <c r="G522" s="60"/>
      <c r="H522" s="60"/>
    </row>
    <row r="523" spans="4:8" x14ac:dyDescent="0.3">
      <c r="D523" s="60"/>
      <c r="F523" s="60"/>
      <c r="G523" s="60"/>
      <c r="H523" s="60"/>
    </row>
    <row r="524" spans="4:8" x14ac:dyDescent="0.3">
      <c r="D524" s="60"/>
      <c r="F524" s="60"/>
      <c r="G524" s="60"/>
      <c r="H524" s="60"/>
    </row>
    <row r="525" spans="4:8" x14ac:dyDescent="0.3">
      <c r="D525" s="60"/>
      <c r="F525" s="60"/>
      <c r="G525" s="60"/>
      <c r="H525" s="60"/>
    </row>
    <row r="526" spans="4:8" x14ac:dyDescent="0.3">
      <c r="D526" s="60"/>
      <c r="F526" s="60"/>
      <c r="G526" s="60"/>
      <c r="H526" s="60"/>
    </row>
    <row r="527" spans="4:8" x14ac:dyDescent="0.3">
      <c r="D527" s="60"/>
      <c r="F527" s="60"/>
      <c r="G527" s="60"/>
      <c r="H527" s="60"/>
    </row>
    <row r="528" spans="4:8" x14ac:dyDescent="0.3">
      <c r="D528" s="60"/>
      <c r="F528" s="60"/>
      <c r="G528" s="60"/>
      <c r="H528" s="60"/>
    </row>
    <row r="529" spans="4:8" x14ac:dyDescent="0.3">
      <c r="D529" s="60"/>
      <c r="F529" s="60"/>
      <c r="G529" s="60"/>
      <c r="H529" s="60"/>
    </row>
    <row r="530" spans="4:8" x14ac:dyDescent="0.3">
      <c r="D530" s="60"/>
      <c r="F530" s="60"/>
      <c r="G530" s="60"/>
      <c r="H530" s="60"/>
    </row>
    <row r="531" spans="4:8" x14ac:dyDescent="0.3">
      <c r="D531" s="60"/>
      <c r="F531" s="60"/>
      <c r="G531" s="60"/>
      <c r="H531" s="60"/>
    </row>
    <row r="532" spans="4:8" x14ac:dyDescent="0.3">
      <c r="D532" s="60"/>
      <c r="F532" s="60"/>
      <c r="G532" s="60"/>
      <c r="H532" s="60"/>
    </row>
    <row r="533" spans="4:8" x14ac:dyDescent="0.3">
      <c r="D533" s="60"/>
      <c r="F533" s="60"/>
      <c r="G533" s="60"/>
      <c r="H533" s="60"/>
    </row>
    <row r="534" spans="4:8" x14ac:dyDescent="0.3">
      <c r="D534" s="60"/>
      <c r="F534" s="60"/>
      <c r="G534" s="60"/>
      <c r="H534" s="60"/>
    </row>
    <row r="535" spans="4:8" x14ac:dyDescent="0.3">
      <c r="D535" s="60"/>
      <c r="F535" s="60"/>
      <c r="G535" s="60"/>
      <c r="H535" s="60"/>
    </row>
    <row r="536" spans="4:8" x14ac:dyDescent="0.3">
      <c r="D536" s="60"/>
      <c r="F536" s="60"/>
      <c r="G536" s="60"/>
      <c r="H536" s="60"/>
    </row>
    <row r="537" spans="4:8" x14ac:dyDescent="0.3">
      <c r="D537" s="60"/>
      <c r="F537" s="60"/>
      <c r="G537" s="60"/>
      <c r="H537" s="60"/>
    </row>
    <row r="538" spans="4:8" x14ac:dyDescent="0.3">
      <c r="D538" s="60"/>
      <c r="F538" s="60"/>
      <c r="G538" s="60"/>
      <c r="H538" s="60"/>
    </row>
    <row r="539" spans="4:8" x14ac:dyDescent="0.3">
      <c r="D539" s="60"/>
      <c r="F539" s="60"/>
      <c r="G539" s="60"/>
      <c r="H539" s="60"/>
    </row>
    <row r="540" spans="4:8" x14ac:dyDescent="0.3">
      <c r="D540" s="60"/>
      <c r="F540" s="60"/>
      <c r="G540" s="60"/>
      <c r="H540" s="60"/>
    </row>
    <row r="541" spans="4:8" x14ac:dyDescent="0.3">
      <c r="D541" s="60"/>
      <c r="F541" s="60"/>
      <c r="G541" s="60"/>
      <c r="H541" s="60"/>
    </row>
    <row r="542" spans="4:8" x14ac:dyDescent="0.3">
      <c r="D542" s="60"/>
      <c r="F542" s="60"/>
      <c r="G542" s="60"/>
      <c r="H542" s="60"/>
    </row>
    <row r="543" spans="4:8" x14ac:dyDescent="0.3">
      <c r="D543" s="60"/>
      <c r="F543" s="60"/>
      <c r="G543" s="60"/>
      <c r="H543" s="60"/>
    </row>
    <row r="544" spans="4:8" x14ac:dyDescent="0.3">
      <c r="D544" s="60"/>
      <c r="F544" s="60"/>
      <c r="G544" s="60"/>
      <c r="H544" s="60"/>
    </row>
    <row r="545" spans="4:8" x14ac:dyDescent="0.3">
      <c r="D545" s="60"/>
      <c r="F545" s="60"/>
      <c r="G545" s="60"/>
      <c r="H545" s="60"/>
    </row>
    <row r="546" spans="4:8" x14ac:dyDescent="0.3">
      <c r="D546" s="60"/>
      <c r="F546" s="60"/>
      <c r="G546" s="60"/>
      <c r="H546" s="60"/>
    </row>
    <row r="547" spans="4:8" x14ac:dyDescent="0.3">
      <c r="D547" s="60"/>
      <c r="F547" s="60"/>
      <c r="G547" s="60"/>
      <c r="H547" s="60"/>
    </row>
    <row r="548" spans="4:8" x14ac:dyDescent="0.3">
      <c r="D548" s="60"/>
      <c r="F548" s="60"/>
      <c r="G548" s="60"/>
      <c r="H548" s="60"/>
    </row>
    <row r="549" spans="4:8" x14ac:dyDescent="0.3">
      <c r="D549" s="60"/>
      <c r="F549" s="60"/>
      <c r="G549" s="60"/>
      <c r="H549" s="60"/>
    </row>
    <row r="550" spans="4:8" x14ac:dyDescent="0.3">
      <c r="D550" s="60"/>
      <c r="F550" s="60"/>
      <c r="G550" s="60"/>
      <c r="H550" s="60"/>
    </row>
    <row r="551" spans="4:8" x14ac:dyDescent="0.3">
      <c r="D551" s="60"/>
      <c r="F551" s="60"/>
      <c r="G551" s="60"/>
      <c r="H551" s="60"/>
    </row>
    <row r="552" spans="4:8" x14ac:dyDescent="0.3">
      <c r="D552" s="60"/>
      <c r="F552" s="60"/>
      <c r="G552" s="60"/>
      <c r="H552" s="60"/>
    </row>
    <row r="553" spans="4:8" x14ac:dyDescent="0.3">
      <c r="D553" s="60"/>
      <c r="F553" s="60"/>
      <c r="G553" s="60"/>
      <c r="H553" s="60"/>
    </row>
    <row r="554" spans="4:8" x14ac:dyDescent="0.3">
      <c r="D554" s="60"/>
      <c r="F554" s="60"/>
      <c r="G554" s="60"/>
      <c r="H554" s="60"/>
    </row>
    <row r="555" spans="4:8" x14ac:dyDescent="0.3">
      <c r="D555" s="60"/>
      <c r="F555" s="60"/>
      <c r="G555" s="60"/>
      <c r="H555" s="60"/>
    </row>
    <row r="556" spans="4:8" x14ac:dyDescent="0.3">
      <c r="D556" s="60"/>
      <c r="F556" s="60"/>
      <c r="G556" s="60"/>
      <c r="H556" s="60"/>
    </row>
    <row r="557" spans="4:8" x14ac:dyDescent="0.3">
      <c r="D557" s="60"/>
      <c r="F557" s="60"/>
      <c r="G557" s="60"/>
      <c r="H557" s="60"/>
    </row>
    <row r="558" spans="4:8" x14ac:dyDescent="0.3">
      <c r="D558" s="60"/>
      <c r="F558" s="60"/>
      <c r="G558" s="60"/>
      <c r="H558" s="60"/>
    </row>
    <row r="559" spans="4:8" x14ac:dyDescent="0.3">
      <c r="D559" s="60"/>
      <c r="F559" s="60"/>
      <c r="G559" s="60"/>
      <c r="H559" s="60"/>
    </row>
    <row r="560" spans="4:8" x14ac:dyDescent="0.3">
      <c r="D560" s="60"/>
      <c r="F560" s="60"/>
      <c r="G560" s="60"/>
      <c r="H560" s="60"/>
    </row>
    <row r="561" spans="4:8" x14ac:dyDescent="0.3">
      <c r="D561" s="60"/>
      <c r="F561" s="60"/>
      <c r="G561" s="60"/>
      <c r="H561" s="60"/>
    </row>
    <row r="562" spans="4:8" x14ac:dyDescent="0.3">
      <c r="D562" s="60"/>
      <c r="F562" s="60"/>
      <c r="G562" s="60"/>
      <c r="H562" s="60"/>
    </row>
    <row r="563" spans="4:8" x14ac:dyDescent="0.3">
      <c r="D563" s="60"/>
      <c r="F563" s="60"/>
      <c r="G563" s="60"/>
      <c r="H563" s="60"/>
    </row>
    <row r="564" spans="4:8" x14ac:dyDescent="0.3">
      <c r="D564" s="60"/>
      <c r="F564" s="60"/>
      <c r="G564" s="60"/>
      <c r="H564" s="60"/>
    </row>
    <row r="565" spans="4:8" x14ac:dyDescent="0.3">
      <c r="D565" s="60"/>
      <c r="F565" s="60"/>
      <c r="G565" s="60"/>
      <c r="H565" s="60"/>
    </row>
    <row r="566" spans="4:8" x14ac:dyDescent="0.3">
      <c r="D566" s="60"/>
      <c r="F566" s="60"/>
      <c r="G566" s="60"/>
      <c r="H566" s="60"/>
    </row>
    <row r="567" spans="4:8" x14ac:dyDescent="0.3">
      <c r="D567" s="60"/>
      <c r="F567" s="60"/>
      <c r="G567" s="60"/>
      <c r="H567" s="60"/>
    </row>
    <row r="568" spans="4:8" x14ac:dyDescent="0.3">
      <c r="D568" s="60"/>
      <c r="F568" s="60"/>
      <c r="G568" s="60"/>
      <c r="H568" s="60"/>
    </row>
    <row r="569" spans="4:8" x14ac:dyDescent="0.3">
      <c r="D569" s="60"/>
      <c r="F569" s="60"/>
      <c r="G569" s="60"/>
      <c r="H569" s="60"/>
    </row>
    <row r="570" spans="4:8" x14ac:dyDescent="0.3">
      <c r="D570" s="60"/>
      <c r="F570" s="60"/>
      <c r="G570" s="60"/>
      <c r="H570" s="60"/>
    </row>
    <row r="571" spans="4:8" x14ac:dyDescent="0.3">
      <c r="D571" s="60"/>
      <c r="F571" s="60"/>
      <c r="G571" s="60"/>
      <c r="H571" s="60"/>
    </row>
    <row r="572" spans="4:8" x14ac:dyDescent="0.3">
      <c r="D572" s="60"/>
      <c r="F572" s="60"/>
      <c r="G572" s="60"/>
      <c r="H572" s="60"/>
    </row>
    <row r="573" spans="4:8" x14ac:dyDescent="0.3">
      <c r="D573" s="60"/>
      <c r="F573" s="60"/>
      <c r="G573" s="60"/>
      <c r="H573" s="60"/>
    </row>
    <row r="574" spans="4:8" x14ac:dyDescent="0.3">
      <c r="D574" s="60"/>
      <c r="F574" s="60"/>
      <c r="G574" s="60"/>
      <c r="H574" s="60"/>
    </row>
    <row r="575" spans="4:8" x14ac:dyDescent="0.3">
      <c r="D575" s="60"/>
      <c r="F575" s="60"/>
      <c r="G575" s="60"/>
      <c r="H575" s="60"/>
    </row>
    <row r="576" spans="4:8" x14ac:dyDescent="0.3">
      <c r="D576" s="60"/>
      <c r="F576" s="60"/>
      <c r="G576" s="60"/>
      <c r="H576" s="60"/>
    </row>
    <row r="577" spans="4:8" x14ac:dyDescent="0.3">
      <c r="D577" s="60"/>
      <c r="F577" s="60"/>
      <c r="G577" s="60"/>
      <c r="H577" s="60"/>
    </row>
    <row r="578" spans="4:8" x14ac:dyDescent="0.3">
      <c r="D578" s="60"/>
      <c r="F578" s="60"/>
      <c r="G578" s="60"/>
      <c r="H578" s="60"/>
    </row>
    <row r="579" spans="4:8" x14ac:dyDescent="0.3">
      <c r="D579" s="60"/>
      <c r="F579" s="60"/>
      <c r="G579" s="60"/>
      <c r="H579" s="60"/>
    </row>
    <row r="580" spans="4:8" x14ac:dyDescent="0.3">
      <c r="D580" s="60"/>
      <c r="F580" s="60"/>
      <c r="G580" s="60"/>
      <c r="H580" s="60"/>
    </row>
    <row r="581" spans="4:8" x14ac:dyDescent="0.3">
      <c r="D581" s="60"/>
      <c r="F581" s="60"/>
      <c r="G581" s="60"/>
      <c r="H581" s="60"/>
    </row>
    <row r="582" spans="4:8" x14ac:dyDescent="0.3">
      <c r="D582" s="60"/>
      <c r="F582" s="60"/>
      <c r="G582" s="60"/>
      <c r="H582" s="60"/>
    </row>
    <row r="583" spans="4:8" x14ac:dyDescent="0.3">
      <c r="D583" s="60"/>
      <c r="F583" s="60"/>
      <c r="G583" s="60"/>
      <c r="H583" s="60"/>
    </row>
    <row r="584" spans="4:8" x14ac:dyDescent="0.3">
      <c r="D584" s="60"/>
      <c r="F584" s="60"/>
      <c r="G584" s="60"/>
      <c r="H584" s="60"/>
    </row>
    <row r="585" spans="4:8" x14ac:dyDescent="0.3">
      <c r="D585" s="60"/>
      <c r="F585" s="60"/>
      <c r="G585" s="60"/>
      <c r="H585" s="60"/>
    </row>
    <row r="586" spans="4:8" x14ac:dyDescent="0.3">
      <c r="D586" s="60"/>
      <c r="F586" s="60"/>
      <c r="G586" s="60"/>
      <c r="H586" s="60"/>
    </row>
    <row r="587" spans="4:8" x14ac:dyDescent="0.3">
      <c r="D587" s="60"/>
      <c r="F587" s="60"/>
      <c r="G587" s="60"/>
      <c r="H587" s="60"/>
    </row>
    <row r="588" spans="4:8" x14ac:dyDescent="0.3">
      <c r="D588" s="60"/>
      <c r="F588" s="60"/>
      <c r="G588" s="60"/>
      <c r="H588" s="60"/>
    </row>
    <row r="589" spans="4:8" x14ac:dyDescent="0.3">
      <c r="D589" s="60"/>
      <c r="F589" s="60"/>
      <c r="G589" s="60"/>
      <c r="H589" s="60"/>
    </row>
    <row r="590" spans="4:8" x14ac:dyDescent="0.3">
      <c r="D590" s="60"/>
      <c r="F590" s="60"/>
      <c r="G590" s="60"/>
      <c r="H590" s="60"/>
    </row>
    <row r="591" spans="4:8" x14ac:dyDescent="0.3">
      <c r="D591" s="60"/>
      <c r="F591" s="60"/>
      <c r="G591" s="60"/>
      <c r="H591" s="60"/>
    </row>
    <row r="592" spans="4:8" x14ac:dyDescent="0.3">
      <c r="D592" s="60"/>
      <c r="F592" s="60"/>
      <c r="G592" s="60"/>
      <c r="H592" s="60"/>
    </row>
    <row r="593" spans="4:8" x14ac:dyDescent="0.3">
      <c r="D593" s="60"/>
      <c r="F593" s="60"/>
      <c r="G593" s="60"/>
      <c r="H593" s="60"/>
    </row>
    <row r="594" spans="4:8" x14ac:dyDescent="0.3">
      <c r="D594" s="60"/>
      <c r="F594" s="60"/>
      <c r="G594" s="60"/>
      <c r="H594" s="60"/>
    </row>
    <row r="595" spans="4:8" x14ac:dyDescent="0.3">
      <c r="D595" s="60"/>
      <c r="F595" s="60"/>
      <c r="G595" s="60"/>
      <c r="H595" s="60"/>
    </row>
    <row r="596" spans="4:8" x14ac:dyDescent="0.3">
      <c r="D596" s="60"/>
      <c r="F596" s="60"/>
      <c r="G596" s="60"/>
      <c r="H596" s="60"/>
    </row>
    <row r="597" spans="4:8" x14ac:dyDescent="0.3">
      <c r="D597" s="60"/>
      <c r="F597" s="60"/>
      <c r="G597" s="60"/>
      <c r="H597" s="60"/>
    </row>
    <row r="598" spans="4:8" x14ac:dyDescent="0.3">
      <c r="D598" s="60"/>
      <c r="F598" s="60"/>
      <c r="G598" s="60"/>
      <c r="H598" s="60"/>
    </row>
    <row r="599" spans="4:8" x14ac:dyDescent="0.3">
      <c r="D599" s="60"/>
      <c r="F599" s="60"/>
      <c r="G599" s="60"/>
      <c r="H599" s="60"/>
    </row>
    <row r="600" spans="4:8" x14ac:dyDescent="0.3">
      <c r="D600" s="60"/>
      <c r="F600" s="60"/>
      <c r="G600" s="60"/>
      <c r="H600" s="60"/>
    </row>
    <row r="601" spans="4:8" x14ac:dyDescent="0.3">
      <c r="D601" s="60"/>
      <c r="F601" s="60"/>
      <c r="G601" s="60"/>
      <c r="H601" s="60"/>
    </row>
    <row r="602" spans="4:8" x14ac:dyDescent="0.3">
      <c r="D602" s="60"/>
      <c r="F602" s="60"/>
      <c r="G602" s="60"/>
      <c r="H602" s="60"/>
    </row>
    <row r="603" spans="4:8" x14ac:dyDescent="0.3">
      <c r="D603" s="60"/>
      <c r="F603" s="60"/>
      <c r="G603" s="60"/>
      <c r="H603" s="60"/>
    </row>
    <row r="604" spans="4:8" x14ac:dyDescent="0.3">
      <c r="D604" s="60"/>
      <c r="F604" s="60"/>
      <c r="G604" s="60"/>
      <c r="H604" s="60"/>
    </row>
    <row r="605" spans="4:8" x14ac:dyDescent="0.3">
      <c r="D605" s="60"/>
      <c r="F605" s="60"/>
      <c r="G605" s="60"/>
      <c r="H605" s="60"/>
    </row>
    <row r="606" spans="4:8" x14ac:dyDescent="0.3">
      <c r="D606" s="60"/>
      <c r="F606" s="60"/>
      <c r="G606" s="60"/>
      <c r="H606" s="60"/>
    </row>
    <row r="607" spans="4:8" x14ac:dyDescent="0.3">
      <c r="D607" s="60"/>
      <c r="F607" s="60"/>
      <c r="G607" s="60"/>
      <c r="H607" s="60"/>
    </row>
    <row r="608" spans="4:8" x14ac:dyDescent="0.3">
      <c r="D608" s="60"/>
      <c r="F608" s="60"/>
      <c r="G608" s="60"/>
      <c r="H608" s="60"/>
    </row>
    <row r="609" spans="4:8" x14ac:dyDescent="0.3">
      <c r="D609" s="60"/>
      <c r="F609" s="60"/>
      <c r="G609" s="60"/>
      <c r="H609" s="60"/>
    </row>
    <row r="610" spans="4:8" x14ac:dyDescent="0.3">
      <c r="D610" s="60"/>
      <c r="F610" s="60"/>
      <c r="G610" s="60"/>
      <c r="H610" s="60"/>
    </row>
    <row r="611" spans="4:8" x14ac:dyDescent="0.3">
      <c r="D611" s="60"/>
      <c r="F611" s="60"/>
      <c r="G611" s="60"/>
      <c r="H611" s="60"/>
    </row>
    <row r="612" spans="4:8" x14ac:dyDescent="0.3">
      <c r="D612" s="60"/>
      <c r="F612" s="60"/>
      <c r="G612" s="60"/>
      <c r="H612" s="60"/>
    </row>
    <row r="613" spans="4:8" x14ac:dyDescent="0.3">
      <c r="D613" s="60"/>
      <c r="F613" s="60"/>
      <c r="G613" s="60"/>
      <c r="H613" s="60"/>
    </row>
    <row r="614" spans="4:8" x14ac:dyDescent="0.3">
      <c r="D614" s="60"/>
      <c r="F614" s="60"/>
      <c r="G614" s="60"/>
      <c r="H614" s="60"/>
    </row>
    <row r="615" spans="4:8" x14ac:dyDescent="0.3">
      <c r="D615" s="60"/>
      <c r="F615" s="60"/>
      <c r="G615" s="60"/>
      <c r="H615" s="60"/>
    </row>
    <row r="616" spans="4:8" x14ac:dyDescent="0.3">
      <c r="D616" s="60"/>
      <c r="F616" s="60"/>
      <c r="G616" s="60"/>
      <c r="H616" s="60"/>
    </row>
    <row r="617" spans="4:8" x14ac:dyDescent="0.3">
      <c r="D617" s="60"/>
      <c r="F617" s="60"/>
      <c r="G617" s="60"/>
      <c r="H617" s="60"/>
    </row>
    <row r="618" spans="4:8" x14ac:dyDescent="0.3">
      <c r="D618" s="60"/>
      <c r="F618" s="60"/>
      <c r="G618" s="60"/>
      <c r="H618" s="60"/>
    </row>
    <row r="619" spans="4:8" x14ac:dyDescent="0.3">
      <c r="D619" s="60"/>
      <c r="F619" s="60"/>
      <c r="G619" s="60"/>
      <c r="H619" s="60"/>
    </row>
    <row r="620" spans="4:8" x14ac:dyDescent="0.3">
      <c r="D620" s="60"/>
      <c r="F620" s="60"/>
      <c r="G620" s="60"/>
      <c r="H620" s="60"/>
    </row>
    <row r="621" spans="4:8" x14ac:dyDescent="0.3">
      <c r="D621" s="60"/>
      <c r="F621" s="60"/>
      <c r="G621" s="60"/>
      <c r="H621" s="60"/>
    </row>
    <row r="622" spans="4:8" x14ac:dyDescent="0.3">
      <c r="D622" s="60"/>
      <c r="F622" s="60"/>
      <c r="G622" s="60"/>
      <c r="H622" s="60"/>
    </row>
    <row r="623" spans="4:8" x14ac:dyDescent="0.3">
      <c r="D623" s="60"/>
      <c r="F623" s="60"/>
      <c r="G623" s="60"/>
      <c r="H623" s="60"/>
    </row>
    <row r="624" spans="4:8" x14ac:dyDescent="0.3">
      <c r="D624" s="60"/>
      <c r="F624" s="60"/>
      <c r="G624" s="60"/>
      <c r="H624" s="60"/>
    </row>
    <row r="625" spans="4:8" x14ac:dyDescent="0.3">
      <c r="D625" s="60"/>
      <c r="F625" s="60"/>
      <c r="G625" s="60"/>
      <c r="H625" s="60"/>
    </row>
    <row r="626" spans="4:8" x14ac:dyDescent="0.3">
      <c r="D626" s="60"/>
      <c r="F626" s="60"/>
      <c r="G626" s="60"/>
      <c r="H626" s="60"/>
    </row>
    <row r="627" spans="4:8" x14ac:dyDescent="0.3">
      <c r="D627" s="60"/>
      <c r="F627" s="60"/>
      <c r="G627" s="60"/>
      <c r="H627" s="60"/>
    </row>
    <row r="628" spans="4:8" x14ac:dyDescent="0.3">
      <c r="D628" s="60"/>
      <c r="F628" s="60"/>
      <c r="G628" s="60"/>
      <c r="H628" s="60"/>
    </row>
    <row r="629" spans="4:8" x14ac:dyDescent="0.3">
      <c r="D629" s="60"/>
      <c r="F629" s="60"/>
      <c r="G629" s="60"/>
      <c r="H629" s="60"/>
    </row>
    <row r="630" spans="4:8" x14ac:dyDescent="0.3">
      <c r="D630" s="60"/>
      <c r="F630" s="60"/>
      <c r="G630" s="60"/>
      <c r="H630" s="60"/>
    </row>
    <row r="631" spans="4:8" x14ac:dyDescent="0.3">
      <c r="D631" s="60"/>
      <c r="F631" s="60"/>
      <c r="G631" s="60"/>
      <c r="H631" s="60"/>
    </row>
    <row r="632" spans="4:8" x14ac:dyDescent="0.3">
      <c r="D632" s="60"/>
      <c r="F632" s="60"/>
      <c r="G632" s="60"/>
      <c r="H632" s="60"/>
    </row>
    <row r="633" spans="4:8" x14ac:dyDescent="0.3">
      <c r="D633" s="60"/>
      <c r="F633" s="60"/>
      <c r="G633" s="60"/>
      <c r="H633" s="60"/>
    </row>
    <row r="634" spans="4:8" x14ac:dyDescent="0.3">
      <c r="D634" s="60"/>
      <c r="F634" s="60"/>
      <c r="G634" s="60"/>
      <c r="H634" s="60"/>
    </row>
    <row r="635" spans="4:8" x14ac:dyDescent="0.3">
      <c r="D635" s="60"/>
      <c r="F635" s="60"/>
      <c r="G635" s="60"/>
      <c r="H635" s="60"/>
    </row>
    <row r="636" spans="4:8" x14ac:dyDescent="0.3">
      <c r="D636" s="60"/>
      <c r="F636" s="60"/>
      <c r="G636" s="60"/>
      <c r="H636" s="60"/>
    </row>
    <row r="637" spans="4:8" x14ac:dyDescent="0.3">
      <c r="D637" s="60"/>
      <c r="F637" s="60"/>
      <c r="G637" s="60"/>
      <c r="H637" s="60"/>
    </row>
    <row r="638" spans="4:8" x14ac:dyDescent="0.3">
      <c r="D638" s="60"/>
      <c r="F638" s="60"/>
      <c r="G638" s="60"/>
      <c r="H638" s="60"/>
    </row>
    <row r="639" spans="4:8" x14ac:dyDescent="0.3">
      <c r="D639" s="60"/>
      <c r="F639" s="60"/>
      <c r="G639" s="60"/>
      <c r="H639" s="60"/>
    </row>
    <row r="640" spans="4:8" x14ac:dyDescent="0.3">
      <c r="D640" s="60"/>
      <c r="F640" s="60"/>
      <c r="G640" s="60"/>
      <c r="H640" s="60"/>
    </row>
    <row r="641" spans="4:8" x14ac:dyDescent="0.3">
      <c r="D641" s="60"/>
      <c r="F641" s="60"/>
      <c r="G641" s="60"/>
      <c r="H641" s="60"/>
    </row>
    <row r="642" spans="4:8" x14ac:dyDescent="0.3">
      <c r="D642" s="60"/>
      <c r="F642" s="60"/>
      <c r="G642" s="60"/>
      <c r="H642" s="60"/>
    </row>
    <row r="643" spans="4:8" x14ac:dyDescent="0.3">
      <c r="D643" s="60"/>
      <c r="F643" s="60"/>
      <c r="G643" s="60"/>
      <c r="H643" s="60"/>
    </row>
    <row r="644" spans="4:8" x14ac:dyDescent="0.3">
      <c r="D644" s="60"/>
      <c r="F644" s="60"/>
      <c r="G644" s="60"/>
      <c r="H644" s="60"/>
    </row>
    <row r="645" spans="4:8" x14ac:dyDescent="0.3">
      <c r="D645" s="60"/>
      <c r="F645" s="60"/>
      <c r="G645" s="60"/>
      <c r="H645" s="60"/>
    </row>
    <row r="646" spans="4:8" x14ac:dyDescent="0.3">
      <c r="D646" s="60"/>
      <c r="F646" s="60"/>
      <c r="G646" s="60"/>
      <c r="H646" s="60"/>
    </row>
    <row r="647" spans="4:8" x14ac:dyDescent="0.3">
      <c r="D647" s="60"/>
      <c r="F647" s="60"/>
      <c r="G647" s="60"/>
      <c r="H647" s="60"/>
    </row>
    <row r="648" spans="4:8" x14ac:dyDescent="0.3">
      <c r="D648" s="60"/>
      <c r="F648" s="60"/>
      <c r="G648" s="60"/>
      <c r="H648" s="60"/>
    </row>
    <row r="649" spans="4:8" x14ac:dyDescent="0.3">
      <c r="D649" s="60"/>
      <c r="F649" s="60"/>
      <c r="G649" s="60"/>
      <c r="H649" s="60"/>
    </row>
    <row r="650" spans="4:8" x14ac:dyDescent="0.3">
      <c r="D650" s="60"/>
      <c r="F650" s="60"/>
      <c r="G650" s="60"/>
      <c r="H650" s="60"/>
    </row>
    <row r="651" spans="4:8" x14ac:dyDescent="0.3">
      <c r="D651" s="60"/>
      <c r="F651" s="60"/>
      <c r="G651" s="60"/>
      <c r="H651" s="60"/>
    </row>
    <row r="652" spans="4:8" x14ac:dyDescent="0.3">
      <c r="D652" s="60"/>
      <c r="F652" s="60"/>
      <c r="G652" s="60"/>
      <c r="H652" s="60"/>
    </row>
    <row r="653" spans="4:8" x14ac:dyDescent="0.3">
      <c r="D653" s="60"/>
      <c r="F653" s="60"/>
      <c r="G653" s="60"/>
      <c r="H653" s="60"/>
    </row>
    <row r="654" spans="4:8" x14ac:dyDescent="0.3">
      <c r="D654" s="60"/>
      <c r="F654" s="60"/>
      <c r="G654" s="60"/>
      <c r="H654" s="60"/>
    </row>
    <row r="655" spans="4:8" x14ac:dyDescent="0.3">
      <c r="D655" s="60"/>
      <c r="F655" s="60"/>
      <c r="G655" s="60"/>
      <c r="H655" s="60"/>
    </row>
    <row r="656" spans="4:8" x14ac:dyDescent="0.3">
      <c r="D656" s="60"/>
      <c r="F656" s="60"/>
      <c r="G656" s="60"/>
      <c r="H656" s="60"/>
    </row>
    <row r="657" spans="4:8" x14ac:dyDescent="0.3">
      <c r="D657" s="60"/>
      <c r="F657" s="60"/>
      <c r="G657" s="60"/>
      <c r="H657" s="60"/>
    </row>
    <row r="658" spans="4:8" x14ac:dyDescent="0.3">
      <c r="D658" s="60"/>
      <c r="F658" s="60"/>
      <c r="G658" s="60"/>
      <c r="H658" s="60"/>
    </row>
    <row r="659" spans="4:8" x14ac:dyDescent="0.3">
      <c r="D659" s="60"/>
      <c r="F659" s="60"/>
      <c r="G659" s="60"/>
      <c r="H659" s="60"/>
    </row>
    <row r="660" spans="4:8" x14ac:dyDescent="0.3">
      <c r="D660" s="60"/>
      <c r="F660" s="60"/>
      <c r="G660" s="60"/>
      <c r="H660" s="60"/>
    </row>
    <row r="661" spans="4:8" x14ac:dyDescent="0.3">
      <c r="D661" s="60"/>
      <c r="F661" s="60"/>
      <c r="G661" s="60"/>
      <c r="H661" s="60"/>
    </row>
    <row r="662" spans="4:8" x14ac:dyDescent="0.3">
      <c r="D662" s="60"/>
      <c r="F662" s="60"/>
      <c r="G662" s="60"/>
      <c r="H662" s="60"/>
    </row>
    <row r="663" spans="4:8" x14ac:dyDescent="0.3">
      <c r="D663" s="60"/>
      <c r="F663" s="60"/>
      <c r="G663" s="60"/>
      <c r="H663" s="60"/>
    </row>
    <row r="664" spans="4:8" x14ac:dyDescent="0.3">
      <c r="D664" s="60"/>
      <c r="F664" s="60"/>
      <c r="G664" s="60"/>
      <c r="H664" s="60"/>
    </row>
    <row r="665" spans="4:8" x14ac:dyDescent="0.3">
      <c r="D665" s="60"/>
      <c r="F665" s="60"/>
      <c r="G665" s="60"/>
      <c r="H665" s="60"/>
    </row>
    <row r="666" spans="4:8" x14ac:dyDescent="0.3">
      <c r="D666" s="60"/>
      <c r="F666" s="60"/>
      <c r="G666" s="60"/>
      <c r="H666" s="60"/>
    </row>
    <row r="667" spans="4:8" x14ac:dyDescent="0.3">
      <c r="D667" s="60"/>
      <c r="F667" s="60"/>
      <c r="G667" s="60"/>
      <c r="H667" s="60"/>
    </row>
    <row r="668" spans="4:8" x14ac:dyDescent="0.3">
      <c r="D668" s="60"/>
      <c r="F668" s="60"/>
      <c r="G668" s="60"/>
      <c r="H668" s="60"/>
    </row>
    <row r="669" spans="4:8" x14ac:dyDescent="0.3">
      <c r="D669" s="60"/>
      <c r="F669" s="60"/>
      <c r="G669" s="60"/>
      <c r="H669" s="60"/>
    </row>
    <row r="670" spans="4:8" x14ac:dyDescent="0.3">
      <c r="D670" s="60"/>
      <c r="F670" s="60"/>
      <c r="G670" s="60"/>
      <c r="H670" s="60"/>
    </row>
    <row r="671" spans="4:8" x14ac:dyDescent="0.3">
      <c r="D671" s="60"/>
      <c r="F671" s="60"/>
      <c r="G671" s="60"/>
      <c r="H671" s="60"/>
    </row>
    <row r="672" spans="4:8" x14ac:dyDescent="0.3">
      <c r="D672" s="60"/>
      <c r="F672" s="60"/>
      <c r="G672" s="60"/>
      <c r="H672" s="60"/>
    </row>
    <row r="673" spans="4:8" x14ac:dyDescent="0.3">
      <c r="D673" s="60"/>
      <c r="F673" s="60"/>
      <c r="G673" s="60"/>
      <c r="H673" s="60"/>
    </row>
    <row r="674" spans="4:8" x14ac:dyDescent="0.3">
      <c r="D674" s="60"/>
      <c r="F674" s="60"/>
      <c r="G674" s="60"/>
      <c r="H674" s="60"/>
    </row>
    <row r="675" spans="4:8" x14ac:dyDescent="0.3">
      <c r="D675" s="60"/>
      <c r="F675" s="60"/>
      <c r="G675" s="60"/>
      <c r="H675" s="60"/>
    </row>
    <row r="676" spans="4:8" x14ac:dyDescent="0.3">
      <c r="D676" s="60"/>
      <c r="F676" s="60"/>
      <c r="G676" s="60"/>
      <c r="H676" s="60"/>
    </row>
    <row r="677" spans="4:8" x14ac:dyDescent="0.3">
      <c r="D677" s="60"/>
      <c r="F677" s="60"/>
      <c r="G677" s="60"/>
      <c r="H677" s="60"/>
    </row>
    <row r="678" spans="4:8" x14ac:dyDescent="0.3">
      <c r="D678" s="60"/>
      <c r="F678" s="60"/>
      <c r="G678" s="60"/>
      <c r="H678" s="60"/>
    </row>
    <row r="679" spans="4:8" x14ac:dyDescent="0.3">
      <c r="D679" s="60"/>
      <c r="F679" s="60"/>
      <c r="G679" s="60"/>
      <c r="H679" s="60"/>
    </row>
    <row r="680" spans="4:8" x14ac:dyDescent="0.3">
      <c r="D680" s="60"/>
      <c r="F680" s="60"/>
      <c r="G680" s="60"/>
      <c r="H680" s="60"/>
    </row>
    <row r="681" spans="4:8" x14ac:dyDescent="0.3">
      <c r="D681" s="60"/>
      <c r="F681" s="60"/>
      <c r="G681" s="60"/>
      <c r="H681" s="60"/>
    </row>
    <row r="682" spans="4:8" x14ac:dyDescent="0.3">
      <c r="D682" s="60"/>
      <c r="F682" s="60"/>
      <c r="G682" s="60"/>
      <c r="H682" s="60"/>
    </row>
    <row r="683" spans="4:8" x14ac:dyDescent="0.3">
      <c r="D683" s="60"/>
      <c r="F683" s="60"/>
      <c r="G683" s="60"/>
      <c r="H683" s="60"/>
    </row>
    <row r="684" spans="4:8" x14ac:dyDescent="0.3">
      <c r="D684" s="60"/>
      <c r="F684" s="60"/>
      <c r="G684" s="60"/>
      <c r="H684" s="60"/>
    </row>
    <row r="685" spans="4:8" x14ac:dyDescent="0.3">
      <c r="D685" s="60"/>
      <c r="F685" s="60"/>
      <c r="G685" s="60"/>
      <c r="H685" s="60"/>
    </row>
    <row r="686" spans="4:8" x14ac:dyDescent="0.3">
      <c r="D686" s="60"/>
      <c r="F686" s="60"/>
      <c r="G686" s="60"/>
      <c r="H686" s="60"/>
    </row>
    <row r="687" spans="4:8" x14ac:dyDescent="0.3">
      <c r="D687" s="60"/>
      <c r="F687" s="60"/>
      <c r="G687" s="60"/>
      <c r="H687" s="60"/>
    </row>
    <row r="688" spans="4:8" x14ac:dyDescent="0.3">
      <c r="D688" s="60"/>
      <c r="F688" s="60"/>
      <c r="G688" s="60"/>
      <c r="H688" s="60"/>
    </row>
    <row r="689" spans="4:8" x14ac:dyDescent="0.3">
      <c r="D689" s="60"/>
      <c r="F689" s="60"/>
      <c r="G689" s="60"/>
      <c r="H689" s="60"/>
    </row>
    <row r="690" spans="4:8" x14ac:dyDescent="0.3">
      <c r="D690" s="60"/>
      <c r="F690" s="60"/>
      <c r="G690" s="60"/>
      <c r="H690" s="60"/>
    </row>
    <row r="691" spans="4:8" x14ac:dyDescent="0.3">
      <c r="D691" s="60"/>
      <c r="F691" s="60"/>
      <c r="G691" s="60"/>
      <c r="H691" s="60"/>
    </row>
    <row r="692" spans="4:8" x14ac:dyDescent="0.3">
      <c r="D692" s="60"/>
      <c r="F692" s="60"/>
      <c r="G692" s="60"/>
      <c r="H692" s="60"/>
    </row>
    <row r="693" spans="4:8" x14ac:dyDescent="0.3">
      <c r="D693" s="60"/>
      <c r="F693" s="60"/>
      <c r="G693" s="60"/>
      <c r="H693" s="60"/>
    </row>
    <row r="694" spans="4:8" x14ac:dyDescent="0.3">
      <c r="D694" s="60"/>
      <c r="F694" s="60"/>
      <c r="G694" s="60"/>
      <c r="H694" s="60"/>
    </row>
    <row r="695" spans="4:8" x14ac:dyDescent="0.3">
      <c r="D695" s="60"/>
      <c r="F695" s="60"/>
      <c r="G695" s="60"/>
      <c r="H695" s="60"/>
    </row>
    <row r="696" spans="4:8" x14ac:dyDescent="0.3">
      <c r="D696" s="60"/>
      <c r="F696" s="60"/>
      <c r="G696" s="60"/>
      <c r="H696" s="60"/>
    </row>
    <row r="697" spans="4:8" x14ac:dyDescent="0.3">
      <c r="D697" s="60"/>
      <c r="F697" s="60"/>
      <c r="G697" s="60"/>
      <c r="H697" s="60"/>
    </row>
    <row r="698" spans="4:8" x14ac:dyDescent="0.3">
      <c r="D698" s="60"/>
      <c r="F698" s="60"/>
      <c r="G698" s="60"/>
      <c r="H698" s="60"/>
    </row>
    <row r="699" spans="4:8" x14ac:dyDescent="0.3">
      <c r="D699" s="60"/>
      <c r="F699" s="60"/>
      <c r="G699" s="60"/>
      <c r="H699" s="60"/>
    </row>
    <row r="700" spans="4:8" x14ac:dyDescent="0.3">
      <c r="D700" s="60"/>
      <c r="F700" s="60"/>
      <c r="G700" s="60"/>
      <c r="H700" s="60"/>
    </row>
    <row r="701" spans="4:8" x14ac:dyDescent="0.3">
      <c r="D701" s="60"/>
      <c r="F701" s="60"/>
      <c r="G701" s="60"/>
      <c r="H701" s="60"/>
    </row>
    <row r="702" spans="4:8" x14ac:dyDescent="0.3">
      <c r="D702" s="60"/>
      <c r="F702" s="60"/>
      <c r="G702" s="60"/>
      <c r="H702" s="60"/>
    </row>
    <row r="703" spans="4:8" x14ac:dyDescent="0.3">
      <c r="D703" s="60"/>
      <c r="F703" s="60"/>
      <c r="G703" s="60"/>
      <c r="H703" s="60"/>
    </row>
    <row r="704" spans="4:8" x14ac:dyDescent="0.3">
      <c r="D704" s="60"/>
      <c r="F704" s="60"/>
      <c r="G704" s="60"/>
      <c r="H704" s="60"/>
    </row>
    <row r="705" spans="4:8" x14ac:dyDescent="0.3">
      <c r="D705" s="60"/>
      <c r="F705" s="60"/>
      <c r="G705" s="60"/>
      <c r="H705" s="60"/>
    </row>
    <row r="706" spans="4:8" x14ac:dyDescent="0.3">
      <c r="D706" s="60"/>
      <c r="F706" s="60"/>
      <c r="G706" s="60"/>
      <c r="H706" s="60"/>
    </row>
    <row r="707" spans="4:8" x14ac:dyDescent="0.3">
      <c r="D707" s="60"/>
      <c r="F707" s="60"/>
      <c r="G707" s="60"/>
      <c r="H707" s="60"/>
    </row>
    <row r="708" spans="4:8" x14ac:dyDescent="0.3">
      <c r="D708" s="60"/>
      <c r="F708" s="60"/>
      <c r="G708" s="60"/>
      <c r="H708" s="60"/>
    </row>
    <row r="709" spans="4:8" x14ac:dyDescent="0.3">
      <c r="D709" s="60"/>
      <c r="F709" s="60"/>
      <c r="G709" s="60"/>
      <c r="H709" s="60"/>
    </row>
    <row r="710" spans="4:8" x14ac:dyDescent="0.3">
      <c r="D710" s="60"/>
      <c r="F710" s="60"/>
      <c r="G710" s="60"/>
      <c r="H710" s="60"/>
    </row>
    <row r="711" spans="4:8" x14ac:dyDescent="0.3">
      <c r="D711" s="60"/>
      <c r="F711" s="60"/>
      <c r="G711" s="60"/>
      <c r="H711" s="60"/>
    </row>
    <row r="712" spans="4:8" x14ac:dyDescent="0.3">
      <c r="D712" s="60"/>
      <c r="F712" s="60"/>
      <c r="G712" s="60"/>
      <c r="H712" s="60"/>
    </row>
    <row r="713" spans="4:8" x14ac:dyDescent="0.3">
      <c r="D713" s="60"/>
      <c r="F713" s="60"/>
      <c r="G713" s="60"/>
      <c r="H713" s="60"/>
    </row>
    <row r="714" spans="4:8" x14ac:dyDescent="0.3">
      <c r="D714" s="60"/>
      <c r="F714" s="60"/>
      <c r="G714" s="60"/>
      <c r="H714" s="60"/>
    </row>
    <row r="715" spans="4:8" x14ac:dyDescent="0.3">
      <c r="D715" s="60"/>
      <c r="F715" s="60"/>
      <c r="G715" s="60"/>
      <c r="H715" s="60"/>
    </row>
    <row r="716" spans="4:8" x14ac:dyDescent="0.3">
      <c r="D716" s="60"/>
      <c r="F716" s="60"/>
      <c r="G716" s="60"/>
      <c r="H716" s="60"/>
    </row>
    <row r="717" spans="4:8" x14ac:dyDescent="0.3">
      <c r="D717" s="60"/>
      <c r="F717" s="60"/>
      <c r="G717" s="60"/>
      <c r="H717" s="60"/>
    </row>
    <row r="718" spans="4:8" x14ac:dyDescent="0.3">
      <c r="D718" s="60"/>
      <c r="F718" s="60"/>
      <c r="G718" s="60"/>
      <c r="H718" s="60"/>
    </row>
    <row r="719" spans="4:8" x14ac:dyDescent="0.3">
      <c r="D719" s="60"/>
      <c r="F719" s="60"/>
      <c r="G719" s="60"/>
      <c r="H719" s="60"/>
    </row>
    <row r="720" spans="4:8" x14ac:dyDescent="0.3">
      <c r="D720" s="60"/>
      <c r="F720" s="60"/>
      <c r="G720" s="60"/>
      <c r="H720" s="60"/>
    </row>
    <row r="721" spans="4:8" x14ac:dyDescent="0.3">
      <c r="D721" s="60"/>
      <c r="F721" s="60"/>
      <c r="G721" s="60"/>
      <c r="H721" s="60"/>
    </row>
    <row r="722" spans="4:8" x14ac:dyDescent="0.3">
      <c r="D722" s="60"/>
      <c r="F722" s="60"/>
      <c r="G722" s="60"/>
      <c r="H722" s="60"/>
    </row>
    <row r="723" spans="4:8" x14ac:dyDescent="0.3">
      <c r="D723" s="60"/>
      <c r="F723" s="60"/>
      <c r="G723" s="60"/>
      <c r="H723" s="60"/>
    </row>
    <row r="724" spans="4:8" x14ac:dyDescent="0.3">
      <c r="D724" s="60"/>
      <c r="F724" s="60"/>
      <c r="G724" s="60"/>
      <c r="H724" s="60"/>
    </row>
    <row r="725" spans="4:8" x14ac:dyDescent="0.3">
      <c r="D725" s="60"/>
      <c r="F725" s="60"/>
      <c r="G725" s="60"/>
      <c r="H725" s="60"/>
    </row>
    <row r="726" spans="4:8" x14ac:dyDescent="0.3">
      <c r="D726" s="60"/>
      <c r="F726" s="60"/>
      <c r="G726" s="60"/>
      <c r="H726" s="60"/>
    </row>
    <row r="727" spans="4:8" x14ac:dyDescent="0.3">
      <c r="D727" s="60"/>
      <c r="F727" s="60"/>
      <c r="G727" s="60"/>
      <c r="H727" s="60"/>
    </row>
    <row r="728" spans="4:8" x14ac:dyDescent="0.3">
      <c r="D728" s="60"/>
      <c r="F728" s="60"/>
      <c r="G728" s="60"/>
      <c r="H728" s="60"/>
    </row>
    <row r="729" spans="4:8" x14ac:dyDescent="0.3">
      <c r="D729" s="60"/>
      <c r="F729" s="60"/>
      <c r="G729" s="60"/>
      <c r="H729" s="60"/>
    </row>
    <row r="730" spans="4:8" x14ac:dyDescent="0.3">
      <c r="D730" s="60"/>
      <c r="F730" s="60"/>
      <c r="G730" s="60"/>
      <c r="H730" s="60"/>
    </row>
    <row r="731" spans="4:8" x14ac:dyDescent="0.3">
      <c r="D731" s="60"/>
      <c r="F731" s="60"/>
      <c r="G731" s="60"/>
      <c r="H731" s="60"/>
    </row>
    <row r="732" spans="4:8" x14ac:dyDescent="0.3">
      <c r="D732" s="60"/>
      <c r="F732" s="60"/>
      <c r="G732" s="60"/>
      <c r="H732" s="60"/>
    </row>
    <row r="733" spans="4:8" x14ac:dyDescent="0.3">
      <c r="D733" s="60"/>
      <c r="F733" s="60"/>
      <c r="G733" s="60"/>
      <c r="H733" s="60"/>
    </row>
    <row r="734" spans="4:8" x14ac:dyDescent="0.3">
      <c r="D734" s="60"/>
      <c r="F734" s="60"/>
      <c r="G734" s="60"/>
      <c r="H734" s="60"/>
    </row>
    <row r="735" spans="4:8" x14ac:dyDescent="0.3">
      <c r="D735" s="60"/>
      <c r="F735" s="60"/>
      <c r="G735" s="60"/>
      <c r="H735" s="60"/>
    </row>
    <row r="736" spans="4:8" x14ac:dyDescent="0.3">
      <c r="D736" s="60"/>
      <c r="F736" s="60"/>
      <c r="G736" s="60"/>
      <c r="H736" s="60"/>
    </row>
    <row r="737" spans="4:8" x14ac:dyDescent="0.3">
      <c r="D737" s="60"/>
      <c r="F737" s="60"/>
      <c r="G737" s="60"/>
      <c r="H737" s="60"/>
    </row>
    <row r="738" spans="4:8" x14ac:dyDescent="0.3">
      <c r="D738" s="60"/>
      <c r="F738" s="60"/>
      <c r="G738" s="60"/>
      <c r="H738" s="60"/>
    </row>
    <row r="739" spans="4:8" x14ac:dyDescent="0.3">
      <c r="D739" s="60"/>
      <c r="F739" s="60"/>
      <c r="G739" s="60"/>
      <c r="H739" s="60"/>
    </row>
    <row r="740" spans="4:8" x14ac:dyDescent="0.3">
      <c r="D740" s="60"/>
      <c r="F740" s="60"/>
      <c r="G740" s="60"/>
      <c r="H740" s="60"/>
    </row>
    <row r="741" spans="4:8" x14ac:dyDescent="0.3">
      <c r="D741" s="60"/>
      <c r="F741" s="60"/>
      <c r="G741" s="60"/>
      <c r="H741" s="60"/>
    </row>
    <row r="742" spans="4:8" x14ac:dyDescent="0.3">
      <c r="D742" s="60"/>
      <c r="F742" s="60"/>
      <c r="G742" s="60"/>
      <c r="H742" s="60"/>
    </row>
    <row r="743" spans="4:8" x14ac:dyDescent="0.3">
      <c r="D743" s="60"/>
      <c r="F743" s="60"/>
      <c r="G743" s="60"/>
      <c r="H743" s="60"/>
    </row>
    <row r="744" spans="4:8" x14ac:dyDescent="0.3">
      <c r="D744" s="60"/>
      <c r="F744" s="60"/>
      <c r="G744" s="60"/>
      <c r="H744" s="60"/>
    </row>
    <row r="745" spans="4:8" x14ac:dyDescent="0.3">
      <c r="D745" s="60"/>
      <c r="F745" s="60"/>
      <c r="G745" s="60"/>
      <c r="H745" s="60"/>
    </row>
    <row r="746" spans="4:8" x14ac:dyDescent="0.3">
      <c r="D746" s="60"/>
      <c r="F746" s="60"/>
      <c r="G746" s="60"/>
      <c r="H746" s="60"/>
    </row>
    <row r="747" spans="4:8" x14ac:dyDescent="0.3">
      <c r="D747" s="60"/>
      <c r="F747" s="60"/>
      <c r="G747" s="60"/>
      <c r="H747" s="60"/>
    </row>
    <row r="748" spans="4:8" x14ac:dyDescent="0.3">
      <c r="D748" s="60"/>
      <c r="F748" s="60"/>
      <c r="G748" s="60"/>
      <c r="H748" s="60"/>
    </row>
    <row r="749" spans="4:8" x14ac:dyDescent="0.3">
      <c r="D749" s="60"/>
      <c r="F749" s="60"/>
      <c r="G749" s="60"/>
      <c r="H749" s="60"/>
    </row>
    <row r="750" spans="4:8" x14ac:dyDescent="0.3">
      <c r="D750" s="60"/>
      <c r="F750" s="60"/>
      <c r="G750" s="60"/>
      <c r="H750" s="60"/>
    </row>
    <row r="751" spans="4:8" x14ac:dyDescent="0.3">
      <c r="D751" s="60"/>
      <c r="F751" s="60"/>
      <c r="G751" s="60"/>
      <c r="H751" s="60"/>
    </row>
    <row r="752" spans="4:8" x14ac:dyDescent="0.3">
      <c r="D752" s="60"/>
      <c r="F752" s="60"/>
      <c r="G752" s="60"/>
      <c r="H752" s="60"/>
    </row>
    <row r="753" spans="4:8" x14ac:dyDescent="0.3">
      <c r="D753" s="60"/>
      <c r="F753" s="60"/>
      <c r="G753" s="60"/>
      <c r="H753" s="60"/>
    </row>
    <row r="754" spans="4:8" x14ac:dyDescent="0.3">
      <c r="D754" s="60"/>
      <c r="F754" s="60"/>
      <c r="G754" s="60"/>
      <c r="H754" s="60"/>
    </row>
    <row r="755" spans="4:8" x14ac:dyDescent="0.3">
      <c r="D755" s="60"/>
      <c r="F755" s="60"/>
      <c r="G755" s="60"/>
      <c r="H755" s="60"/>
    </row>
    <row r="756" spans="4:8" x14ac:dyDescent="0.3">
      <c r="D756" s="60"/>
      <c r="F756" s="60"/>
      <c r="G756" s="60"/>
      <c r="H756" s="60"/>
    </row>
    <row r="757" spans="4:8" x14ac:dyDescent="0.3">
      <c r="D757" s="60"/>
      <c r="F757" s="60"/>
      <c r="G757" s="60"/>
      <c r="H757" s="60"/>
    </row>
    <row r="758" spans="4:8" x14ac:dyDescent="0.3">
      <c r="D758" s="60"/>
      <c r="F758" s="60"/>
      <c r="G758" s="60"/>
      <c r="H758" s="60"/>
    </row>
    <row r="759" spans="4:8" x14ac:dyDescent="0.3">
      <c r="D759" s="60"/>
      <c r="F759" s="60"/>
      <c r="G759" s="60"/>
      <c r="H759" s="60"/>
    </row>
    <row r="760" spans="4:8" x14ac:dyDescent="0.3">
      <c r="D760" s="60"/>
      <c r="F760" s="60"/>
      <c r="G760" s="60"/>
      <c r="H760" s="60"/>
    </row>
    <row r="761" spans="4:8" x14ac:dyDescent="0.3">
      <c r="D761" s="60"/>
      <c r="F761" s="60"/>
      <c r="G761" s="60"/>
      <c r="H761" s="60"/>
    </row>
    <row r="762" spans="4:8" x14ac:dyDescent="0.3">
      <c r="D762" s="60"/>
      <c r="F762" s="60"/>
      <c r="G762" s="60"/>
      <c r="H762" s="60"/>
    </row>
    <row r="763" spans="4:8" x14ac:dyDescent="0.3">
      <c r="D763" s="60"/>
      <c r="F763" s="60"/>
      <c r="G763" s="60"/>
      <c r="H763" s="60"/>
    </row>
    <row r="764" spans="4:8" x14ac:dyDescent="0.3">
      <c r="D764" s="60"/>
      <c r="F764" s="60"/>
      <c r="G764" s="60"/>
      <c r="H764" s="60"/>
    </row>
    <row r="765" spans="4:8" x14ac:dyDescent="0.3">
      <c r="D765" s="60"/>
      <c r="F765" s="60"/>
      <c r="G765" s="60"/>
      <c r="H765" s="60"/>
    </row>
    <row r="766" spans="4:8" x14ac:dyDescent="0.3">
      <c r="D766" s="60"/>
    </row>
    <row r="767" spans="4:8" x14ac:dyDescent="0.3">
      <c r="D767" s="60"/>
    </row>
    <row r="768" spans="4:8" x14ac:dyDescent="0.3">
      <c r="D768" s="60"/>
    </row>
    <row r="769" spans="4:4" x14ac:dyDescent="0.3">
      <c r="D769" s="60"/>
    </row>
    <row r="770" spans="4:4" x14ac:dyDescent="0.3">
      <c r="D770" s="60"/>
    </row>
    <row r="771" spans="4:4" x14ac:dyDescent="0.3">
      <c r="D771" s="60"/>
    </row>
    <row r="772" spans="4:4" x14ac:dyDescent="0.3">
      <c r="D772" s="60"/>
    </row>
    <row r="773" spans="4:4" x14ac:dyDescent="0.3">
      <c r="D773" s="60"/>
    </row>
    <row r="774" spans="4:4" x14ac:dyDescent="0.3">
      <c r="D774" s="60"/>
    </row>
    <row r="775" spans="4:4" x14ac:dyDescent="0.3">
      <c r="D775" s="60"/>
    </row>
    <row r="776" spans="4:4" x14ac:dyDescent="0.3">
      <c r="D776" s="60"/>
    </row>
    <row r="777" spans="4:4" x14ac:dyDescent="0.3">
      <c r="D777" s="60"/>
    </row>
    <row r="778" spans="4:4" x14ac:dyDescent="0.3">
      <c r="D778" s="60"/>
    </row>
    <row r="779" spans="4:4" x14ac:dyDescent="0.3">
      <c r="D779" s="60"/>
    </row>
    <row r="780" spans="4:4" x14ac:dyDescent="0.3">
      <c r="D780" s="60"/>
    </row>
    <row r="781" spans="4:4" x14ac:dyDescent="0.3">
      <c r="D781" s="60"/>
    </row>
    <row r="782" spans="4:4" x14ac:dyDescent="0.3">
      <c r="D782" s="60"/>
    </row>
    <row r="783" spans="4:4" x14ac:dyDescent="0.3">
      <c r="D783" s="60"/>
    </row>
    <row r="784" spans="4:4" x14ac:dyDescent="0.3">
      <c r="D784" s="60"/>
    </row>
    <row r="785" spans="4:4" x14ac:dyDescent="0.3">
      <c r="D785" s="60"/>
    </row>
    <row r="786" spans="4:4" x14ac:dyDescent="0.3">
      <c r="D786" s="60"/>
    </row>
    <row r="787" spans="4:4" x14ac:dyDescent="0.3">
      <c r="D787" s="60"/>
    </row>
    <row r="788" spans="4:4" x14ac:dyDescent="0.3">
      <c r="D788" s="60"/>
    </row>
    <row r="789" spans="4:4" x14ac:dyDescent="0.3">
      <c r="D789" s="60"/>
    </row>
    <row r="790" spans="4:4" x14ac:dyDescent="0.3">
      <c r="D790" s="60"/>
    </row>
    <row r="791" spans="4:4" x14ac:dyDescent="0.3">
      <c r="D791" s="60"/>
    </row>
    <row r="792" spans="4:4" x14ac:dyDescent="0.3">
      <c r="D792" s="60"/>
    </row>
    <row r="793" spans="4:4" x14ac:dyDescent="0.3">
      <c r="D793" s="60"/>
    </row>
    <row r="794" spans="4:4" x14ac:dyDescent="0.3">
      <c r="D794" s="60"/>
    </row>
    <row r="795" spans="4:4" x14ac:dyDescent="0.3">
      <c r="D795" s="60"/>
    </row>
    <row r="796" spans="4:4" x14ac:dyDescent="0.3">
      <c r="D796" s="60"/>
    </row>
    <row r="797" spans="4:4" x14ac:dyDescent="0.3">
      <c r="D797" s="60"/>
    </row>
    <row r="798" spans="4:4" x14ac:dyDescent="0.3">
      <c r="D798" s="60"/>
    </row>
    <row r="799" spans="4:4" x14ac:dyDescent="0.3">
      <c r="D799" s="60"/>
    </row>
    <row r="800" spans="4:4" x14ac:dyDescent="0.3">
      <c r="D800" s="60"/>
    </row>
    <row r="801" spans="4:4" x14ac:dyDescent="0.3">
      <c r="D801" s="60"/>
    </row>
    <row r="802" spans="4:4" x14ac:dyDescent="0.3">
      <c r="D802" s="60"/>
    </row>
    <row r="803" spans="4:4" x14ac:dyDescent="0.3">
      <c r="D803" s="60"/>
    </row>
  </sheetData>
  <mergeCells count="6">
    <mergeCell ref="G211:H211"/>
    <mergeCell ref="B3:C3"/>
    <mergeCell ref="F4:H4"/>
    <mergeCell ref="B35:D35"/>
    <mergeCell ref="B128:D128"/>
    <mergeCell ref="B131:D131"/>
  </mergeCells>
  <pageMargins left="0.7" right="0.7" top="0.78740157499999996" bottom="0.78740157499999996"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3:N61"/>
  <sheetViews>
    <sheetView topLeftCell="D28" workbookViewId="0">
      <selection activeCell="L12" sqref="L12"/>
    </sheetView>
  </sheetViews>
  <sheetFormatPr defaultRowHeight="14.4" x14ac:dyDescent="0.3"/>
  <cols>
    <col min="3" max="3" width="17.109375" customWidth="1"/>
    <col min="4" max="4" width="17.109375" style="2" customWidth="1"/>
    <col min="5" max="5" width="16.5546875" customWidth="1"/>
    <col min="6" max="6" width="13.5546875" style="8" customWidth="1"/>
    <col min="7" max="10" width="17.109375" customWidth="1"/>
  </cols>
  <sheetData>
    <row r="3" spans="1:14" ht="15" thickBot="1" x14ac:dyDescent="0.35">
      <c r="C3" s="8"/>
      <c r="E3" s="2" t="s">
        <v>4614</v>
      </c>
    </row>
    <row r="4" spans="1:14" s="309" customFormat="1" x14ac:dyDescent="0.3">
      <c r="A4" s="556"/>
      <c r="C4" s="308"/>
      <c r="D4" s="96" t="s">
        <v>447</v>
      </c>
      <c r="E4" s="96" t="s">
        <v>339</v>
      </c>
      <c r="F4" s="308" t="s">
        <v>4616</v>
      </c>
      <c r="G4" s="96"/>
      <c r="H4" s="96"/>
    </row>
    <row r="5" spans="1:14" s="313" customFormat="1" ht="15" thickBot="1" x14ac:dyDescent="0.35">
      <c r="A5" s="102"/>
      <c r="C5" s="312"/>
      <c r="D5" s="103"/>
      <c r="E5" s="103" t="s">
        <v>4615</v>
      </c>
      <c r="F5" s="312" t="s">
        <v>4617</v>
      </c>
      <c r="G5" s="103"/>
      <c r="H5" s="103"/>
    </row>
    <row r="6" spans="1:14" s="309" customFormat="1" x14ac:dyDescent="0.3">
      <c r="A6" s="556"/>
      <c r="C6" s="308"/>
      <c r="D6" s="96" t="s">
        <v>449</v>
      </c>
      <c r="E6" s="96" t="s">
        <v>339</v>
      </c>
      <c r="F6" s="308" t="s">
        <v>4618</v>
      </c>
      <c r="G6" s="96"/>
      <c r="J6" s="96"/>
      <c r="K6" s="96"/>
      <c r="L6" s="96"/>
      <c r="M6" s="96"/>
      <c r="N6" s="96"/>
    </row>
    <row r="7" spans="1:14" s="313" customFormat="1" ht="15" thickBot="1" x14ac:dyDescent="0.35">
      <c r="A7" s="102"/>
      <c r="C7" s="312"/>
      <c r="D7" s="103"/>
      <c r="E7" s="103" t="s">
        <v>4615</v>
      </c>
      <c r="F7" s="312" t="s">
        <v>4619</v>
      </c>
      <c r="G7" s="103"/>
      <c r="J7" s="103"/>
      <c r="K7" s="103"/>
      <c r="L7" s="103"/>
      <c r="M7" s="103"/>
      <c r="N7" s="103"/>
    </row>
    <row r="8" spans="1:14" s="309" customFormat="1" x14ac:dyDescent="0.3">
      <c r="A8" s="556"/>
      <c r="C8" s="308"/>
      <c r="D8" s="96" t="s">
        <v>452</v>
      </c>
      <c r="E8" s="96" t="s">
        <v>339</v>
      </c>
      <c r="F8" s="308" t="s">
        <v>4620</v>
      </c>
      <c r="G8" s="96"/>
      <c r="J8" s="96"/>
      <c r="L8" s="96"/>
      <c r="M8" s="96"/>
      <c r="N8" s="96"/>
    </row>
    <row r="9" spans="1:14" s="313" customFormat="1" ht="15" thickBot="1" x14ac:dyDescent="0.35">
      <c r="A9" s="102"/>
      <c r="C9" s="312"/>
      <c r="D9" s="103"/>
      <c r="E9" s="103" t="s">
        <v>4615</v>
      </c>
      <c r="F9" s="312" t="s">
        <v>4621</v>
      </c>
      <c r="G9" s="103"/>
      <c r="J9" s="103"/>
      <c r="L9" s="103"/>
      <c r="M9" s="103"/>
      <c r="N9" s="103"/>
    </row>
    <row r="10" spans="1:14" s="309" customFormat="1" x14ac:dyDescent="0.3">
      <c r="A10" s="556"/>
      <c r="D10" s="96" t="s">
        <v>455</v>
      </c>
      <c r="E10" s="96" t="s">
        <v>339</v>
      </c>
      <c r="F10" s="308" t="s">
        <v>4622</v>
      </c>
      <c r="G10" s="96"/>
      <c r="J10" s="96"/>
      <c r="L10" s="96"/>
      <c r="M10" s="96"/>
      <c r="N10" s="96"/>
    </row>
    <row r="11" spans="1:14" s="313" customFormat="1" ht="15" thickBot="1" x14ac:dyDescent="0.35">
      <c r="A11" s="102"/>
      <c r="D11" s="103"/>
      <c r="E11" s="103" t="s">
        <v>4615</v>
      </c>
      <c r="F11" s="312" t="s">
        <v>4623</v>
      </c>
      <c r="G11" s="103"/>
      <c r="J11" s="103"/>
      <c r="L11" s="103"/>
      <c r="M11" s="103"/>
      <c r="N11" s="103"/>
    </row>
    <row r="12" spans="1:14" s="309" customFormat="1" x14ac:dyDescent="0.3">
      <c r="A12" s="556"/>
      <c r="D12" s="96" t="s">
        <v>458</v>
      </c>
      <c r="E12" s="96" t="s">
        <v>339</v>
      </c>
      <c r="F12" s="308" t="s">
        <v>4624</v>
      </c>
      <c r="G12" s="96"/>
      <c r="J12" s="96"/>
      <c r="L12" s="96"/>
      <c r="M12" s="96"/>
      <c r="N12" s="96"/>
    </row>
    <row r="13" spans="1:14" s="313" customFormat="1" ht="15" thickBot="1" x14ac:dyDescent="0.35">
      <c r="A13" s="102"/>
      <c r="D13" s="103"/>
      <c r="E13" s="103" t="s">
        <v>4615</v>
      </c>
      <c r="F13" s="312" t="s">
        <v>4624</v>
      </c>
      <c r="G13" s="103"/>
      <c r="J13" s="103"/>
      <c r="L13" s="103"/>
      <c r="M13" s="103"/>
      <c r="N13" s="103"/>
    </row>
    <row r="14" spans="1:14" s="309" customFormat="1" x14ac:dyDescent="0.3">
      <c r="A14" s="556"/>
      <c r="D14" s="96" t="s">
        <v>372</v>
      </c>
      <c r="E14" s="96" t="s">
        <v>339</v>
      </c>
      <c r="F14" s="308" t="s">
        <v>4625</v>
      </c>
      <c r="G14" s="96"/>
      <c r="J14" s="96"/>
      <c r="L14" s="96"/>
      <c r="M14" s="96"/>
      <c r="N14" s="96"/>
    </row>
    <row r="15" spans="1:14" s="313" customFormat="1" ht="15" thickBot="1" x14ac:dyDescent="0.35">
      <c r="A15" s="102"/>
      <c r="D15" s="103"/>
      <c r="E15" s="103" t="s">
        <v>4615</v>
      </c>
      <c r="F15" s="312" t="s">
        <v>4626</v>
      </c>
      <c r="G15" s="103"/>
      <c r="J15" s="103"/>
      <c r="L15" s="103"/>
      <c r="M15" s="103"/>
      <c r="N15" s="103"/>
    </row>
    <row r="16" spans="1:14" s="309" customFormat="1" x14ac:dyDescent="0.3">
      <c r="A16" s="556"/>
      <c r="D16" s="96" t="s">
        <v>379</v>
      </c>
      <c r="E16" s="96" t="s">
        <v>339</v>
      </c>
      <c r="F16" s="308" t="s">
        <v>4640</v>
      </c>
      <c r="G16" s="96"/>
      <c r="J16" s="96"/>
      <c r="L16" s="96"/>
      <c r="M16" s="96"/>
      <c r="N16" s="96"/>
    </row>
    <row r="17" spans="1:14" s="313" customFormat="1" ht="15" thickBot="1" x14ac:dyDescent="0.35">
      <c r="A17" s="102"/>
      <c r="D17" s="103"/>
      <c r="E17" s="103" t="s">
        <v>4615</v>
      </c>
      <c r="F17" s="312" t="s">
        <v>4627</v>
      </c>
      <c r="G17" s="103"/>
      <c r="J17" s="103"/>
      <c r="L17" s="103"/>
      <c r="M17" s="103"/>
      <c r="N17" s="103"/>
    </row>
    <row r="18" spans="1:14" s="309" customFormat="1" x14ac:dyDescent="0.3">
      <c r="A18" s="556"/>
      <c r="D18" s="96" t="s">
        <v>386</v>
      </c>
      <c r="E18" s="96" t="s">
        <v>339</v>
      </c>
      <c r="F18" s="308" t="s">
        <v>4628</v>
      </c>
      <c r="G18" s="96"/>
      <c r="J18" s="96"/>
      <c r="L18" s="96"/>
      <c r="M18" s="96"/>
      <c r="N18" s="96"/>
    </row>
    <row r="19" spans="1:14" s="313" customFormat="1" ht="15" thickBot="1" x14ac:dyDescent="0.35">
      <c r="A19" s="102"/>
      <c r="D19" s="103"/>
      <c r="E19" s="103" t="s">
        <v>4615</v>
      </c>
      <c r="F19" s="312" t="s">
        <v>4629</v>
      </c>
      <c r="G19" s="103"/>
      <c r="J19" s="103"/>
      <c r="L19" s="103"/>
      <c r="M19" s="103"/>
      <c r="N19" s="103"/>
    </row>
    <row r="20" spans="1:14" s="309" customFormat="1" x14ac:dyDescent="0.3">
      <c r="A20" s="556"/>
      <c r="D20" s="96" t="s">
        <v>390</v>
      </c>
      <c r="E20" s="96" t="s">
        <v>339</v>
      </c>
      <c r="F20" s="308" t="s">
        <v>4630</v>
      </c>
      <c r="G20" s="96"/>
      <c r="J20" s="96"/>
      <c r="L20" s="96"/>
      <c r="M20" s="96"/>
      <c r="N20" s="96"/>
    </row>
    <row r="21" spans="1:14" s="313" customFormat="1" ht="15" thickBot="1" x14ac:dyDescent="0.35">
      <c r="A21" s="102"/>
      <c r="D21" s="103"/>
      <c r="E21" s="103" t="s">
        <v>4615</v>
      </c>
      <c r="F21" s="312" t="s">
        <v>4631</v>
      </c>
      <c r="G21" s="103"/>
      <c r="J21" s="103"/>
      <c r="L21" s="103"/>
      <c r="M21" s="103"/>
      <c r="N21" s="103"/>
    </row>
    <row r="22" spans="1:14" s="309" customFormat="1" x14ac:dyDescent="0.3">
      <c r="A22" s="556"/>
      <c r="D22" s="96" t="s">
        <v>395</v>
      </c>
      <c r="E22" s="96" t="s">
        <v>339</v>
      </c>
      <c r="F22" s="308" t="s">
        <v>4632</v>
      </c>
      <c r="G22" s="96"/>
      <c r="J22" s="96"/>
      <c r="L22" s="96"/>
      <c r="M22" s="96"/>
      <c r="N22" s="96"/>
    </row>
    <row r="23" spans="1:14" s="313" customFormat="1" ht="15" thickBot="1" x14ac:dyDescent="0.35">
      <c r="A23" s="102"/>
      <c r="D23" s="103"/>
      <c r="E23" s="103" t="s">
        <v>4615</v>
      </c>
      <c r="F23" s="312" t="s">
        <v>4633</v>
      </c>
      <c r="G23" s="103"/>
      <c r="J23" s="103"/>
      <c r="L23" s="103"/>
      <c r="M23" s="103"/>
      <c r="N23" s="103"/>
    </row>
    <row r="24" spans="1:14" s="309" customFormat="1" x14ac:dyDescent="0.3">
      <c r="A24" s="556"/>
      <c r="D24" s="96" t="s">
        <v>401</v>
      </c>
      <c r="E24" s="96" t="s">
        <v>339</v>
      </c>
      <c r="F24" s="308" t="s">
        <v>4634</v>
      </c>
      <c r="G24" s="96"/>
      <c r="J24" s="96"/>
      <c r="L24" s="96"/>
      <c r="M24" s="96"/>
      <c r="N24" s="96"/>
    </row>
    <row r="25" spans="1:14" s="313" customFormat="1" ht="15" thickBot="1" x14ac:dyDescent="0.35">
      <c r="A25" s="102"/>
      <c r="D25" s="103"/>
      <c r="E25" s="103" t="s">
        <v>4615</v>
      </c>
      <c r="F25" s="312" t="s">
        <v>4641</v>
      </c>
      <c r="G25" s="103"/>
      <c r="J25" s="103"/>
      <c r="L25" s="103"/>
      <c r="M25" s="103"/>
      <c r="N25" s="103"/>
    </row>
    <row r="26" spans="1:14" s="309" customFormat="1" x14ac:dyDescent="0.3">
      <c r="A26" s="556"/>
      <c r="D26" s="96" t="s">
        <v>683</v>
      </c>
      <c r="E26" s="96" t="s">
        <v>339</v>
      </c>
      <c r="F26" s="308" t="s">
        <v>260</v>
      </c>
      <c r="G26" s="96"/>
      <c r="J26" s="96"/>
      <c r="L26" s="96"/>
      <c r="M26" s="96"/>
      <c r="N26" s="96"/>
    </row>
    <row r="27" spans="1:14" s="313" customFormat="1" ht="15" thickBot="1" x14ac:dyDescent="0.35">
      <c r="A27" s="102"/>
      <c r="D27" s="103"/>
      <c r="E27" s="103" t="s">
        <v>4615</v>
      </c>
      <c r="F27" s="312" t="s">
        <v>725</v>
      </c>
      <c r="G27" s="103"/>
      <c r="J27" s="103"/>
      <c r="L27" s="103"/>
      <c r="M27" s="103"/>
      <c r="N27" s="103"/>
    </row>
    <row r="28" spans="1:14" s="309" customFormat="1" x14ac:dyDescent="0.3">
      <c r="A28" s="556"/>
      <c r="D28" s="96" t="s">
        <v>259</v>
      </c>
      <c r="E28" s="96" t="s">
        <v>339</v>
      </c>
      <c r="F28" s="308" t="s">
        <v>744</v>
      </c>
      <c r="G28" s="96"/>
      <c r="J28" s="96"/>
      <c r="L28" s="96"/>
      <c r="M28" s="96"/>
      <c r="N28" s="96"/>
    </row>
    <row r="29" spans="1:14" s="313" customFormat="1" ht="15" thickBot="1" x14ac:dyDescent="0.35">
      <c r="A29" s="102"/>
      <c r="D29" s="103"/>
      <c r="E29" s="103" t="s">
        <v>4615</v>
      </c>
      <c r="F29" s="312" t="s">
        <v>4635</v>
      </c>
      <c r="G29" s="103"/>
      <c r="J29" s="103"/>
      <c r="L29" s="103"/>
      <c r="M29" s="103"/>
      <c r="N29" s="103"/>
    </row>
    <row r="30" spans="1:14" s="309" customFormat="1" x14ac:dyDescent="0.3">
      <c r="A30" s="556"/>
      <c r="D30" s="96" t="s">
        <v>1120</v>
      </c>
      <c r="E30" s="96" t="s">
        <v>339</v>
      </c>
      <c r="F30" s="308" t="s">
        <v>3053</v>
      </c>
      <c r="G30" s="96"/>
      <c r="J30" s="96"/>
      <c r="L30" s="96"/>
      <c r="M30" s="96"/>
      <c r="N30" s="96"/>
    </row>
    <row r="31" spans="1:14" s="313" customFormat="1" ht="15" thickBot="1" x14ac:dyDescent="0.35">
      <c r="A31" s="102"/>
      <c r="D31" s="103"/>
      <c r="E31" s="103" t="s">
        <v>4615</v>
      </c>
      <c r="F31" s="312" t="s">
        <v>4636</v>
      </c>
      <c r="G31" s="103"/>
      <c r="J31" s="103"/>
      <c r="L31" s="103"/>
      <c r="M31" s="103"/>
      <c r="N31" s="103"/>
    </row>
    <row r="32" spans="1:14" s="309" customFormat="1" x14ac:dyDescent="0.3">
      <c r="A32" s="556"/>
      <c r="D32" s="96" t="s">
        <v>3606</v>
      </c>
      <c r="E32" s="96" t="s">
        <v>339</v>
      </c>
      <c r="F32" s="308" t="s">
        <v>4637</v>
      </c>
      <c r="G32" s="305"/>
      <c r="J32" s="96"/>
      <c r="L32" s="96"/>
      <c r="M32" s="96"/>
      <c r="N32" s="96"/>
    </row>
    <row r="33" spans="1:14" s="313" customFormat="1" ht="15" thickBot="1" x14ac:dyDescent="0.35">
      <c r="A33" s="102"/>
      <c r="D33" s="103"/>
      <c r="E33" s="103" t="s">
        <v>4615</v>
      </c>
      <c r="F33" s="312" t="s">
        <v>4638</v>
      </c>
      <c r="G33" s="310"/>
      <c r="J33" s="103"/>
      <c r="L33" s="103"/>
      <c r="M33" s="103"/>
      <c r="N33" s="103"/>
    </row>
    <row r="34" spans="1:14" s="309" customFormat="1" x14ac:dyDescent="0.3">
      <c r="A34" s="556"/>
      <c r="D34" s="96" t="s">
        <v>4613</v>
      </c>
      <c r="E34" s="96" t="s">
        <v>339</v>
      </c>
      <c r="F34" s="308" t="s">
        <v>4639</v>
      </c>
      <c r="G34" s="96"/>
      <c r="J34" s="96"/>
      <c r="L34" s="96"/>
      <c r="M34" s="96"/>
      <c r="N34" s="96"/>
    </row>
    <row r="35" spans="1:14" s="313" customFormat="1" ht="15" thickBot="1" x14ac:dyDescent="0.35">
      <c r="A35" s="102"/>
      <c r="D35" s="103"/>
      <c r="E35" s="103" t="s">
        <v>4615</v>
      </c>
      <c r="F35" s="312" t="s">
        <v>4562</v>
      </c>
      <c r="G35" s="103"/>
      <c r="J35" s="103"/>
      <c r="L35" s="103"/>
      <c r="M35" s="103"/>
      <c r="N35" s="103"/>
    </row>
    <row r="36" spans="1:14" x14ac:dyDescent="0.3">
      <c r="G36" s="2"/>
      <c r="J36" s="2"/>
      <c r="L36" s="2"/>
      <c r="M36" s="2"/>
      <c r="N36" s="2"/>
    </row>
    <row r="37" spans="1:14" x14ac:dyDescent="0.3">
      <c r="G37" s="2"/>
      <c r="J37" s="2"/>
      <c r="L37" s="2"/>
      <c r="M37" s="2"/>
      <c r="N37" s="2"/>
    </row>
    <row r="38" spans="1:14" x14ac:dyDescent="0.3">
      <c r="G38" s="2"/>
      <c r="J38" s="2"/>
      <c r="L38" s="2"/>
      <c r="M38" s="2"/>
      <c r="N38" s="2"/>
    </row>
    <row r="39" spans="1:14" x14ac:dyDescent="0.3">
      <c r="G39" s="2"/>
      <c r="J39" s="2"/>
      <c r="L39" s="2"/>
      <c r="M39" s="2"/>
      <c r="N39" s="2"/>
    </row>
    <row r="40" spans="1:14" x14ac:dyDescent="0.3">
      <c r="G40" s="2"/>
      <c r="J40" s="2"/>
      <c r="L40" s="2"/>
      <c r="M40" s="2"/>
      <c r="N40" s="2"/>
    </row>
    <row r="41" spans="1:14" x14ac:dyDescent="0.3">
      <c r="G41" s="2"/>
      <c r="J41" s="2"/>
      <c r="L41" s="2"/>
      <c r="M41" s="2"/>
      <c r="N41" s="2"/>
    </row>
    <row r="42" spans="1:14" x14ac:dyDescent="0.3">
      <c r="G42" s="60"/>
      <c r="J42" s="2"/>
      <c r="L42" s="2"/>
      <c r="M42" s="2"/>
      <c r="N42" s="2"/>
    </row>
    <row r="43" spans="1:14" x14ac:dyDescent="0.3">
      <c r="G43" s="2"/>
      <c r="J43" s="2"/>
      <c r="L43" s="2"/>
      <c r="M43" s="2"/>
      <c r="N43" s="2"/>
    </row>
    <row r="44" spans="1:14" x14ac:dyDescent="0.3">
      <c r="G44" s="2"/>
      <c r="J44" s="2"/>
      <c r="L44" s="2"/>
      <c r="M44" s="2"/>
      <c r="N44" s="2"/>
    </row>
    <row r="45" spans="1:14" x14ac:dyDescent="0.3">
      <c r="G45" s="2"/>
      <c r="J45" s="2"/>
      <c r="L45" s="2"/>
      <c r="M45" s="2"/>
      <c r="N45" s="2"/>
    </row>
    <row r="46" spans="1:14" x14ac:dyDescent="0.3">
      <c r="G46" s="2"/>
      <c r="J46" s="2"/>
      <c r="L46" s="2"/>
      <c r="M46" s="2"/>
      <c r="N46" s="2"/>
    </row>
    <row r="47" spans="1:14" x14ac:dyDescent="0.3">
      <c r="G47" s="2"/>
      <c r="J47" s="2"/>
      <c r="L47" s="2"/>
      <c r="M47" s="2"/>
      <c r="N47" s="2"/>
    </row>
    <row r="48" spans="1:14" x14ac:dyDescent="0.3">
      <c r="G48" s="2"/>
      <c r="J48" s="2"/>
      <c r="L48" s="2"/>
      <c r="M48" s="2"/>
      <c r="N48" s="2"/>
    </row>
    <row r="49" spans="7:14" x14ac:dyDescent="0.3">
      <c r="G49" s="2"/>
      <c r="J49" s="2"/>
      <c r="L49" s="2"/>
      <c r="M49" s="2"/>
      <c r="N49" s="2"/>
    </row>
    <row r="50" spans="7:14" x14ac:dyDescent="0.3">
      <c r="G50" s="2"/>
      <c r="J50" s="2"/>
      <c r="L50" s="2"/>
      <c r="M50" s="2"/>
      <c r="N50" s="2"/>
    </row>
    <row r="51" spans="7:14" x14ac:dyDescent="0.3">
      <c r="G51" s="2"/>
      <c r="J51" s="2"/>
      <c r="L51" s="2"/>
      <c r="M51" s="2"/>
      <c r="N51" s="2"/>
    </row>
    <row r="52" spans="7:14" x14ac:dyDescent="0.3">
      <c r="G52" s="2"/>
      <c r="J52" s="2"/>
      <c r="L52" s="2"/>
      <c r="M52" s="2"/>
      <c r="N52" s="2"/>
    </row>
    <row r="53" spans="7:14" x14ac:dyDescent="0.3">
      <c r="J53" s="2"/>
      <c r="L53" s="2"/>
      <c r="M53" s="2"/>
      <c r="N53" s="2"/>
    </row>
    <row r="54" spans="7:14" x14ac:dyDescent="0.3">
      <c r="J54" s="2"/>
      <c r="L54" s="2"/>
      <c r="M54" s="2"/>
      <c r="N54" s="2"/>
    </row>
    <row r="55" spans="7:14" x14ac:dyDescent="0.3">
      <c r="J55" s="2"/>
      <c r="L55" s="2"/>
      <c r="M55" s="2"/>
      <c r="N55" s="2"/>
    </row>
    <row r="56" spans="7:14" x14ac:dyDescent="0.3">
      <c r="J56" s="2"/>
      <c r="L56" s="2"/>
      <c r="M56" s="2"/>
      <c r="N56" s="2"/>
    </row>
    <row r="57" spans="7:14" x14ac:dyDescent="0.3">
      <c r="J57" s="2"/>
      <c r="L57" s="2"/>
      <c r="M57" s="2"/>
      <c r="N57" s="2"/>
    </row>
    <row r="58" spans="7:14" x14ac:dyDescent="0.3">
      <c r="J58" s="2"/>
      <c r="L58" s="2"/>
      <c r="M58" s="2"/>
      <c r="N58" s="2"/>
    </row>
    <row r="59" spans="7:14" x14ac:dyDescent="0.3">
      <c r="J59" s="2"/>
      <c r="L59" s="2"/>
      <c r="M59" s="2"/>
      <c r="N59" s="2"/>
    </row>
    <row r="60" spans="7:14" x14ac:dyDescent="0.3">
      <c r="J60" s="2"/>
      <c r="K60" s="2"/>
      <c r="L60" s="2"/>
      <c r="M60" s="2"/>
      <c r="N60" s="2"/>
    </row>
    <row r="61" spans="7:14" x14ac:dyDescent="0.3">
      <c r="J61" s="2"/>
      <c r="K61" s="2"/>
      <c r="L61" s="2"/>
      <c r="M61" s="2"/>
      <c r="N61" s="2"/>
    </row>
  </sheetData>
  <pageMargins left="0.7" right="0.7" top="0.78740157499999996" bottom="0.78740157499999996" header="0.3" footer="0.3"/>
  <pageSetup paperSize="0" orientation="portrait" horizontalDpi="0" verticalDpi="0" copie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��YYYoYYYoYYYobYYYoYYYoYYYobYYYoYYYoYYYobYYYoYYYoYYYobYYYoYYYoYYYobYYYoYYYoYYYobYYYoYYYoYYYobYYYoYYYoYYYobYYYoYYYoYYYobYYYoYYYoYYYobYYYoYYYoYYYobYYYoYYYoYYYobYYYoYYYoYYYobYYYoYYYoYYYobYYYoYYYoYYYobYYYoYYYoYYYobYoYoYYYoYYYoYYYobYYYoYYYoYYYobYYYoYYYoYYYobYYYoYYYoYYYobYYYoYYYoYYYobYYYoYYYoYYYobYYYoYYYoYYYobYYYoYYYoYYYobYoYYYoYYYoYYYobYYYoYYYoYYYobYYYoYYYoYYYobYYYoYYYoYYYobYYYoYYYoYYYobYYYoYYYoYYYobYYYoYYYoYYYobYYYoYYYoYYYobYo
</file>

<file path=customXml/item9.xml>��YYYoYYYoYYYobYYYoYYYoYYYob
</file>

<file path=customXml/item10.xml>��YYYoYYYoYYYobYYYoYYYoYYYob
</file>

<file path=customXml/item11.xml>��YYYoYYYoYYYobYYYoYYYoYYYob
</file>

<file path=customXml/item12.xml>��
</file>

<file path=customXml/item13.xml>��
</file>

<file path=customXml/item14.xml>��YYYoYYYoYYYobYYYoYYYoYYYob
</file>

<file path=customXml/item15.xml>��YYYoYYYoYYYobYYYoYYYoYYYob
</file>

<file path=customXml/item16.xml>��YYYoYYYoYYYobYYYoYYYoYYYob
</file>

<file path=customXml/item17.xml>��
</file>

<file path=customXml/item18.xml>��
</file>

<file path=customXml/item19.xml>��
</file>

<file path=customXml/item20.xml>��YoYo
</file>

<file path=customXml/item21.xml>��
</file>

<file path=customXml/item22.xml>��YYYoYYYoYYYobYYYoYYYoYYYob
</file>

<file path=customXml/item23.xml>��YYYoYYYoYYYobYYYoYYYoYYYob
</file>

<file path=customXml/item24.xml>��
</file>

<file path=customXml/item25.xml>��YYYoYYYoYYYobYYYoYYYoYYYobYYYoYYYoYYYobYYYoYYYoYYYobYYYoYYYoYYYobYYYoYYYoYYYobYYYoYYYoYYYobYYYoYYYoYYYobYo
</file>

<file path=customXml/itemProps1.xml><?xml version="1.0" encoding="utf-8"?>
<ds:datastoreItem xmlns:ds="http://schemas.openxmlformats.org/officeDocument/2006/customXml" ds:itemID="{7A859C05-C058-4E00-807B-BAC6A4D74D0B}">
  <ds:schemaRefs/>
</ds:datastoreItem>
</file>

<file path=customXml/itemProps2.xml><?xml version="1.0" encoding="utf-8"?>
<ds:datastoreItem xmlns:ds="http://schemas.openxmlformats.org/officeDocument/2006/customXml" ds:itemID="{597B1A08-A7A2-47AE-B131-07C0768B910D}">
  <ds:schemaRefs/>
</ds:datastoreItem>
</file>

<file path=customXml/itemProps3.xml><?xml version="1.0" encoding="utf-8"?>
<ds:datastoreItem xmlns:ds="http://schemas.openxmlformats.org/officeDocument/2006/customXml" ds:itemID="{B4E6DBD9-87A5-419B-B6EC-65F03696F1B7}">
  <ds:schemaRefs/>
</ds:datastoreItem>
</file>

<file path=customXml/itemProps4.xml><?xml version="1.0" encoding="utf-8"?>
<ds:datastoreItem xmlns:ds="http://schemas.openxmlformats.org/officeDocument/2006/customXml" ds:itemID="{ACB000AE-0719-4307-9503-ABA5976E3CDD}">
  <ds:schemaRefs/>
</ds:datastoreItem>
</file>

<file path=customXml/itemProps5.xml><?xml version="1.0" encoding="utf-8"?>
<ds:datastoreItem xmlns:ds="http://schemas.openxmlformats.org/officeDocument/2006/customXml" ds:itemID="{42FAC921-B237-4E12-80FE-2C0EBFBDC2AF}">
  <ds:schemaRefs/>
</ds:datastoreItem>
</file>

<file path=customXml/itemProps6.xml><?xml version="1.0" encoding="utf-8"?>
<ds:datastoreItem xmlns:ds="http://schemas.openxmlformats.org/officeDocument/2006/customXml" ds:itemID="{20B140FC-7F15-4468-B224-86CD3CE8ADC2}">
  <ds:schemaRefs/>
</ds:datastoreItem>
</file>

<file path=customXml/itemProps7.xml><?xml version="1.0" encoding="utf-8"?>
<ds:datastoreItem xmlns:ds="http://schemas.openxmlformats.org/officeDocument/2006/customXml" ds:itemID="{2011F156-C850-4D3F-92A5-FBA424684CB1}">
  <ds:schemaRefs/>
</ds:datastoreItem>
</file>

<file path=customXml/itemProps8.xml><?xml version="1.0" encoding="utf-8"?>
<ds:datastoreItem xmlns:ds="http://schemas.openxmlformats.org/officeDocument/2006/customXml" ds:itemID="{70E5AD81-BF73-4FEC-B512-DD2D421C9A3B}">
  <ds:schemaRefs/>
</ds:datastoreItem>
</file>

<file path=customXml/itemProps9.xml><?xml version="1.0" encoding="utf-8"?>
<ds:datastoreItem xmlns:ds="http://schemas.openxmlformats.org/officeDocument/2006/customXml" ds:itemID="{EFA300DF-18EC-4EDD-AED7-622B03639616}">
  <ds:schemaRefs/>
</ds:datastoreItem>
</file>

<file path=customXml/itemProps10.xml><?xml version="1.0" encoding="utf-8"?>
<ds:datastoreItem xmlns:ds="http://schemas.openxmlformats.org/officeDocument/2006/customXml" ds:itemID="{5FE6232C-9E54-460D-8A08-FCA64E4E8A53}">
  <ds:schemaRefs/>
</ds:datastoreItem>
</file>

<file path=customXml/itemProps11.xml><?xml version="1.0" encoding="utf-8"?>
<ds:datastoreItem xmlns:ds="http://schemas.openxmlformats.org/officeDocument/2006/customXml" ds:itemID="{615ED3C3-CC50-4E93-8A48-D5E46A256591}">
  <ds:schemaRefs/>
</ds:datastoreItem>
</file>

<file path=customXml/itemProps12.xml><?xml version="1.0" encoding="utf-8"?>
<ds:datastoreItem xmlns:ds="http://schemas.openxmlformats.org/officeDocument/2006/customXml" ds:itemID="{D5C143DE-7D72-436B-94A8-CEE5A8327E86}">
  <ds:schemaRefs/>
</ds:datastoreItem>
</file>

<file path=customXml/itemProps13.xml><?xml version="1.0" encoding="utf-8"?>
<ds:datastoreItem xmlns:ds="http://schemas.openxmlformats.org/officeDocument/2006/customXml" ds:itemID="{2EA81249-A6D7-4F06-94FF-25FCEB7E3EB8}">
  <ds:schemaRefs/>
</ds:datastoreItem>
</file>

<file path=customXml/itemProps14.xml><?xml version="1.0" encoding="utf-8"?>
<ds:datastoreItem xmlns:ds="http://schemas.openxmlformats.org/officeDocument/2006/customXml" ds:itemID="{D033CF0D-6659-41E6-A340-A7F41E9D0197}">
  <ds:schemaRefs/>
</ds:datastoreItem>
</file>

<file path=customXml/itemProps15.xml><?xml version="1.0" encoding="utf-8"?>
<ds:datastoreItem xmlns:ds="http://schemas.openxmlformats.org/officeDocument/2006/customXml" ds:itemID="{19F90350-D99E-4AB3-9A09-B458710C859D}">
  <ds:schemaRefs/>
</ds:datastoreItem>
</file>

<file path=customXml/itemProps16.xml><?xml version="1.0" encoding="utf-8"?>
<ds:datastoreItem xmlns:ds="http://schemas.openxmlformats.org/officeDocument/2006/customXml" ds:itemID="{426C44A3-6B61-4377-B556-D130157F9D19}">
  <ds:schemaRefs/>
</ds:datastoreItem>
</file>

<file path=customXml/itemProps17.xml><?xml version="1.0" encoding="utf-8"?>
<ds:datastoreItem xmlns:ds="http://schemas.openxmlformats.org/officeDocument/2006/customXml" ds:itemID="{D0FF8433-C0E8-4529-9E6D-01CDE79A1497}">
  <ds:schemaRefs/>
</ds:datastoreItem>
</file>

<file path=customXml/itemProps18.xml><?xml version="1.0" encoding="utf-8"?>
<ds:datastoreItem xmlns:ds="http://schemas.openxmlformats.org/officeDocument/2006/customXml" ds:itemID="{E416A1EA-90F2-48BE-A57E-0B97BDEE7A08}">
  <ds:schemaRefs/>
</ds:datastoreItem>
</file>

<file path=customXml/itemProps19.xml><?xml version="1.0" encoding="utf-8"?>
<ds:datastoreItem xmlns:ds="http://schemas.openxmlformats.org/officeDocument/2006/customXml" ds:itemID="{664B5E4E-2378-44BC-9C89-F14194A2B5C7}">
  <ds:schemaRefs/>
</ds:datastoreItem>
</file>

<file path=customXml/itemProps20.xml><?xml version="1.0" encoding="utf-8"?>
<ds:datastoreItem xmlns:ds="http://schemas.openxmlformats.org/officeDocument/2006/customXml" ds:itemID="{BD9441CB-4E4D-40A4-9E27-63B56C13871C}">
  <ds:schemaRefs/>
</ds:datastoreItem>
</file>

<file path=customXml/itemProps21.xml><?xml version="1.0" encoding="utf-8"?>
<ds:datastoreItem xmlns:ds="http://schemas.openxmlformats.org/officeDocument/2006/customXml" ds:itemID="{066085E5-D805-4125-9626-55EEAF4FCBC5}">
  <ds:schemaRefs>
    <ds:schemaRef ds:uri="http://schemas.microsoft.com/DataMashup"/>
  </ds:schemaRefs>
</ds:datastoreItem>
</file>

<file path=customXml/itemProps22.xml><?xml version="1.0" encoding="utf-8"?>
<ds:datastoreItem xmlns:ds="http://schemas.openxmlformats.org/officeDocument/2006/customXml" ds:itemID="{B7E23395-1A43-47B2-BE5F-2D491EBBB10E}">
  <ds:schemaRefs/>
</ds:datastoreItem>
</file>

<file path=customXml/itemProps23.xml><?xml version="1.0" encoding="utf-8"?>
<ds:datastoreItem xmlns:ds="http://schemas.openxmlformats.org/officeDocument/2006/customXml" ds:itemID="{C7A78F43-3D79-404D-A74E-C74367C3D083}">
  <ds:schemaRefs/>
</ds:datastoreItem>
</file>

<file path=customXml/itemProps24.xml><?xml version="1.0" encoding="utf-8"?>
<ds:datastoreItem xmlns:ds="http://schemas.openxmlformats.org/officeDocument/2006/customXml" ds:itemID="{D5AB8E19-2945-4768-808D-38A288468DB4}">
  <ds:schemaRefs/>
</ds:datastoreItem>
</file>

<file path=customXml/itemProps25.xml><?xml version="1.0" encoding="utf-8"?>
<ds:datastoreItem xmlns:ds="http://schemas.openxmlformats.org/officeDocument/2006/customXml" ds:itemID="{BC478E8E-6F6F-4CFB-897A-D445398735F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Listy</vt:lpstr>
      </vt:variant>
      <vt:variant>
        <vt:i4>48</vt:i4>
      </vt:variant>
      <vt:variant>
        <vt:lpstr>Pojmenované oblasti</vt:lpstr>
      </vt:variant>
      <vt:variant>
        <vt:i4>2</vt:i4>
      </vt:variant>
    </vt:vector>
  </HeadingPairs>
  <TitlesOfParts>
    <vt:vector size="50" baseType="lpstr">
      <vt:lpstr>Zápasy 17-18</vt:lpstr>
      <vt:lpstr>Statistiky 17-18</vt:lpstr>
      <vt:lpstr>Zápasy 18-19</vt:lpstr>
      <vt:lpstr>Výsledky a statistiky 18-19</vt:lpstr>
      <vt:lpstr>Statistiky 18-19</vt:lpstr>
      <vt:lpstr>Tabulky 18-19</vt:lpstr>
      <vt:lpstr>Zápasy 19-20</vt:lpstr>
      <vt:lpstr>Výsledky a statistiky 19-20</vt:lpstr>
      <vt:lpstr>Statistiky 19-20</vt:lpstr>
      <vt:lpstr>Tabulky 19-20</vt:lpstr>
      <vt:lpstr>Zápasy 20-21</vt:lpstr>
      <vt:lpstr>Výsledky a statistiky 20-21</vt:lpstr>
      <vt:lpstr>Statistiky 20-21</vt:lpstr>
      <vt:lpstr>Zápasy 21-22</vt:lpstr>
      <vt:lpstr>Výsledky a statistiky 21-22</vt:lpstr>
      <vt:lpstr>Tabulky 21-22</vt:lpstr>
      <vt:lpstr>Statistiky 21-22</vt:lpstr>
      <vt:lpstr>Srovnání trenérů</vt:lpstr>
      <vt:lpstr>Zápasy 22-23</vt:lpstr>
      <vt:lpstr>Výsledky a statistiky 22-23</vt:lpstr>
      <vt:lpstr>Tabulky 22-23</vt:lpstr>
      <vt:lpstr>Statistiky 22-23</vt:lpstr>
      <vt:lpstr>Výsledky sezóny 14-15</vt:lpstr>
      <vt:lpstr>Zápasy 23-24</vt:lpstr>
      <vt:lpstr>Výsledky a statistiky 23-24</vt:lpstr>
      <vt:lpstr>Tabulky 23-24</vt:lpstr>
      <vt:lpstr>Statistiky 23-24</vt:lpstr>
      <vt:lpstr>Zápasy 24-25</vt:lpstr>
      <vt:lpstr>Výsledky a statistiky 24-25</vt:lpstr>
      <vt:lpstr>Statistiky 24-25</vt:lpstr>
      <vt:lpstr>Tabulky 24-25</vt:lpstr>
      <vt:lpstr>Stažení zápasy z LIT webu</vt:lpstr>
      <vt:lpstr>Výsledky a statistiky 25-26</vt:lpstr>
      <vt:lpstr>ZapasyLIT</vt:lpstr>
      <vt:lpstr>Tabulky 25-26</vt:lpstr>
      <vt:lpstr>Aktuální soupiska</vt:lpstr>
      <vt:lpstr>Vzájemné zápasy</vt:lpstr>
      <vt:lpstr>Zápasy celkem</vt:lpstr>
      <vt:lpstr>Odchozí hráči</vt:lpstr>
      <vt:lpstr>LIT v playoff</vt:lpstr>
      <vt:lpstr>Umístění LIT</vt:lpstr>
      <vt:lpstr>umístění všech</vt:lpstr>
      <vt:lpstr>tabulky fiktivní</vt:lpstr>
      <vt:lpstr>Moje výjezdy a zápasy celkem</vt:lpstr>
      <vt:lpstr>Tabulky celkem</vt:lpstr>
      <vt:lpstr>Tabulky Cheza</vt:lpstr>
      <vt:lpstr>MOSTEČTÍ LVI</vt:lpstr>
      <vt:lpstr>Sestavy</vt:lpstr>
      <vt:lpstr>'Výsledky a statistiky 25-26'!Statistiky_24_25_polovina_zc</vt:lpstr>
      <vt:lpstr>Statistiky_24_25_polovina_zc</vt:lpstr>
    </vt:vector>
  </TitlesOfParts>
  <Company>UNIPETROL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Lánský Jakub (UNP-RPA)</dc:creator>
  <cp:lastModifiedBy>Jakub Lánský</cp:lastModifiedBy>
  <cp:lastPrinted>2018-04-20T08:19:08Z</cp:lastPrinted>
  <dcterms:created xsi:type="dcterms:W3CDTF">2017-05-03T05:17:36Z</dcterms:created>
  <dcterms:modified xsi:type="dcterms:W3CDTF">2026-02-15T18:24:44Z</dcterms:modified>
</cp:coreProperties>
</file>